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codeName="DieseArbeitsmappe" defaultThemeVersion="124226"/>
  <mc:AlternateContent xmlns:mc="http://schemas.openxmlformats.org/markup-compatibility/2006">
    <mc:Choice Requires="x15">
      <x15ac:absPath xmlns:x15ac="http://schemas.microsoft.com/office/spreadsheetml/2010/11/ac" url="C:\YCV\50 Wordpress\10 Bilder Produkt\"/>
    </mc:Choice>
  </mc:AlternateContent>
  <xr:revisionPtr revIDLastSave="0" documentId="13_ncr:1_{DB1CB9F1-FA01-4FB6-BF43-10ADF40F173D}" xr6:coauthVersionLast="47" xr6:coauthVersionMax="47" xr10:uidLastSave="{00000000-0000-0000-0000-000000000000}"/>
  <bookViews>
    <workbookView xWindow="-98" yWindow="-98" windowWidth="21795" windowHeight="12975" firstSheet="5" activeTab="5" xr2:uid="{00000000-000D-0000-FFFF-FFFF00000000}"/>
  </bookViews>
  <sheets>
    <sheet name="CIQ_LinkingNames" sheetId="3220" state="hidden" r:id="rId1"/>
    <sheet name="free" sheetId="3251" state="hidden" r:id="rId2"/>
    <sheet name="pay" sheetId="3249" state="hidden" r:id="rId3"/>
    <sheet name="Report F6" sheetId="3250" state="hidden" r:id="rId4"/>
    <sheet name="Report F7" sheetId="3245" state="hidden" r:id="rId5"/>
    <sheet name="DIY Grundmodell" sheetId="3247" r:id="rId6"/>
    <sheet name="Datenquelle" sheetId="3240" state="hidden" r:id="rId7"/>
    <sheet name="DINA 4" sheetId="3254" state="hidden" r:id="rId8"/>
    <sheet name="Benchmarks" sheetId="3193" state="hidden" r:id="rId9"/>
  </sheets>
  <definedNames>
    <definedName name="CIQWBGuid" hidden="1">"164a7794-3be0-476b-a949-80f2ff2db508"</definedName>
    <definedName name="CIQWBInfo" hidden="1">"{ ""CIQVersion"":""9.52.4409.4666"" }"</definedName>
    <definedName name="_xlnm.Print_Area" localSheetId="7">'DINA 4'!$A$43:$N$99,'DINA 4'!#REF!,'DINA 4'!#REF!</definedName>
    <definedName name="_xlnm.Print_Area" localSheetId="5">'DIY Grundmodell'!#REF!</definedName>
    <definedName name="_xlnm.Print_Area" localSheetId="3">'Report F6'!$B$2:$O$58,'Report F6'!$B$65:$O$91,'Report F6'!$R$2:$AC$58</definedName>
    <definedName name="_xlnm.Print_Area" localSheetId="4">'Report F7'!$B$2:$O$58,'Report F7'!$B$65:$O$91,'Report F7'!$R$2:$AC$58</definedName>
    <definedName name="IQ_CH">110000</definedName>
    <definedName name="IQ_CQ">5000</definedName>
    <definedName name="IQ_CY">10000</definedName>
    <definedName name="IQ_DAILY">500000</definedName>
    <definedName name="IQ_DNTM" hidden="1">700000</definedName>
    <definedName name="IQ_EXPENSE_CODE_" hidden="1">"019802400"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"04/16/2026 15:07:47"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B32" hidden="1">#REF!</definedName>
    <definedName name="IQRB4" hidden="1">#REF!</definedName>
    <definedName name="IQRChartsAI15" hidden="1">#REF!</definedName>
    <definedName name="IQRChartsAN15" hidden="1">#REF!</definedName>
    <definedName name="IQRChartsM26" hidden="1">#REF!</definedName>
    <definedName name="IQRD32" hidden="1">#REF!</definedName>
    <definedName name="IQRD4" hidden="1">#REF!</definedName>
    <definedName name="IQRDCFModellB58" hidden="1">#REF!</definedName>
    <definedName name="IQRDCFModellC15" hidden="1">#REF!</definedName>
    <definedName name="IQRDCFModellC22" hidden="1">#REF!</definedName>
    <definedName name="IQRDCFModellC29" hidden="1">#REF!</definedName>
    <definedName name="IQRDCFModellC36" hidden="1">#REF!</definedName>
    <definedName name="IQRDCFModellC58" hidden="1">#REF!</definedName>
    <definedName name="IQRDCFSPBF10" localSheetId="7" hidden="1">#REF!</definedName>
    <definedName name="IQRDCFSPBF10" localSheetId="5" hidden="1">#REF!</definedName>
    <definedName name="IQRDCFSPBF10" localSheetId="3" hidden="1">#REF!</definedName>
    <definedName name="IQRDCFSPBF10" localSheetId="4" hidden="1">#REF!</definedName>
    <definedName name="IQRDCFSPBN10" localSheetId="7" hidden="1">#REF!</definedName>
    <definedName name="IQRDCFSPBN10" localSheetId="5" hidden="1">#REF!</definedName>
    <definedName name="IQRDCFSPBN10" localSheetId="3" hidden="1">#REF!</definedName>
    <definedName name="IQRDCFSPBN10" localSheetId="4" hidden="1">#REF!</definedName>
    <definedName name="IQRE4" hidden="1">#REF!</definedName>
    <definedName name="IQREingaben2K10" hidden="1">#REF!</definedName>
    <definedName name="IQREingaben2K2" hidden="1">#REF!</definedName>
    <definedName name="IQREingaben2K21" hidden="1">#REF!</definedName>
    <definedName name="IQREingaben2K38" hidden="1">#REF!</definedName>
    <definedName name="IQREingaben2K48" hidden="1">#REF!</definedName>
    <definedName name="IQREingaben2M10" hidden="1">#REF!</definedName>
    <definedName name="IQREingaben2M2" hidden="1">#REF!</definedName>
    <definedName name="IQREingaben2M38" hidden="1">#REF!</definedName>
    <definedName name="IQREingaben2M48" hidden="1">#REF!</definedName>
    <definedName name="IQREingaben2N10" hidden="1">#REF!</definedName>
    <definedName name="IQREingaben2N2" hidden="1">#REF!</definedName>
    <definedName name="IQREingaben2N38" hidden="1">#REF!</definedName>
    <definedName name="IQREingaben2P16" hidden="1">#REF!</definedName>
    <definedName name="IQREingaben2P2" hidden="1">#REF!</definedName>
    <definedName name="IQREingaben2P23" hidden="1">#REF!</definedName>
    <definedName name="IQREingaben2P38" hidden="1">#REF!</definedName>
    <definedName name="IQREingaben2P9" hidden="1">#REF!</definedName>
    <definedName name="IQREingaben2Q9" hidden="1">#REF!</definedName>
    <definedName name="IQREingaben2R16" hidden="1">#REF!</definedName>
    <definedName name="IQREingaben2R2" hidden="1">#REF!</definedName>
    <definedName name="IQREingaben2S16" hidden="1">#REF!</definedName>
    <definedName name="IQREingaben2S2" hidden="1">#REF!</definedName>
    <definedName name="IQREingaben2V38" hidden="1">#REF!</definedName>
    <definedName name="IQREingabenB101" hidden="1">#REF!</definedName>
    <definedName name="IQREingabenB108" hidden="1">#REF!</definedName>
    <definedName name="IQREingabenB122" hidden="1">#REF!</definedName>
    <definedName name="IQREingabenB123" hidden="1">#REF!</definedName>
    <definedName name="IQREingabenB124" hidden="1">#REF!</definedName>
    <definedName name="IQREingabenB138" hidden="1">#REF!</definedName>
    <definedName name="IQREingabenB139" hidden="1">#REF!</definedName>
    <definedName name="IQREingabenB37" hidden="1">#REF!</definedName>
    <definedName name="IQREingabenB38" hidden="1">#REF!</definedName>
    <definedName name="IQREingabenB39" hidden="1">#REF!</definedName>
    <definedName name="IQREingabenB40" hidden="1">#REF!</definedName>
    <definedName name="IQREingabenB42" hidden="1">#REF!</definedName>
    <definedName name="IQREingabenB43" hidden="1">#REF!</definedName>
    <definedName name="IQREingabenB44" hidden="1">#REF!</definedName>
    <definedName name="IQREingabenB45" hidden="1">#REF!</definedName>
    <definedName name="IQREingabenB46" hidden="1">#REF!</definedName>
    <definedName name="IQREingabenB48" hidden="1">#REF!</definedName>
    <definedName name="IQREingabenB50" hidden="1">#REF!</definedName>
    <definedName name="IQREingabenB51" hidden="1">#REF!</definedName>
    <definedName name="IQREingabenB52" hidden="1">#REF!</definedName>
    <definedName name="IQREingabenB53" hidden="1">#REF!</definedName>
    <definedName name="IQREingabenB58" hidden="1">#REF!</definedName>
    <definedName name="IQREingabenB59" hidden="1">#REF!</definedName>
    <definedName name="IQREingabenB60" hidden="1">#REF!</definedName>
    <definedName name="IQREingabenB61" hidden="1">#REF!</definedName>
    <definedName name="IQREingabenB62" hidden="1">#REF!</definedName>
    <definedName name="IQREingabenB65" hidden="1">#REF!</definedName>
    <definedName name="IQREingabenB69" hidden="1">#REF!</definedName>
    <definedName name="IQREingabenB72" hidden="1">#REF!</definedName>
    <definedName name="IQREingabenB87" hidden="1">#REF!</definedName>
    <definedName name="IQREingabenB94" hidden="1">#REF!</definedName>
    <definedName name="IQREingabenC15" hidden="1">#REF!</definedName>
    <definedName name="IQREingabenC20" hidden="1">#REF!</definedName>
    <definedName name="IQREingabenC22" hidden="1">#REF!</definedName>
    <definedName name="IQREingabenC29" localSheetId="7" hidden="1">#REF!</definedName>
    <definedName name="IQREingabenC29" localSheetId="5" hidden="1">#REF!</definedName>
    <definedName name="IQREingabenC29" localSheetId="3" hidden="1">#REF!</definedName>
    <definedName name="IQREingabenC29" localSheetId="4" hidden="1">#REF!</definedName>
    <definedName name="IQREingabenC36" hidden="1">#REF!</definedName>
    <definedName name="IQREingabenC43" hidden="1">#REF!</definedName>
    <definedName name="IQREingabenC58" hidden="1">#REF!</definedName>
    <definedName name="IQREingabenD16" hidden="1">#REF!</definedName>
    <definedName name="IQREingabenD17" hidden="1">#REF!</definedName>
    <definedName name="IQREingabenD18" hidden="1">#REF!</definedName>
    <definedName name="IQREingabenD20" hidden="1">#REF!</definedName>
    <definedName name="IQREingabenD22" hidden="1">#REF!</definedName>
    <definedName name="IQREingabenD24" localSheetId="7" hidden="1">#REF!</definedName>
    <definedName name="IQREingabenD24" localSheetId="5" hidden="1">#REF!</definedName>
    <definedName name="IQREingabenD24" localSheetId="3" hidden="1">#REF!</definedName>
    <definedName name="IQREingabenD24" localSheetId="4" hidden="1">#REF!</definedName>
    <definedName name="IQREingabenD25" localSheetId="7" hidden="1">#REF!</definedName>
    <definedName name="IQREingabenD25" localSheetId="5" hidden="1">#REF!</definedName>
    <definedName name="IQREingabenD25" localSheetId="3" hidden="1">#REF!</definedName>
    <definedName name="IQREingabenD25" localSheetId="4" hidden="1">#REF!</definedName>
    <definedName name="IQREingabenD27" localSheetId="7" hidden="1">#REF!</definedName>
    <definedName name="IQREingabenD27" localSheetId="5" hidden="1">#REF!</definedName>
    <definedName name="IQREingabenD27" localSheetId="3" hidden="1">#REF!</definedName>
    <definedName name="IQREingabenD27" localSheetId="4" hidden="1">#REF!</definedName>
    <definedName name="IQREingabenD31" localSheetId="7" hidden="1">#REF!</definedName>
    <definedName name="IQREingabenD31" localSheetId="5" hidden="1">#REF!</definedName>
    <definedName name="IQREingabenD31" localSheetId="3" hidden="1">#REF!</definedName>
    <definedName name="IQREingabenD31" localSheetId="4" hidden="1">#REF!</definedName>
    <definedName name="IQREingabenD32" localSheetId="7" hidden="1">#REF!</definedName>
    <definedName name="IQREingabenD32" localSheetId="5" hidden="1">#REF!</definedName>
    <definedName name="IQREingabenD32" localSheetId="3" hidden="1">#REF!</definedName>
    <definedName name="IQREingabenD32" localSheetId="4" hidden="1">#REF!</definedName>
    <definedName name="IQREingabenD34" localSheetId="7" hidden="1">#REF!</definedName>
    <definedName name="IQREingabenD34" localSheetId="5" hidden="1">#REF!</definedName>
    <definedName name="IQREingabenD34" localSheetId="3" hidden="1">#REF!</definedName>
    <definedName name="IQREingabenD34" localSheetId="4" hidden="1">#REF!</definedName>
    <definedName name="IQREingabenD37" hidden="1">#REF!</definedName>
    <definedName name="IQREingabenD38" hidden="1">#REF!</definedName>
    <definedName name="IQREingabenD39" hidden="1">#REF!</definedName>
    <definedName name="IQREingabenD41" hidden="1">#REF!</definedName>
    <definedName name="IQREingabenD44" hidden="1">#REF!</definedName>
    <definedName name="IQREingabenD45" hidden="1">#REF!</definedName>
    <definedName name="IQREingabenD46" hidden="1">#REF!</definedName>
    <definedName name="IQREingabenD48" hidden="1">#REF!</definedName>
    <definedName name="IQREingabenD50" hidden="1">#REF!</definedName>
    <definedName name="IQREingabenD59" hidden="1">#REF!</definedName>
    <definedName name="IQREingabenD60" hidden="1">#REF!</definedName>
    <definedName name="IQREingabenD61" hidden="1">#REF!</definedName>
    <definedName name="IQREingabenD73" hidden="1">#REF!</definedName>
    <definedName name="IQREingabenD75" hidden="1">#REF!</definedName>
    <definedName name="IQREingabenD83" hidden="1">#REF!</definedName>
    <definedName name="IQREingabenE15" hidden="1">#REF!</definedName>
    <definedName name="IQREingabenE53" hidden="1">#REF!</definedName>
    <definedName name="IQREingabenF108" hidden="1">#REF!</definedName>
    <definedName name="IQREingabenF51" hidden="1">#REF!</definedName>
    <definedName name="IQREingabenF52" hidden="1">#REF!</definedName>
    <definedName name="IQREingabenF53" hidden="1">#REF!</definedName>
    <definedName name="IQREingabenF69" hidden="1">#REF!</definedName>
    <definedName name="IQREingabenF72" hidden="1">#REF!</definedName>
    <definedName name="IQREingabenF94" hidden="1">#REF!</definedName>
    <definedName name="IQREingabenG37" hidden="1">#REF!</definedName>
    <definedName name="IQREingabenG38" localSheetId="7" hidden="1">#REF!</definedName>
    <definedName name="IQREingabenG38" localSheetId="5" hidden="1">#REF!</definedName>
    <definedName name="IQREingabenG38" localSheetId="3" hidden="1">#REF!</definedName>
    <definedName name="IQREingabenG38" localSheetId="4" hidden="1">#REF!</definedName>
    <definedName name="IQREingabenG39" localSheetId="7" hidden="1">#REF!</definedName>
    <definedName name="IQREingabenG39" localSheetId="5" hidden="1">#REF!</definedName>
    <definedName name="IQREingabenG39" localSheetId="3" hidden="1">#REF!</definedName>
    <definedName name="IQREingabenG39" localSheetId="4" hidden="1">#REF!</definedName>
    <definedName name="IQREingabenH101" hidden="1">#REF!</definedName>
    <definedName name="IQREingabenH108" hidden="1">#REF!</definedName>
    <definedName name="IQREingabenH122" hidden="1">#REF!</definedName>
    <definedName name="IQREingabenH138" hidden="1">#REF!</definedName>
    <definedName name="IQREingabenH139" hidden="1">#REF!</definedName>
    <definedName name="IQREingabenH37" hidden="1">#REF!</definedName>
    <definedName name="IQREingabenH40" hidden="1">#REF!</definedName>
    <definedName name="IQREingabenH42" hidden="1">#REF!</definedName>
    <definedName name="IQREingabenH43" hidden="1">#REF!</definedName>
    <definedName name="IQREingabenH44" hidden="1">#REF!</definedName>
    <definedName name="IQREingabenH45" hidden="1">#REF!</definedName>
    <definedName name="IQREingabenH46" hidden="1">#REF!</definedName>
    <definedName name="IQREingabenH51" hidden="1">#REF!</definedName>
    <definedName name="IQREingabenH52" hidden="1">#REF!</definedName>
    <definedName name="IQREingabenH53" hidden="1">#REF!</definedName>
    <definedName name="IQREingabenH57" hidden="1">#REF!</definedName>
    <definedName name="IQREingabenH62" hidden="1">#REF!</definedName>
    <definedName name="IQREingabenH65" hidden="1">#REF!</definedName>
    <definedName name="IQREingabenH69" hidden="1">#REF!</definedName>
    <definedName name="IQREingabenH72" hidden="1">#REF!</definedName>
    <definedName name="IQREingabenH87" hidden="1">#REF!</definedName>
    <definedName name="IQREingabenH94" hidden="1">#REF!</definedName>
    <definedName name="IQREingabenJ2" hidden="1">#REF!</definedName>
    <definedName name="IQREingabenJ38" hidden="1">#REF!</definedName>
    <definedName name="IQREingabenJ43" hidden="1">#REF!</definedName>
    <definedName name="IQREingabenJ45" hidden="1">#REF!</definedName>
    <definedName name="IQREingabenJ46" hidden="1">#REF!</definedName>
    <definedName name="IQREingabenJ48" hidden="1">#REF!</definedName>
    <definedName name="IQREingabenJ52" hidden="1">#REF!</definedName>
    <definedName name="IQREingabenJ59" hidden="1">#REF!</definedName>
    <definedName name="IQREingabenJ82" hidden="1">#REF!</definedName>
    <definedName name="IQREingabenK10" hidden="1">#REF!</definedName>
    <definedName name="IQREingabenK2" hidden="1">#REF!</definedName>
    <definedName name="IQREingabenK29" hidden="1">#REF!</definedName>
    <definedName name="IQREingabenK30" hidden="1">#REF!</definedName>
    <definedName name="IQREingabenK32" hidden="1">#REF!</definedName>
    <definedName name="IQREingabenK38" hidden="1">#REF!</definedName>
    <definedName name="IQREingabenK48" hidden="1">#REF!</definedName>
    <definedName name="IQREingabenK8" hidden="1">#REF!</definedName>
    <definedName name="IQREingabenK82" hidden="1">#REF!</definedName>
    <definedName name="IQREingabenL2" hidden="1">#REF!</definedName>
    <definedName name="IQREingabenL38" hidden="1">#REF!</definedName>
    <definedName name="IQREingabenL45" hidden="1">#REF!</definedName>
    <definedName name="IQREingabenL46" hidden="1">#REF!</definedName>
    <definedName name="IQREingabenL48" hidden="1">#REF!</definedName>
    <definedName name="IQREingabenL52" hidden="1">#REF!</definedName>
    <definedName name="IQREingabenL59" hidden="1">#REF!</definedName>
    <definedName name="IQREingabenL8" hidden="1">#REF!</definedName>
    <definedName name="IQREingabenM10" hidden="1">#REF!</definedName>
    <definedName name="IQREingabenM16" hidden="1">#REF!</definedName>
    <definedName name="IQREingabenM2" hidden="1">#REF!</definedName>
    <definedName name="IQREingabenM20" hidden="1">#REF!</definedName>
    <definedName name="IQREingabenM23" hidden="1">#REF!</definedName>
    <definedName name="IQREingabenM38" hidden="1">#REF!</definedName>
    <definedName name="IQREingabenM48" hidden="1">#REF!</definedName>
    <definedName name="IQREingabenM52" hidden="1">#REF!</definedName>
    <definedName name="IQREingabenM9" hidden="1">#REF!</definedName>
    <definedName name="IQREingabenN10" hidden="1">#REF!</definedName>
    <definedName name="IQREingabenN2" hidden="1">#REF!</definedName>
    <definedName name="IQREingabenN38" hidden="1">#REF!</definedName>
    <definedName name="IQREingabenN9" hidden="1">#REF!</definedName>
    <definedName name="IQREingabenO10" hidden="1">#REF!</definedName>
    <definedName name="IQREingabenO16" hidden="1">#REF!</definedName>
    <definedName name="IQREingabenO18" hidden="1">#REF!</definedName>
    <definedName name="IQREingabenO19" hidden="1">#REF!</definedName>
    <definedName name="IQREingabenO2" hidden="1">#REF!</definedName>
    <definedName name="IQREingabenO20" hidden="1">#REF!</definedName>
    <definedName name="IQREingabenO21" hidden="1">#REF!</definedName>
    <definedName name="IQREingabenO22" hidden="1">#REF!</definedName>
    <definedName name="IQREingabenO23" hidden="1">#REF!</definedName>
    <definedName name="IQREingabenO24" hidden="1">#REF!</definedName>
    <definedName name="IQREingabenO25" hidden="1">#REF!</definedName>
    <definedName name="IQREingabenO27" localSheetId="7" hidden="1">#REF!</definedName>
    <definedName name="IQREingabenO27" localSheetId="5" hidden="1">#REF!</definedName>
    <definedName name="IQREingabenO27" localSheetId="3" hidden="1">#REF!</definedName>
    <definedName name="IQREingabenO27" localSheetId="4" hidden="1">#REF!</definedName>
    <definedName name="IQREingabenO3" hidden="1">#REF!</definedName>
    <definedName name="IQREingabenO32" hidden="1">#REF!</definedName>
    <definedName name="IQREingabenO38" hidden="1">#REF!</definedName>
    <definedName name="IQREingabenO52" hidden="1">#REF!</definedName>
    <definedName name="IQREingabenO9" hidden="1">#REF!</definedName>
    <definedName name="IQREingabenP10" hidden="1">#REF!</definedName>
    <definedName name="IQREingabenP16" hidden="1">#REF!</definedName>
    <definedName name="IQREingabenP18" hidden="1">#REF!</definedName>
    <definedName name="IQREingabenP2" hidden="1">#REF!</definedName>
    <definedName name="IQREingabenP23" hidden="1">#REF!</definedName>
    <definedName name="IQREingabenP38" hidden="1">#REF!</definedName>
    <definedName name="IQREingabenP9" hidden="1">#REF!</definedName>
    <definedName name="IQREingabenQ16" hidden="1">#REF!</definedName>
    <definedName name="IQREingabenQ18" hidden="1">#REF!</definedName>
    <definedName name="IQREingabenQ2" hidden="1">#REF!</definedName>
    <definedName name="IQREingabenQ3" hidden="1">#REF!</definedName>
    <definedName name="IQREingabenQ9" hidden="1">#REF!</definedName>
    <definedName name="IQREingabenR16" hidden="1">#REF!</definedName>
    <definedName name="IQREingabenR2" hidden="1">#REF!</definedName>
    <definedName name="IQREingabenR3" hidden="1">#REF!</definedName>
    <definedName name="IQREingabenS16" hidden="1">#REF!</definedName>
    <definedName name="IQREingabenS2" hidden="1">#REF!</definedName>
    <definedName name="IQREingabenU38" hidden="1">#REF!</definedName>
    <definedName name="IQREingabenU52" hidden="1">#REF!</definedName>
    <definedName name="IQREingabenV38" hidden="1">#REF!</definedName>
    <definedName name="IQREingabenV39" hidden="1">#REF!</definedName>
    <definedName name="IQREingabenV40" hidden="1">#REF!</definedName>
    <definedName name="IQREingabenV41" hidden="1">#REF!</definedName>
    <definedName name="IQRG11" hidden="1">#REF!</definedName>
    <definedName name="IQRG18" hidden="1">#REF!</definedName>
    <definedName name="IQRG25" hidden="1">#REF!</definedName>
    <definedName name="IQRG4" hidden="1">#REF!</definedName>
    <definedName name="IQRGuVB43" hidden="1">#REF!</definedName>
    <definedName name="IQRGuVB58" hidden="1">#REF!</definedName>
    <definedName name="IQRGuVC15" hidden="1">#REF!</definedName>
    <definedName name="IQRGuVC22" localSheetId="7" hidden="1">#REF!</definedName>
    <definedName name="IQRGuVC22" localSheetId="5" hidden="1">#REF!</definedName>
    <definedName name="IQRGuVC22" localSheetId="3" hidden="1">#REF!</definedName>
    <definedName name="IQRGuVC22" localSheetId="4" hidden="1">#REF!</definedName>
    <definedName name="IQRGuVC29" localSheetId="7" hidden="1">#REF!</definedName>
    <definedName name="IQRGuVC29" localSheetId="5" hidden="1">#REF!</definedName>
    <definedName name="IQRGuVC29" localSheetId="3" hidden="1">#REF!</definedName>
    <definedName name="IQRGuVC29" localSheetId="4" hidden="1">#REF!</definedName>
    <definedName name="IQRGuVC36" hidden="1">#REF!</definedName>
    <definedName name="IQRGuVC43" hidden="1">#REF!</definedName>
    <definedName name="IQRGuVC58" hidden="1">#REF!</definedName>
    <definedName name="IQRHolderB2" hidden="1">#REF!</definedName>
    <definedName name="IQRHolderB30" hidden="1">#REF!</definedName>
    <definedName name="IQRHolderB31" hidden="1">#REF!</definedName>
    <definedName name="IQRHolderB32" hidden="1">#REF!</definedName>
    <definedName name="IQRHolderB4" hidden="1">#REF!</definedName>
    <definedName name="IQRHolderB48" hidden="1">#REF!</definedName>
    <definedName name="IQRHolderD2" hidden="1">#REF!</definedName>
    <definedName name="IQRHolderD30" hidden="1">#REF!</definedName>
    <definedName name="IQRHolderD31" hidden="1">#REF!</definedName>
    <definedName name="IQRHolderD32" hidden="1">#REF!</definedName>
    <definedName name="IQRHolderD4" hidden="1">#REF!</definedName>
    <definedName name="IQRHolderD48" hidden="1">#REF!</definedName>
    <definedName name="IQRHolderE2" hidden="1">#REF!</definedName>
    <definedName name="IQRHolderE4" hidden="1">#REF!</definedName>
    <definedName name="IQRHolderG11" hidden="1">#REF!</definedName>
    <definedName name="IQRHolderG16" hidden="1">#REF!</definedName>
    <definedName name="IQRHolderG18" hidden="1">#REF!</definedName>
    <definedName name="IQRHolderG2" hidden="1">#REF!</definedName>
    <definedName name="IQRHolderG23" hidden="1">#REF!</definedName>
    <definedName name="IQRHolderG25" hidden="1">#REF!</definedName>
    <definedName name="IQRHolderG4" hidden="1">#REF!</definedName>
    <definedName name="IQRHolderG9" hidden="1">#REF!</definedName>
    <definedName name="IQRHolderH11" hidden="1">#REF!</definedName>
    <definedName name="IQRHolderH9" hidden="1">#REF!</definedName>
    <definedName name="IQRHolderI11" hidden="1">#REF!</definedName>
    <definedName name="IQRHolderI16" hidden="1">#REF!</definedName>
    <definedName name="IQRHolderI18" hidden="1">#REF!</definedName>
    <definedName name="IQRHolderI2" hidden="1">#REF!</definedName>
    <definedName name="IQRHolderI4" hidden="1">#REF!</definedName>
    <definedName name="IQRHolderJ16" hidden="1">#REF!</definedName>
    <definedName name="IQRHolderJ18" hidden="1">#REF!</definedName>
    <definedName name="IQRHolderJ2" hidden="1">#REF!</definedName>
    <definedName name="IQRHolderJ4" hidden="1">#REF!</definedName>
    <definedName name="IQRI11" hidden="1">#REF!</definedName>
    <definedName name="IQRI18" hidden="1">#REF!</definedName>
    <definedName name="IQRI4" hidden="1">#REF!</definedName>
    <definedName name="IQRJ18" hidden="1">#REF!</definedName>
    <definedName name="IQRJ4" hidden="1">#REF!</definedName>
    <definedName name="IQRK14" hidden="1">#REF!</definedName>
    <definedName name="IQRKeyDevsNewsEventsH5" hidden="1">#REF!</definedName>
    <definedName name="IQRKeyDevsNewsEventsU5" hidden="1">#REF!</definedName>
    <definedName name="IQRL14" hidden="1">#REF!</definedName>
    <definedName name="IQRM14" hidden="1">#REF!</definedName>
    <definedName name="IQRMultiplesAM5" hidden="1">#REF!</definedName>
    <definedName name="IQRN14" hidden="1">#REF!</definedName>
    <definedName name="IQRO14" hidden="1">#REF!</definedName>
    <definedName name="IQROptionenK12" hidden="1">#REF!</definedName>
    <definedName name="IQROptionenK13" hidden="1">#REF!</definedName>
    <definedName name="IQROptionenK14" hidden="1">#REF!</definedName>
    <definedName name="IQROptionenL12" hidden="1">#REF!</definedName>
    <definedName name="IQROptionenL13" hidden="1">#REF!</definedName>
    <definedName name="IQROptionenL14" hidden="1">#REF!</definedName>
    <definedName name="IQROptionenM12" hidden="1">#REF!</definedName>
    <definedName name="IQROptionenM13" hidden="1">#REF!</definedName>
    <definedName name="IQROptionenM14" hidden="1">#REF!</definedName>
    <definedName name="IQROptionenN12" hidden="1">#REF!</definedName>
    <definedName name="IQROptionenN13" hidden="1">#REF!</definedName>
    <definedName name="IQROptionenN14" hidden="1">#REF!</definedName>
    <definedName name="IQROptionenO12" hidden="1">#REF!</definedName>
    <definedName name="IQROptionenO13" hidden="1">#REF!</definedName>
    <definedName name="IQROptionenO14" hidden="1">#REF!</definedName>
    <definedName name="IQROptionenP12" hidden="1">#REF!</definedName>
    <definedName name="IQROptionenP13" hidden="1">#REF!</definedName>
    <definedName name="IQROptionenP14" hidden="1">#REF!</definedName>
    <definedName name="IQROptionenQ13" hidden="1">#REF!</definedName>
    <definedName name="IQROptionenQ14" hidden="1">#REF!</definedName>
    <definedName name="IQROptionenR12" hidden="1">#REF!</definedName>
    <definedName name="IQROptionenR13" hidden="1">#REF!</definedName>
    <definedName name="IQROptionenR14" hidden="1">#REF!</definedName>
    <definedName name="IQROptionenS12" hidden="1">#REF!</definedName>
    <definedName name="IQROptionenS13" hidden="1">#REF!</definedName>
    <definedName name="IQROptionenS14" hidden="1">#REF!</definedName>
    <definedName name="IQROptionenT12" hidden="1">#REF!</definedName>
    <definedName name="IQROptionenT13" hidden="1">#REF!</definedName>
    <definedName name="IQROptionenT14" hidden="1">#REF!</definedName>
    <definedName name="IQROptionenU13" hidden="1">#REF!</definedName>
    <definedName name="IQROptionenU14" hidden="1">#REF!</definedName>
    <definedName name="IQROutputB43" hidden="1">#REF!</definedName>
    <definedName name="IQROutputB44" hidden="1">#REF!</definedName>
    <definedName name="IQROutputD16" hidden="1">#REF!</definedName>
    <definedName name="IQROutputI43" hidden="1">#REF!</definedName>
    <definedName name="IQROutputI44" hidden="1">#REF!</definedName>
    <definedName name="IQROutputK10" hidden="1">#REF!</definedName>
    <definedName name="IQROutputK34" hidden="1">#REF!</definedName>
    <definedName name="IQROutputK43" hidden="1">#REF!</definedName>
    <definedName name="IQROutputK44" hidden="1">#REF!</definedName>
    <definedName name="IQROutputM10" hidden="1">#REF!</definedName>
    <definedName name="IQROutputM34" hidden="1">#REF!</definedName>
    <definedName name="IQROutputM43" hidden="1">#REF!</definedName>
    <definedName name="IQROutputM44" hidden="1">#REF!</definedName>
    <definedName name="IQROutputN10" hidden="1">#REF!</definedName>
    <definedName name="IQROutputN34" hidden="1">#REF!</definedName>
    <definedName name="IQROutputN43" hidden="1">#REF!</definedName>
    <definedName name="IQROutputN44" hidden="1">#REF!</definedName>
    <definedName name="IQRP14" hidden="1">#REF!</definedName>
    <definedName name="IQRPeersF24" hidden="1">#REF!</definedName>
    <definedName name="IQRPeersneuF24" hidden="1">#REF!</definedName>
    <definedName name="IQRPeersneuG24" hidden="1">#REF!</definedName>
    <definedName name="IQRQ14" hidden="1">#REF!</definedName>
    <definedName name="IQRR14" hidden="1">#REF!</definedName>
    <definedName name="IQRS14" hidden="1">#REF!</definedName>
    <definedName name="IQRSPDCF2BF10" hidden="1">#REF!</definedName>
    <definedName name="IQRSPDCF2BN10" hidden="1">#REF!</definedName>
    <definedName name="IQRSPDCFBF10" hidden="1">#REF!</definedName>
    <definedName name="IQRSPDCFBN10" hidden="1">#REF!</definedName>
    <definedName name="IQRSPDCFIBF10" hidden="1">#REF!</definedName>
    <definedName name="IQRSPDCFIBN10" hidden="1">#REF!</definedName>
    <definedName name="IQRSPDCFIIBF10" hidden="1">#REF!</definedName>
    <definedName name="IQRSPDCFIIBN10" hidden="1">#REF!</definedName>
    <definedName name="IQRTabelle10BF10" hidden="1">#REF!</definedName>
    <definedName name="IQRTabelle10BN10" hidden="1">#REF!</definedName>
    <definedName name="IQRTabelle2D16" hidden="1">#REF!</definedName>
    <definedName name="IQRTabelle2K43" hidden="1">#REF!</definedName>
    <definedName name="IQRTabelle2M43" hidden="1">#REF!</definedName>
    <definedName name="IQRTabelle2N43" hidden="1">#REF!</definedName>
    <definedName name="IQRTearsheetAG15" hidden="1">#REF!</definedName>
    <definedName name="IQRTearsheetAH15" hidden="1">#REF!</definedName>
    <definedName name="IQRTearsheetAI15" hidden="1">#REF!</definedName>
    <definedName name="IQRTitelB526" hidden="1">#REF!</definedName>
    <definedName name="IQRTitelD18" hidden="1">#REF!</definedName>
    <definedName name="IQRTitelD526" hidden="1">#REF!</definedName>
    <definedName name="IQRTitelG526" hidden="1">#REF!</definedName>
    <definedName name="IQRTitelK526" hidden="1">#REF!</definedName>
    <definedName name="IQRTitelK533" hidden="1">#REF!</definedName>
    <definedName name="IQRTitelK540" hidden="1">#REF!</definedName>
    <definedName name="IQRTitelK547" hidden="1">#REF!</definedName>
    <definedName name="IQRTitelQ526" hidden="1">#REF!</definedName>
    <definedName name="IQRTitelQ533" hidden="1">#REF!</definedName>
    <definedName name="IQRTitelQ540" hidden="1">#REF!</definedName>
    <definedName name="IQRTitelT526" hidden="1">#REF!</definedName>
    <definedName name="IQRTitelT540" hidden="1">#REF!</definedName>
    <definedName name="IQRTitelV526" hidden="1">#REF!</definedName>
    <definedName name="IQRtrashK10" hidden="1">#REF!</definedName>
    <definedName name="IQRtrashK21" hidden="1">#REF!</definedName>
    <definedName name="IQRtrashK82" hidden="1">#REF!</definedName>
    <definedName name="IQRtrashM10" hidden="1">#REF!</definedName>
    <definedName name="IQRtrashN10" hidden="1">#REF!</definedName>
    <definedName name="IQRtrashV38" hidden="1">#REF!</definedName>
    <definedName name="IQRwaccB105" hidden="1">#REF!</definedName>
    <definedName name="IQRwaccB106" hidden="1">#REF!</definedName>
    <definedName name="IQRwaccB107" hidden="1">#REF!</definedName>
    <definedName name="IQRwaccB108" hidden="1">#REF!</definedName>
    <definedName name="IQRwaccB109" hidden="1">#REF!</definedName>
    <definedName name="IQRwaccB111" hidden="1">#REF!</definedName>
    <definedName name="IQRwaccB22" hidden="1">#REF!</definedName>
    <definedName name="IQRwaccB69" hidden="1">#REF!</definedName>
    <definedName name="IQRwaccB91" hidden="1">#REF!</definedName>
    <definedName name="IQRwaccB97" hidden="1">#REF!</definedName>
    <definedName name="IQRwaccB98" hidden="1">#REF!</definedName>
    <definedName name="IQRwaccC105" hidden="1">#REF!</definedName>
    <definedName name="IQRwaccC106" hidden="1">#REF!</definedName>
    <definedName name="IQRwaccC107" hidden="1">#REF!</definedName>
    <definedName name="IQRwaccC108" hidden="1">#REF!</definedName>
    <definedName name="IQRwaccC109" hidden="1">#REF!</definedName>
    <definedName name="IQRwaccC111" hidden="1">#REF!</definedName>
    <definedName name="IQRwaccC91" hidden="1">#REF!</definedName>
    <definedName name="IQRwaccC97" hidden="1">#REF!</definedName>
    <definedName name="IQRwaccC98" hidden="1">#REF!</definedName>
    <definedName name="IQRwaccD22" hidden="1">#REF!</definedName>
    <definedName name="IQRwaccD91" hidden="1">#REF!</definedName>
    <definedName name="IQRwaccE91" hidden="1">#REF!</definedName>
    <definedName name="IQRwaccT69" hidden="1">#REF!</definedName>
    <definedName name="IQRwaccT71" hidden="1">#REF!</definedName>
    <definedName name="solver_eng" localSheetId="7" hidden="1">1</definedName>
    <definedName name="solver_eng" localSheetId="5" hidden="1">1</definedName>
    <definedName name="solver_eng" localSheetId="3" hidden="1">1</definedName>
    <definedName name="solver_eng" localSheetId="4" hidden="1">1</definedName>
    <definedName name="solver_neg" localSheetId="7" hidden="1">1</definedName>
    <definedName name="solver_neg" localSheetId="5" hidden="1">1</definedName>
    <definedName name="solver_neg" localSheetId="3" hidden="1">1</definedName>
    <definedName name="solver_neg" localSheetId="4" hidden="1">1</definedName>
    <definedName name="solver_num" localSheetId="7" hidden="1">0</definedName>
    <definedName name="solver_num" localSheetId="5" hidden="1">0</definedName>
    <definedName name="solver_num" localSheetId="3" hidden="1">0</definedName>
    <definedName name="solver_num" localSheetId="4" hidden="1">0</definedName>
    <definedName name="solver_opt" localSheetId="7" hidden="1">'DINA 4'!#REF!</definedName>
    <definedName name="solver_opt" localSheetId="5" hidden="1">'DIY Grundmodell'!#REF!</definedName>
    <definedName name="solver_opt" localSheetId="3" hidden="1">'Report F6'!#REF!</definedName>
    <definedName name="solver_opt" localSheetId="4" hidden="1">'Report F7'!#REF!</definedName>
    <definedName name="solver_typ" localSheetId="7" hidden="1">1</definedName>
    <definedName name="solver_typ" localSheetId="5" hidden="1">1</definedName>
    <definedName name="solver_typ" localSheetId="3" hidden="1">1</definedName>
    <definedName name="solver_typ" localSheetId="4" hidden="1">1</definedName>
    <definedName name="solver_val" localSheetId="7" hidden="1">0</definedName>
    <definedName name="solver_val" localSheetId="5" hidden="1">0</definedName>
    <definedName name="solver_val" localSheetId="3" hidden="1">0</definedName>
    <definedName name="solver_val" localSheetId="4" hidden="1">0</definedName>
    <definedName name="solver_ver" localSheetId="7" hidden="1">3</definedName>
    <definedName name="solver_ver" localSheetId="5" hidden="1">3</definedName>
    <definedName name="solver_ver" localSheetId="3" hidden="1">3</definedName>
    <definedName name="solver_ver" localSheetId="4"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254" l="1"/>
  <c r="O9" i="3193"/>
  <c r="J9" i="3193"/>
  <c r="K9" i="3193"/>
  <c r="L9" i="3193"/>
  <c r="M9" i="3193"/>
  <c r="A11" i="3193"/>
  <c r="A12" i="3193"/>
  <c r="A13" i="3193"/>
  <c r="A14" i="3193"/>
  <c r="A15" i="3193"/>
  <c r="A16" i="3193"/>
  <c r="A17" i="3193"/>
  <c r="A18" i="3193"/>
  <c r="A19" i="3193" s="1"/>
  <c r="A20" i="3193" s="1"/>
  <c r="A21" i="3193" s="1"/>
  <c r="A22" i="3193" s="1"/>
  <c r="A23" i="3193" s="1"/>
  <c r="A24" i="3193" s="1"/>
  <c r="A25" i="3193" s="1"/>
  <c r="A26" i="3193" s="1"/>
  <c r="A27" i="3193" s="1"/>
  <c r="A28" i="3193" s="1"/>
  <c r="A29" i="3193"/>
  <c r="A30" i="3193" s="1"/>
  <c r="A31" i="3193" s="1"/>
  <c r="A32" i="3193" s="1"/>
  <c r="A33" i="3193" s="1"/>
  <c r="A34" i="3193" s="1"/>
  <c r="A35" i="3193" s="1"/>
  <c r="A36" i="3193" s="1"/>
  <c r="A37" i="3193" s="1"/>
  <c r="A38" i="3193" s="1"/>
  <c r="A39" i="3193" s="1"/>
  <c r="A40" i="3193" s="1"/>
  <c r="A41" i="3193" s="1"/>
  <c r="A42" i="3193" s="1"/>
  <c r="A43" i="3193" s="1"/>
  <c r="A44" i="3193" s="1"/>
  <c r="A45" i="3193" s="1"/>
  <c r="A46" i="3193" s="1"/>
  <c r="A47" i="3193" s="1"/>
  <c r="A48" i="3193" s="1"/>
  <c r="A49" i="3193" s="1"/>
  <c r="A50" i="3193" s="1"/>
  <c r="A51" i="3193" s="1"/>
  <c r="A52" i="3193" s="1"/>
  <c r="A53" i="3193" s="1"/>
  <c r="A54" i="3193" s="1"/>
  <c r="A55" i="3193" s="1"/>
  <c r="A56" i="3193" s="1"/>
  <c r="A57" i="3193" s="1"/>
  <c r="A58" i="3193" s="1"/>
  <c r="A59" i="3193" s="1"/>
  <c r="A60" i="3193" s="1"/>
  <c r="A61" i="3193" s="1"/>
  <c r="A62" i="3193" s="1"/>
  <c r="A63" i="3193" s="1"/>
  <c r="A64" i="3193" s="1"/>
  <c r="A65" i="3193" s="1"/>
  <c r="A66" i="3193" s="1"/>
  <c r="A67" i="3193" s="1"/>
  <c r="A68" i="3193" s="1"/>
  <c r="A69" i="3193" s="1"/>
  <c r="A70" i="3193" s="1"/>
  <c r="A71" i="3193" s="1"/>
  <c r="A72" i="3193" s="1"/>
  <c r="A73" i="3193" s="1"/>
  <c r="A74" i="3193" s="1"/>
  <c r="A75" i="3193" s="1"/>
  <c r="A76" i="3193" s="1"/>
  <c r="A77" i="3193" s="1"/>
  <c r="A78" i="3193" s="1"/>
  <c r="A79" i="3193" s="1"/>
  <c r="A80" i="3193" s="1"/>
  <c r="A81" i="3193" s="1"/>
  <c r="A82" i="3193" s="1"/>
  <c r="A83" i="3193" s="1"/>
  <c r="A84" i="3193" s="1"/>
  <c r="A85" i="3193" s="1"/>
  <c r="A86" i="3193" s="1"/>
  <c r="A87" i="3193" s="1"/>
  <c r="A88" i="3193" s="1"/>
  <c r="A89" i="3193" s="1"/>
  <c r="A90" i="3193" s="1"/>
  <c r="A91" i="3193" s="1"/>
  <c r="A92" i="3193" s="1"/>
  <c r="A93" i="3193" s="1"/>
  <c r="A94" i="3193" s="1"/>
  <c r="A95" i="3193" s="1"/>
  <c r="A96" i="3193" s="1"/>
  <c r="A97" i="3193" s="1"/>
  <c r="A98" i="3193" s="1"/>
  <c r="A99" i="3193" s="1"/>
  <c r="A100" i="3193" s="1"/>
  <c r="A101" i="3193" s="1"/>
  <c r="A102" i="3193" s="1"/>
  <c r="A103" i="3193" s="1"/>
  <c r="A104" i="3193" s="1"/>
  <c r="A105" i="3193" s="1"/>
  <c r="A106" i="3193" s="1"/>
  <c r="A107" i="3193" s="1"/>
  <c r="A108" i="3193" s="1"/>
  <c r="A109" i="3193" s="1"/>
  <c r="A110" i="3193" s="1"/>
  <c r="A111" i="3193" s="1"/>
  <c r="A112" i="3193" s="1"/>
  <c r="A113" i="3193" s="1"/>
  <c r="A114" i="3193" s="1"/>
  <c r="A115" i="3193" s="1"/>
  <c r="A116" i="3193" s="1"/>
  <c r="A117" i="3193" s="1"/>
  <c r="A118" i="3193" s="1"/>
  <c r="A119" i="3193" s="1"/>
  <c r="A120" i="3193" s="1"/>
  <c r="A121" i="3193" s="1"/>
  <c r="A122" i="3193" s="1"/>
  <c r="A123" i="3193" s="1"/>
  <c r="A124" i="3193" s="1"/>
  <c r="A125" i="3193" s="1"/>
  <c r="A126" i="3193" s="1"/>
  <c r="A127" i="3193" s="1"/>
  <c r="A128" i="3193" s="1"/>
  <c r="A129" i="3193" s="1"/>
  <c r="A130" i="3193" s="1"/>
  <c r="A131" i="3193" s="1"/>
  <c r="A132" i="3193" s="1"/>
  <c r="A133" i="3193" s="1"/>
  <c r="A134" i="3193" s="1"/>
  <c r="A135" i="3193" s="1"/>
  <c r="A136" i="3193" s="1"/>
  <c r="A137" i="3193" s="1"/>
  <c r="A138" i="3193" s="1"/>
  <c r="A139" i="3193" s="1"/>
  <c r="A140" i="3193" s="1"/>
  <c r="A141" i="3193" s="1"/>
  <c r="A142" i="3193" s="1"/>
  <c r="A143" i="3193" s="1"/>
  <c r="A144" i="3193" s="1"/>
  <c r="A145" i="3193" s="1"/>
  <c r="A146" i="3193" s="1"/>
  <c r="A147" i="3193" s="1"/>
  <c r="A148" i="3193" s="1"/>
  <c r="A149" i="3193" s="1"/>
  <c r="A150" i="3193" s="1"/>
  <c r="A151" i="3193" s="1"/>
  <c r="A152" i="3193" s="1"/>
  <c r="A153" i="3193" s="1"/>
  <c r="A154" i="3193" s="1"/>
  <c r="A155" i="3193" s="1"/>
  <c r="A156" i="3193" s="1"/>
  <c r="A157" i="3193" s="1"/>
  <c r="A158" i="3193" s="1"/>
  <c r="A159" i="3193" s="1"/>
  <c r="A160" i="3193" s="1"/>
  <c r="A161" i="3193" s="1"/>
  <c r="A162" i="3193" s="1"/>
  <c r="A163" i="3193" s="1"/>
  <c r="A164" i="3193" s="1"/>
  <c r="A165" i="3193" s="1"/>
  <c r="A166" i="3193" s="1"/>
  <c r="A167" i="3193" s="1"/>
  <c r="A168" i="3193" s="1"/>
  <c r="A169" i="3193" s="1"/>
  <c r="A170" i="3193" s="1"/>
  <c r="A171" i="3193" s="1"/>
  <c r="A172" i="3193" s="1"/>
  <c r="A173" i="3193" s="1"/>
  <c r="A174" i="3193" s="1"/>
  <c r="A175" i="3193" s="1"/>
  <c r="A176" i="3193" s="1"/>
  <c r="A177" i="3193" s="1"/>
  <c r="A178" i="3193" s="1"/>
  <c r="A179" i="3193" s="1"/>
  <c r="A180" i="3193" s="1"/>
  <c r="A181" i="3193" s="1"/>
  <c r="A182" i="3193" s="1"/>
  <c r="A183" i="3193" s="1"/>
  <c r="A184" i="3193" s="1"/>
  <c r="A185" i="3193" s="1"/>
  <c r="A186" i="3193" s="1"/>
  <c r="A187" i="3193" s="1"/>
  <c r="A188" i="3193" s="1"/>
  <c r="A189" i="3193" s="1"/>
  <c r="A190" i="3193" s="1"/>
  <c r="A191" i="3193" s="1"/>
  <c r="A192" i="3193" s="1"/>
  <c r="A193" i="3193" s="1"/>
  <c r="A194" i="3193" s="1"/>
  <c r="A195" i="3193" s="1"/>
  <c r="A196" i="3193" s="1"/>
  <c r="A197" i="3193" s="1"/>
  <c r="A198" i="3193" s="1"/>
  <c r="A199" i="3193" s="1"/>
  <c r="A200" i="3193" s="1"/>
  <c r="A201" i="3193" s="1"/>
  <c r="A202" i="3193" s="1"/>
  <c r="A203" i="3193" s="1"/>
  <c r="A204" i="3193" s="1"/>
  <c r="A205" i="3193" s="1"/>
  <c r="A206" i="3193" s="1"/>
  <c r="A207" i="3193" s="1"/>
  <c r="A208" i="3193" s="1"/>
  <c r="A209" i="3193" s="1"/>
  <c r="A210" i="3193" s="1"/>
  <c r="A211" i="3193" s="1"/>
  <c r="A212" i="3193" s="1"/>
  <c r="A213" i="3193" s="1"/>
  <c r="A214" i="3193" s="1"/>
  <c r="A215" i="3193" s="1"/>
  <c r="A216" i="3193" s="1"/>
  <c r="A217" i="3193" s="1"/>
  <c r="A218" i="3193" s="1"/>
  <c r="A219" i="3193" s="1"/>
  <c r="A220" i="3193" s="1"/>
  <c r="A221" i="3193" s="1"/>
  <c r="A222" i="3193" s="1"/>
  <c r="A223" i="3193" s="1"/>
  <c r="A224" i="3193" s="1"/>
  <c r="A225" i="3193" s="1"/>
  <c r="A226" i="3193" s="1"/>
  <c r="A227" i="3193" s="1"/>
  <c r="A228" i="3193" s="1"/>
  <c r="A229" i="3193" s="1"/>
  <c r="A230" i="3193" s="1"/>
  <c r="A231" i="3193" s="1"/>
  <c r="A232" i="3193" s="1"/>
  <c r="A233" i="3193" s="1"/>
  <c r="A234" i="3193" s="1"/>
  <c r="A235" i="3193" s="1"/>
  <c r="A236" i="3193" s="1"/>
  <c r="A237" i="3193" s="1"/>
  <c r="A238" i="3193" s="1"/>
  <c r="A239" i="3193" s="1"/>
  <c r="A240" i="3193" s="1"/>
  <c r="A241" i="3193" s="1"/>
  <c r="A242" i="3193" s="1"/>
  <c r="A243" i="3193" s="1"/>
  <c r="A244" i="3193" s="1"/>
  <c r="A245" i="3193" s="1"/>
  <c r="A246" i="3193" s="1"/>
  <c r="A247" i="3193" s="1"/>
  <c r="A248" i="3193" s="1"/>
  <c r="A249" i="3193" s="1"/>
  <c r="A250" i="3193" s="1"/>
  <c r="A251" i="3193" s="1"/>
  <c r="A252" i="3193" s="1"/>
  <c r="A253" i="3193" s="1"/>
  <c r="A254" i="3193" s="1"/>
  <c r="A255" i="3193" s="1"/>
  <c r="A256" i="3193" s="1"/>
  <c r="A257" i="3193" s="1"/>
  <c r="A258" i="3193" s="1"/>
  <c r="A259" i="3193" s="1"/>
  <c r="A4" i="3254"/>
  <c r="H4" i="3254"/>
  <c r="A6" i="3254"/>
  <c r="A7" i="3254"/>
  <c r="A9" i="3254"/>
  <c r="A10" i="3254"/>
  <c r="A11" i="3254"/>
  <c r="H11" i="3254"/>
  <c r="A15" i="3254"/>
  <c r="A16" i="3254"/>
  <c r="A17" i="3254"/>
  <c r="H17" i="3254"/>
  <c r="A18" i="3254"/>
  <c r="H20" i="3254"/>
  <c r="H24" i="3254"/>
  <c r="G29" i="3254"/>
  <c r="L29" i="3254"/>
  <c r="N29" i="3254"/>
  <c r="L30" i="3254"/>
  <c r="N30" i="3254"/>
  <c r="A31" i="3254"/>
  <c r="A32" i="3254"/>
  <c r="A34" i="3254"/>
  <c r="A35" i="3254"/>
  <c r="A36" i="3254"/>
  <c r="A37" i="3254"/>
  <c r="A41" i="3254"/>
  <c r="L43" i="3254"/>
  <c r="A45" i="3254"/>
  <c r="L45" i="3254"/>
  <c r="A46" i="3254"/>
  <c r="L46" i="3254"/>
  <c r="A47" i="3254"/>
  <c r="A48" i="3254"/>
  <c r="A49" i="3254"/>
  <c r="L49" i="3254"/>
  <c r="A50" i="3254"/>
  <c r="A51" i="3254"/>
  <c r="L51" i="3254"/>
  <c r="N51" i="3254"/>
  <c r="L52" i="3254"/>
  <c r="A54" i="3254"/>
  <c r="A55" i="3254"/>
  <c r="A56" i="3254"/>
  <c r="A57" i="3254"/>
  <c r="A58" i="3254"/>
  <c r="A59" i="3254"/>
  <c r="B59" i="3254"/>
  <c r="C59" i="3254"/>
  <c r="D59" i="3254"/>
  <c r="E59" i="3254"/>
  <c r="F59" i="3254"/>
  <c r="G59" i="3254"/>
  <c r="H59" i="3254"/>
  <c r="I59" i="3254"/>
  <c r="J59" i="3254"/>
  <c r="K59" i="3254"/>
  <c r="L59" i="3254"/>
  <c r="M59" i="3254"/>
  <c r="N59" i="3254"/>
  <c r="A60" i="3254"/>
  <c r="A61" i="3254"/>
  <c r="A62" i="3254"/>
  <c r="A63" i="3254"/>
  <c r="A64" i="3254"/>
  <c r="A65" i="3254"/>
  <c r="A66" i="3254"/>
  <c r="A67" i="3254"/>
  <c r="A68" i="3254"/>
  <c r="A70" i="3254"/>
  <c r="A71" i="3254"/>
  <c r="A72" i="3254"/>
  <c r="A73" i="3254"/>
  <c r="A74" i="3254"/>
  <c r="A75" i="3254"/>
  <c r="M75" i="3254"/>
  <c r="N75" i="3254"/>
  <c r="A76" i="3254"/>
  <c r="M76" i="3254"/>
  <c r="A77" i="3254"/>
  <c r="M77" i="3254"/>
  <c r="A78" i="3254"/>
  <c r="M78" i="3254"/>
  <c r="A79" i="3254"/>
  <c r="E80" i="3254"/>
  <c r="E81" i="3254"/>
  <c r="E82" i="3254"/>
  <c r="E83" i="3254"/>
  <c r="E84" i="3254"/>
  <c r="E85" i="3254"/>
  <c r="E86" i="3254"/>
  <c r="E87" i="3254"/>
  <c r="E88" i="3254"/>
  <c r="E89" i="3254"/>
  <c r="E90" i="3254"/>
  <c r="A91" i="3254"/>
  <c r="D91" i="3254"/>
  <c r="A100" i="3254"/>
  <c r="A101" i="3254"/>
  <c r="A106" i="3254"/>
  <c r="A107" i="3254"/>
  <c r="A108" i="3254"/>
  <c r="A109" i="3254"/>
  <c r="A111" i="3254"/>
  <c r="A112" i="3254"/>
  <c r="A113" i="3254"/>
  <c r="A114" i="3254"/>
  <c r="A116" i="3254"/>
  <c r="A117" i="3254"/>
  <c r="A126" i="3254"/>
  <c r="A129" i="3254"/>
  <c r="A134" i="3254"/>
  <c r="A137" i="3254"/>
  <c r="A138" i="3254"/>
  <c r="A139" i="3254"/>
  <c r="A140" i="3254"/>
  <c r="A141" i="3254"/>
  <c r="A142" i="3254"/>
  <c r="A143" i="3254"/>
  <c r="A146" i="3254"/>
  <c r="A147" i="3254"/>
  <c r="A152" i="3254"/>
  <c r="A153" i="3254"/>
  <c r="A154" i="3254"/>
  <c r="I164" i="3254"/>
  <c r="A165" i="3254"/>
  <c r="A167" i="3254"/>
  <c r="YV3" i="3240"/>
  <c r="YV4" i="3240"/>
  <c r="YV5" i="3240"/>
  <c r="YV6" i="3240"/>
  <c r="YW6" i="3240"/>
  <c r="GD9" i="3240"/>
  <c r="AW12" i="3240"/>
  <c r="IA12" i="3240"/>
  <c r="ID12" i="3240"/>
  <c r="ET12" i="3240"/>
  <c r="FQ12" i="3240"/>
  <c r="HO12" i="3240"/>
  <c r="HZ12" i="3240"/>
  <c r="JY12" i="3240"/>
  <c r="KL12" i="3240"/>
  <c r="AAH12" i="3240"/>
  <c r="ADQ12" i="3240"/>
  <c r="ABF12" i="3240" l="1"/>
  <c r="JK12" i="3240"/>
  <c r="EC12" i="3240"/>
  <c r="LN12" i="3240" s="1"/>
  <c r="LO12" i="3240" s="1"/>
  <c r="IC12" i="3240"/>
  <c r="JZ12" i="3240"/>
  <c r="IB12" i="3240"/>
  <c r="GU12" i="3240"/>
  <c r="NM12" i="3240"/>
  <c r="DF12" i="3240"/>
  <c r="WS12" i="3240"/>
  <c r="JL12" i="3240" s="1"/>
  <c r="P16" i="3240"/>
  <c r="GV16" i="3240"/>
  <c r="GX16" i="3240"/>
  <c r="VV16" i="3240"/>
  <c r="ZI16" i="3240"/>
  <c r="P17" i="3240"/>
  <c r="GV17" i="3240"/>
  <c r="GX17" i="3240"/>
  <c r="VV17" i="3240"/>
  <c r="ZI17" i="3240"/>
  <c r="P18" i="3240"/>
  <c r="GV18" i="3240"/>
  <c r="GX18" i="3240"/>
  <c r="VV18" i="3240"/>
  <c r="B20" i="3240"/>
  <c r="CK20" i="3240"/>
  <c r="CV20" i="3240"/>
  <c r="DH20" i="3240"/>
  <c r="DS20" i="3240"/>
  <c r="CJ22" i="3240"/>
  <c r="CJ23" i="3240" s="1"/>
  <c r="CU22" i="3240"/>
  <c r="CU23" i="3240" s="1"/>
  <c r="DG22" i="3240"/>
  <c r="DG23" i="3240" s="1"/>
  <c r="DG24" i="3240" s="1"/>
  <c r="DG25" i="3240" s="1"/>
  <c r="DG26" i="3240" s="1"/>
  <c r="DG27" i="3240" s="1"/>
  <c r="DG28" i="3240" s="1"/>
  <c r="DG29" i="3240" s="1"/>
  <c r="DG30" i="3240" s="1"/>
  <c r="DR22" i="3240"/>
  <c r="DR23" i="3240" s="1"/>
  <c r="DR24" i="3240" s="1"/>
  <c r="DR25" i="3240" s="1"/>
  <c r="DR26" i="3240" s="1"/>
  <c r="DR27" i="3240" s="1"/>
  <c r="DR28" i="3240" s="1"/>
  <c r="DR29" i="3240" s="1"/>
  <c r="DR30" i="3240" s="1"/>
  <c r="CJ24" i="3240"/>
  <c r="CJ25" i="3240" s="1"/>
  <c r="CJ26" i="3240" s="1"/>
  <c r="CJ27" i="3240" s="1"/>
  <c r="CJ28" i="3240" s="1"/>
  <c r="CJ29" i="3240" s="1"/>
  <c r="CJ30" i="3240" s="1"/>
  <c r="CU24" i="3240"/>
  <c r="CU25" i="3240" s="1"/>
  <c r="CU26" i="3240" s="1"/>
  <c r="CU27" i="3240" s="1"/>
  <c r="CU28" i="3240" s="1"/>
  <c r="CU29" i="3240" s="1"/>
  <c r="CU30" i="3240" s="1"/>
  <c r="CK32" i="3240"/>
  <c r="CV32" i="3240"/>
  <c r="DH32" i="3240"/>
  <c r="DS32" i="3240"/>
  <c r="CJ34" i="3240"/>
  <c r="CU34" i="3240"/>
  <c r="CU35" i="3240" s="1"/>
  <c r="CU36" i="3240" s="1"/>
  <c r="CU37" i="3240" s="1"/>
  <c r="CU38" i="3240" s="1"/>
  <c r="CU39" i="3240" s="1"/>
  <c r="CU40" i="3240" s="1"/>
  <c r="CU41" i="3240" s="1"/>
  <c r="CU42" i="3240" s="1"/>
  <c r="DG34" i="3240"/>
  <c r="DG35" i="3240" s="1"/>
  <c r="DG36" i="3240" s="1"/>
  <c r="DG37" i="3240" s="1"/>
  <c r="DG38" i="3240" s="1"/>
  <c r="DG39" i="3240" s="1"/>
  <c r="DG40" i="3240" s="1"/>
  <c r="DG41" i="3240" s="1"/>
  <c r="DG42" i="3240" s="1"/>
  <c r="DR34" i="3240"/>
  <c r="DR35" i="3240" s="1"/>
  <c r="DR36" i="3240" s="1"/>
  <c r="CJ35" i="3240"/>
  <c r="CJ36" i="3240" s="1"/>
  <c r="CJ37" i="3240" s="1"/>
  <c r="DR37" i="3240"/>
  <c r="DR38" i="3240" s="1"/>
  <c r="DR39" i="3240" s="1"/>
  <c r="DR40" i="3240" s="1"/>
  <c r="DR41" i="3240" s="1"/>
  <c r="DR42" i="3240" s="1"/>
  <c r="CJ38" i="3240"/>
  <c r="CJ39" i="3240" s="1"/>
  <c r="CJ40" i="3240" s="1"/>
  <c r="CJ41" i="3240" s="1"/>
  <c r="CJ42" i="3240" s="1"/>
  <c r="YW4" i="3240" l="1"/>
  <c r="A43" i="3254" l="1"/>
  <c r="N43" i="3254"/>
  <c r="C19" i="3247"/>
  <c r="N20" i="3247"/>
  <c r="C72" i="3247"/>
  <c r="D72" i="3247"/>
  <c r="E72" i="3247"/>
  <c r="F72" i="3247"/>
  <c r="G72" i="3247"/>
  <c r="H72" i="3247"/>
  <c r="I72" i="3247"/>
  <c r="J72" i="3247" s="1"/>
  <c r="C74" i="3247"/>
  <c r="D73" i="3247"/>
  <c r="E73" i="3247"/>
  <c r="F73" i="3247"/>
  <c r="G73" i="3247"/>
  <c r="C79" i="3247"/>
  <c r="D79" i="3247"/>
  <c r="E79" i="3247"/>
  <c r="F79" i="3247"/>
  <c r="G79" i="3247"/>
  <c r="H79" i="3247"/>
  <c r="I79" i="3247"/>
  <c r="J79" i="3247" s="1"/>
  <c r="K79" i="3247" s="1"/>
  <c r="L79" i="3247" s="1"/>
  <c r="M79" i="3247" s="1"/>
  <c r="N79" i="3247" s="1"/>
  <c r="C83" i="3247"/>
  <c r="C82" i="3247"/>
  <c r="C85" i="3247" s="1"/>
  <c r="C86" i="3247"/>
  <c r="C84" i="3247" s="1"/>
  <c r="N86" i="3247"/>
  <c r="D86" i="3247"/>
  <c r="D75" i="3247"/>
  <c r="E75" i="3247"/>
  <c r="F75" i="3247"/>
  <c r="G75" i="3247"/>
  <c r="H75" i="3247"/>
  <c r="I75" i="3247"/>
  <c r="J75" i="3247"/>
  <c r="K75" i="3247"/>
  <c r="L75" i="3247"/>
  <c r="M75" i="3247"/>
  <c r="C71" i="3247"/>
  <c r="D71" i="3247"/>
  <c r="E71" i="3247"/>
  <c r="F71" i="3247"/>
  <c r="G71" i="3247"/>
  <c r="H71" i="3247"/>
  <c r="I71" i="3247"/>
  <c r="J71" i="3247"/>
  <c r="K71" i="3247"/>
  <c r="L71" i="3247"/>
  <c r="M71" i="3247" s="1"/>
  <c r="N71" i="3247" s="1"/>
  <c r="D77" i="3247"/>
  <c r="E77" i="3247"/>
  <c r="F77" i="3247"/>
  <c r="G77" i="3247"/>
  <c r="H77" i="3247"/>
  <c r="I77" i="3247"/>
  <c r="J77" i="3247"/>
  <c r="K77" i="3247"/>
  <c r="L77" i="3247"/>
  <c r="M77" i="3247" s="1"/>
  <c r="N77" i="3247" s="1"/>
  <c r="S81" i="3247"/>
  <c r="C80" i="3247"/>
  <c r="C81" i="3247" s="1"/>
  <c r="D80" i="3247"/>
  <c r="E80" i="3247"/>
  <c r="F80" i="3247"/>
  <c r="F81" i="3247" s="1"/>
  <c r="E81" i="3247"/>
  <c r="D81" i="3247"/>
  <c r="N25" i="3247"/>
  <c r="L164" i="3254"/>
  <c r="K3" i="3247"/>
  <c r="A44" i="3254"/>
  <c r="L44" i="3254"/>
  <c r="N44" i="3254"/>
  <c r="C45" i="3254"/>
  <c r="L60" i="3254"/>
  <c r="F80" i="3254"/>
  <c r="AC24" i="3247"/>
  <c r="M60" i="3254" s="1"/>
  <c r="L62" i="3254"/>
  <c r="AB27" i="3247"/>
  <c r="L63" i="3254" s="1"/>
  <c r="AC26" i="3247"/>
  <c r="F86" i="3254"/>
  <c r="M69" i="3254"/>
  <c r="M74" i="3254"/>
  <c r="L74" i="3254"/>
  <c r="J74" i="3254"/>
  <c r="I74" i="3254"/>
  <c r="H74" i="3254"/>
  <c r="G74" i="3254"/>
  <c r="E74" i="3254"/>
  <c r="D74" i="3254"/>
  <c r="C74" i="3254"/>
  <c r="C62" i="3254"/>
  <c r="C64" i="3254"/>
  <c r="C65" i="3254"/>
  <c r="S31" i="3247"/>
  <c r="C67" i="3254" s="1"/>
  <c r="S35" i="3247"/>
  <c r="C71" i="3254" s="1"/>
  <c r="S40" i="3247"/>
  <c r="D64" i="3254"/>
  <c r="D65" i="3254"/>
  <c r="D69" i="3254"/>
  <c r="E62" i="3254"/>
  <c r="E64" i="3254"/>
  <c r="U31" i="3247"/>
  <c r="E69" i="3254"/>
  <c r="U35" i="3247"/>
  <c r="F62" i="3254"/>
  <c r="F64" i="3254"/>
  <c r="F65" i="3254"/>
  <c r="V31" i="3247"/>
  <c r="F67" i="3254" s="1"/>
  <c r="F69" i="3254"/>
  <c r="V35" i="3247"/>
  <c r="F71" i="3254" s="1"/>
  <c r="G62" i="3254"/>
  <c r="G64" i="3254"/>
  <c r="W31" i="3247"/>
  <c r="G69" i="3254"/>
  <c r="H62" i="3254"/>
  <c r="H64" i="3254"/>
  <c r="H65" i="3254"/>
  <c r="X31" i="3247"/>
  <c r="H67" i="3254" s="1"/>
  <c r="H69" i="3254"/>
  <c r="X35" i="3247"/>
  <c r="H71" i="3254" s="1"/>
  <c r="X40" i="3247"/>
  <c r="H76" i="3254" s="1"/>
  <c r="I64" i="3254"/>
  <c r="I65" i="3254"/>
  <c r="I69" i="3254"/>
  <c r="J62" i="3254"/>
  <c r="J64" i="3254"/>
  <c r="J65" i="3254"/>
  <c r="Z31" i="3247"/>
  <c r="J67" i="3254" s="1"/>
  <c r="J69" i="3254"/>
  <c r="K62" i="3254"/>
  <c r="K64" i="3254"/>
  <c r="K65" i="3254"/>
  <c r="AA31" i="3247"/>
  <c r="K67" i="3254" s="1"/>
  <c r="K69" i="3254"/>
  <c r="AA35" i="3247"/>
  <c r="K71" i="3254" s="1"/>
  <c r="L65" i="3254"/>
  <c r="L69" i="3254"/>
  <c r="D80" i="3254"/>
  <c r="D81" i="3254"/>
  <c r="D82" i="3254"/>
  <c r="D83" i="3254"/>
  <c r="D84" i="3254"/>
  <c r="D85" i="3254"/>
  <c r="D86" i="3254"/>
  <c r="D87" i="3254"/>
  <c r="D88" i="3254"/>
  <c r="D89" i="3254"/>
  <c r="C47" i="3254"/>
  <c r="C46" i="3254"/>
  <c r="L47" i="3254"/>
  <c r="N47" i="3254"/>
  <c r="C48" i="3254"/>
  <c r="L48" i="3254"/>
  <c r="N48" i="3254"/>
  <c r="C49" i="3254"/>
  <c r="C50" i="3254"/>
  <c r="L50" i="3254"/>
  <c r="N50" i="3254"/>
  <c r="I10" i="3247"/>
  <c r="C51" i="3254"/>
  <c r="A52" i="3254"/>
  <c r="AD11" i="3247"/>
  <c r="N52" i="3254" s="1"/>
  <c r="E12" i="3247"/>
  <c r="B54" i="3254"/>
  <c r="C54" i="3254"/>
  <c r="D54" i="3254"/>
  <c r="E54" i="3254"/>
  <c r="F54" i="3254"/>
  <c r="G54" i="3254"/>
  <c r="H54" i="3254"/>
  <c r="I54" i="3254"/>
  <c r="J54" i="3254"/>
  <c r="K54" i="3254"/>
  <c r="L54" i="3254"/>
  <c r="M54" i="3254"/>
  <c r="N54" i="3254"/>
  <c r="A13" i="3247"/>
  <c r="C55" i="3254"/>
  <c r="D55" i="3254"/>
  <c r="E55" i="3254"/>
  <c r="F55" i="3254"/>
  <c r="G55" i="3254"/>
  <c r="H55" i="3254"/>
  <c r="I55" i="3254"/>
  <c r="J55" i="3254"/>
  <c r="AD16" i="3247"/>
  <c r="N58" i="3254" s="1"/>
  <c r="A14" i="3247"/>
  <c r="G17" i="3247"/>
  <c r="H17" i="3247"/>
  <c r="I17" i="3247"/>
  <c r="J17" i="3247"/>
  <c r="K17" i="3247"/>
  <c r="C56" i="3254"/>
  <c r="D56" i="3254"/>
  <c r="E56" i="3254"/>
  <c r="F56" i="3254"/>
  <c r="G56" i="3254"/>
  <c r="X14" i="3247"/>
  <c r="H56" i="3254" s="1"/>
  <c r="Y14" i="3247"/>
  <c r="I56" i="3254" s="1"/>
  <c r="Z14" i="3247"/>
  <c r="J56" i="3254" s="1"/>
  <c r="AA14" i="3247"/>
  <c r="K56" i="3254" s="1"/>
  <c r="A15" i="3247"/>
  <c r="B57" i="3254"/>
  <c r="C57" i="3254"/>
  <c r="D57" i="3254"/>
  <c r="I57" i="3254"/>
  <c r="J57" i="3254"/>
  <c r="K57" i="3254"/>
  <c r="L57" i="3254"/>
  <c r="M57" i="3254"/>
  <c r="N57" i="3254"/>
  <c r="A16" i="3247"/>
  <c r="D17" i="3247"/>
  <c r="E17" i="3247"/>
  <c r="F17" i="3247"/>
  <c r="S16" i="3247"/>
  <c r="C58" i="3254" s="1"/>
  <c r="T16" i="3247"/>
  <c r="D58" i="3254" s="1"/>
  <c r="U16" i="3247"/>
  <c r="E58" i="3254" s="1"/>
  <c r="A17" i="3247"/>
  <c r="B17" i="3247"/>
  <c r="C17" i="3247"/>
  <c r="L17" i="3247"/>
  <c r="M17" i="3247"/>
  <c r="N17" i="3247"/>
  <c r="Y20" i="3247"/>
  <c r="Z20" i="3247"/>
  <c r="A18" i="3247"/>
  <c r="B18" i="3247"/>
  <c r="C18" i="3247"/>
  <c r="D18" i="3247"/>
  <c r="E18" i="3247"/>
  <c r="F18" i="3247"/>
  <c r="G18" i="3247"/>
  <c r="H18" i="3247"/>
  <c r="I18" i="3247"/>
  <c r="J18" i="3247"/>
  <c r="K18" i="3247"/>
  <c r="L18" i="3247"/>
  <c r="M18" i="3247"/>
  <c r="N18" i="3247"/>
  <c r="R19" i="3247"/>
  <c r="AA19" i="3247"/>
  <c r="AB18" i="3247"/>
  <c r="A19" i="3247"/>
  <c r="Y19" i="3247"/>
  <c r="Z19" i="3247"/>
  <c r="B62" i="3254"/>
  <c r="B64" i="3254"/>
  <c r="B65" i="3254"/>
  <c r="R31" i="3247"/>
  <c r="A20" i="3247"/>
  <c r="R20" i="3247"/>
  <c r="S20" i="3247"/>
  <c r="T20" i="3247"/>
  <c r="A21" i="3247"/>
  <c r="A22" i="3247"/>
  <c r="A23" i="3247"/>
  <c r="A24" i="3247"/>
  <c r="B24" i="3247"/>
  <c r="B60" i="3254"/>
  <c r="D60" i="3254"/>
  <c r="G60" i="3254"/>
  <c r="H60" i="3254"/>
  <c r="I60" i="3254"/>
  <c r="J60" i="3254"/>
  <c r="K60" i="3254"/>
  <c r="A25" i="3247"/>
  <c r="B61" i="3254"/>
  <c r="C61" i="3254"/>
  <c r="D61" i="3254"/>
  <c r="E61" i="3254"/>
  <c r="F61" i="3254"/>
  <c r="G61" i="3254"/>
  <c r="H61" i="3254"/>
  <c r="I61" i="3254"/>
  <c r="J61" i="3254"/>
  <c r="K61" i="3254"/>
  <c r="L61" i="3254"/>
  <c r="AC25" i="3247"/>
  <c r="M61" i="3254" s="1"/>
  <c r="A26" i="3247"/>
  <c r="B26" i="3247"/>
  <c r="A27" i="3247"/>
  <c r="B63" i="3254"/>
  <c r="X27" i="3247"/>
  <c r="H63" i="3254" s="1"/>
  <c r="Y27" i="3247"/>
  <c r="I63" i="3254" s="1"/>
  <c r="Z27" i="3247"/>
  <c r="J63" i="3254" s="1"/>
  <c r="A28" i="3247"/>
  <c r="A29" i="3247"/>
  <c r="N36" i="3247"/>
  <c r="A30" i="3247"/>
  <c r="R30" i="3247"/>
  <c r="B66" i="3254" s="1"/>
  <c r="V30" i="3247"/>
  <c r="F66" i="3254" s="1"/>
  <c r="X30" i="3247"/>
  <c r="H66" i="3254" s="1"/>
  <c r="Z30" i="3247"/>
  <c r="J66" i="3254" s="1"/>
  <c r="AA30" i="3247"/>
  <c r="K66" i="3254" s="1"/>
  <c r="A31" i="3247"/>
  <c r="A32" i="3247"/>
  <c r="W32" i="3247"/>
  <c r="G68" i="3254" s="1"/>
  <c r="A33" i="3247"/>
  <c r="A34" i="3247"/>
  <c r="V34" i="3247"/>
  <c r="F70" i="3254" s="1"/>
  <c r="W34" i="3247"/>
  <c r="G70" i="3254" s="1"/>
  <c r="AD41" i="3247"/>
  <c r="N77" i="3254" s="1"/>
  <c r="AC34" i="3247"/>
  <c r="M70" i="3254" s="1"/>
  <c r="A35" i="3247"/>
  <c r="N35" i="3247"/>
  <c r="A36" i="3247"/>
  <c r="C72" i="3254"/>
  <c r="D72" i="3254"/>
  <c r="E72" i="3254"/>
  <c r="F72" i="3254"/>
  <c r="G72" i="3254"/>
  <c r="H72" i="3254"/>
  <c r="I72" i="3254"/>
  <c r="J72" i="3254"/>
  <c r="K72" i="3254"/>
  <c r="L72" i="3254"/>
  <c r="A37" i="3247"/>
  <c r="C73" i="3254"/>
  <c r="D73" i="3254"/>
  <c r="E73" i="3254"/>
  <c r="F73" i="3254"/>
  <c r="G73" i="3254"/>
  <c r="H73" i="3254"/>
  <c r="I73" i="3254"/>
  <c r="J73" i="3254"/>
  <c r="K73" i="3254"/>
  <c r="L73" i="3254"/>
  <c r="AD37" i="3247"/>
  <c r="N73" i="3254" s="1"/>
  <c r="G39" i="3247"/>
  <c r="T73" i="3247"/>
  <c r="U73" i="3247"/>
  <c r="V73" i="3247"/>
  <c r="W73" i="3247"/>
  <c r="X73" i="3247"/>
  <c r="Y73" i="3247" s="1"/>
  <c r="S86" i="3247"/>
  <c r="T75" i="3247"/>
  <c r="U75" i="3247"/>
  <c r="V75" i="3247"/>
  <c r="W75" i="3247"/>
  <c r="X75" i="3247"/>
  <c r="Y75" i="3247" s="1"/>
  <c r="Z75" i="3247" s="1"/>
  <c r="AA75" i="3247" s="1"/>
  <c r="AB75" i="3247" s="1"/>
  <c r="AC75" i="3247" s="1"/>
  <c r="AD75" i="3247" s="1"/>
  <c r="F81" i="3254"/>
  <c r="S71" i="3247"/>
  <c r="T71" i="3247"/>
  <c r="U71" i="3247"/>
  <c r="V71" i="3247"/>
  <c r="W71" i="3247"/>
  <c r="X71" i="3247" s="1"/>
  <c r="Y71" i="3247" s="1"/>
  <c r="Z71" i="3247" s="1"/>
  <c r="AA71" i="3247" s="1"/>
  <c r="AB71" i="3247" s="1"/>
  <c r="AC71" i="3247" s="1"/>
  <c r="T77" i="3247"/>
  <c r="U77" i="3247"/>
  <c r="V77" i="3247"/>
  <c r="W77" i="3247"/>
  <c r="X77" i="3247"/>
  <c r="Y77" i="3247" s="1"/>
  <c r="Z77" i="3247" s="1"/>
  <c r="AA77" i="3247" s="1"/>
  <c r="AB77" i="3247" s="1"/>
  <c r="AC77" i="3247" s="1"/>
  <c r="AD77" i="3247" s="1"/>
  <c r="T80" i="3247"/>
  <c r="T81" i="3247" s="1"/>
  <c r="U80" i="3247"/>
  <c r="V80" i="3247"/>
  <c r="V81" i="3247" s="1"/>
  <c r="W80" i="3247"/>
  <c r="W81" i="3247" s="1"/>
  <c r="X80" i="3247"/>
  <c r="X81" i="3247" s="1"/>
  <c r="Y80" i="3247"/>
  <c r="T79" i="3247"/>
  <c r="U79" i="3247"/>
  <c r="V79" i="3247"/>
  <c r="W79" i="3247"/>
  <c r="X79" i="3247"/>
  <c r="Y79" i="3247"/>
  <c r="Z79" i="3247"/>
  <c r="AA79" i="3247"/>
  <c r="AB79" i="3247" s="1"/>
  <c r="AC79" i="3247" s="1"/>
  <c r="AD79" i="3247" s="1"/>
  <c r="U81" i="3247"/>
  <c r="F43" i="3247"/>
  <c r="F49" i="3247" s="1"/>
  <c r="E79" i="3254"/>
  <c r="A80" i="3254"/>
  <c r="A81" i="3254"/>
  <c r="F46" i="3247"/>
  <c r="A82" i="3254"/>
  <c r="F82" i="3254"/>
  <c r="A83" i="3254"/>
  <c r="F83" i="3254"/>
  <c r="A84" i="3254"/>
  <c r="A85" i="3254"/>
  <c r="F85" i="3254"/>
  <c r="A86" i="3254"/>
  <c r="A87" i="3254"/>
  <c r="V51" i="3247"/>
  <c r="F87" i="3254" s="1"/>
  <c r="A88" i="3254"/>
  <c r="F88" i="3254"/>
  <c r="A89" i="3254"/>
  <c r="F89" i="3254"/>
  <c r="A90" i="3254"/>
  <c r="A92" i="3254"/>
  <c r="C92" i="3254"/>
  <c r="D92" i="3254"/>
  <c r="G99" i="3254"/>
  <c r="I64" i="3247"/>
  <c r="J64" i="3247"/>
  <c r="S63" i="3247"/>
  <c r="C99" i="3254" s="1"/>
  <c r="A99" i="3254" s="1"/>
  <c r="M64" i="3247"/>
  <c r="AD66" i="3247"/>
  <c r="AD67" i="3247" s="1"/>
  <c r="AC66" i="3247"/>
  <c r="C67" i="3247"/>
  <c r="AC67" i="3247"/>
  <c r="AD71" i="3247"/>
  <c r="S85" i="3247"/>
  <c r="S84" i="3247"/>
  <c r="S74" i="3247"/>
  <c r="AD85" i="3247"/>
  <c r="C78" i="3247"/>
  <c r="C87" i="3247" s="1"/>
  <c r="A90" i="3247"/>
  <c r="F90" i="3247"/>
  <c r="G90" i="3247"/>
  <c r="H90" i="3247"/>
  <c r="I90" i="3247"/>
  <c r="J90" i="3247"/>
  <c r="B92" i="3247"/>
  <c r="Q63" i="3247" l="1"/>
  <c r="Z73" i="3247"/>
  <c r="K90" i="3247"/>
  <c r="Z80" i="3247"/>
  <c r="Y81" i="3247"/>
  <c r="B55" i="3254"/>
  <c r="B56" i="3254"/>
  <c r="C76" i="3254"/>
  <c r="L64" i="3254"/>
  <c r="AC28" i="3247"/>
  <c r="M64" i="3254" s="1"/>
  <c r="AB30" i="3247"/>
  <c r="L66" i="3254" s="1"/>
  <c r="M55" i="3254"/>
  <c r="AC14" i="3247"/>
  <c r="M56" i="3254" s="1"/>
  <c r="AC16" i="3247"/>
  <c r="M58" i="3254" s="1"/>
  <c r="AB31" i="3247"/>
  <c r="F60" i="3254"/>
  <c r="V27" i="3247"/>
  <c r="F63" i="3254" s="1"/>
  <c r="L55" i="3254"/>
  <c r="AB14" i="3247"/>
  <c r="L56" i="3254" s="1"/>
  <c r="AB16" i="3247"/>
  <c r="L58" i="3254" s="1"/>
  <c r="E71" i="3254"/>
  <c r="U40" i="3247"/>
  <c r="E76" i="3254" s="1"/>
  <c r="AD36" i="3247"/>
  <c r="N72" i="3254" s="1"/>
  <c r="E60" i="3254"/>
  <c r="U27" i="3247"/>
  <c r="E63" i="3254" s="1"/>
  <c r="K55" i="3254"/>
  <c r="AA16" i="3247"/>
  <c r="K58" i="3254" s="1"/>
  <c r="L64" i="3247"/>
  <c r="M72" i="3254"/>
  <c r="AD40" i="3247"/>
  <c r="N76" i="3254" s="1"/>
  <c r="T34" i="3247"/>
  <c r="D70" i="3254" s="1"/>
  <c r="H57" i="3254"/>
  <c r="X16" i="3247"/>
  <c r="H58" i="3254" s="1"/>
  <c r="X20" i="3247"/>
  <c r="E67" i="3254"/>
  <c r="V32" i="3247"/>
  <c r="F68" i="3254" s="1"/>
  <c r="K72" i="3247"/>
  <c r="F92" i="3254"/>
  <c r="V63" i="3247"/>
  <c r="S34" i="3247"/>
  <c r="AD25" i="3247"/>
  <c r="N61" i="3254" s="1"/>
  <c r="C60" i="3254"/>
  <c r="AD24" i="3247"/>
  <c r="N60" i="3254" s="1"/>
  <c r="S27" i="3247"/>
  <c r="G57" i="3254"/>
  <c r="W20" i="3247"/>
  <c r="W19" i="3247"/>
  <c r="W16" i="3247"/>
  <c r="G58" i="3254" s="1"/>
  <c r="E65" i="3254"/>
  <c r="U30" i="3247"/>
  <c r="E66" i="3254" s="1"/>
  <c r="F96" i="3254"/>
  <c r="F93" i="3254"/>
  <c r="F95" i="3254"/>
  <c r="F98" i="3254"/>
  <c r="F94" i="3254"/>
  <c r="F97" i="3254"/>
  <c r="F57" i="3254"/>
  <c r="V16" i="3247"/>
  <c r="F58" i="3254" s="1"/>
  <c r="V19" i="3247"/>
  <c r="V20" i="3247"/>
  <c r="K74" i="3254"/>
  <c r="AA40" i="3247"/>
  <c r="K76" i="3254" s="1"/>
  <c r="N85" i="3247"/>
  <c r="N84" i="3247" s="1"/>
  <c r="D19" i="3247"/>
  <c r="C21" i="3247"/>
  <c r="N61" i="3247"/>
  <c r="E57" i="3254"/>
  <c r="U20" i="3247"/>
  <c r="U19" i="3247"/>
  <c r="I62" i="3254"/>
  <c r="Y31" i="3247"/>
  <c r="Y30" i="3247"/>
  <c r="I66" i="3254" s="1"/>
  <c r="E64" i="3247"/>
  <c r="Z32" i="3247"/>
  <c r="J68" i="3254" s="1"/>
  <c r="W27" i="3247"/>
  <c r="G63" i="3254" s="1"/>
  <c r="AD29" i="3247"/>
  <c r="N65" i="3254" s="1"/>
  <c r="AA20" i="3247"/>
  <c r="D62" i="3254"/>
  <c r="T31" i="3247"/>
  <c r="U32" i="3247" s="1"/>
  <c r="E68" i="3254" s="1"/>
  <c r="T27" i="3247"/>
  <c r="D63" i="3254" s="1"/>
  <c r="T30" i="3247"/>
  <c r="D66" i="3254" s="1"/>
  <c r="H64" i="3247"/>
  <c r="N55" i="3254"/>
  <c r="AD14" i="3247"/>
  <c r="N56" i="3254" s="1"/>
  <c r="F74" i="3254"/>
  <c r="V40" i="3247"/>
  <c r="F76" i="3254" s="1"/>
  <c r="M62" i="3254"/>
  <c r="AC29" i="3247"/>
  <c r="AC27" i="3247"/>
  <c r="M63" i="3254" s="1"/>
  <c r="G64" i="3247"/>
  <c r="C69" i="3254"/>
  <c r="AD33" i="3247"/>
  <c r="N69" i="3254" s="1"/>
  <c r="U34" i="3247"/>
  <c r="E70" i="3254" s="1"/>
  <c r="G67" i="3254"/>
  <c r="W35" i="3247"/>
  <c r="G65" i="3254"/>
  <c r="W30" i="3247"/>
  <c r="G66" i="3254" s="1"/>
  <c r="N22" i="3247"/>
  <c r="E86" i="3247"/>
  <c r="D85" i="3247"/>
  <c r="D84" i="3247" s="1"/>
  <c r="D74" i="3247" s="1"/>
  <c r="D76" i="3247" s="1"/>
  <c r="D78" i="3247" s="1"/>
  <c r="D87" i="3247" s="1"/>
  <c r="K64" i="3247"/>
  <c r="X19" i="3247"/>
  <c r="F64" i="3247"/>
  <c r="R16" i="3247"/>
  <c r="B58" i="3254" s="1"/>
  <c r="AD84" i="3247"/>
  <c r="T86" i="3247"/>
  <c r="I6" i="3247"/>
  <c r="N31" i="3247"/>
  <c r="X32" i="3247"/>
  <c r="H68" i="3254" s="1"/>
  <c r="Z35" i="3247"/>
  <c r="N23" i="3247"/>
  <c r="G80" i="3247"/>
  <c r="H73" i="3247"/>
  <c r="C93" i="3254"/>
  <c r="C96" i="3254"/>
  <c r="C97" i="3254"/>
  <c r="C95" i="3254"/>
  <c r="C98" i="3254"/>
  <c r="C94" i="3254"/>
  <c r="S72" i="3247"/>
  <c r="AA34" i="3247"/>
  <c r="K70" i="3254" s="1"/>
  <c r="S32" i="3247"/>
  <c r="T19" i="3247"/>
  <c r="Z16" i="3247"/>
  <c r="J58" i="3254" s="1"/>
  <c r="Z34" i="3247"/>
  <c r="J70" i="3254" s="1"/>
  <c r="S19" i="3247"/>
  <c r="Y16" i="3247"/>
  <c r="I58" i="3254" s="1"/>
  <c r="G2" i="3254"/>
  <c r="B8" i="3240"/>
  <c r="C12" i="3240"/>
  <c r="Y34" i="3247"/>
  <c r="I70" i="3254" s="1"/>
  <c r="X34" i="3247"/>
  <c r="H70" i="3254" s="1"/>
  <c r="AD26" i="3247"/>
  <c r="N62" i="3254" s="1"/>
  <c r="D12" i="3240"/>
  <c r="D93" i="3254"/>
  <c r="D96" i="3254"/>
  <c r="D95" i="3254"/>
  <c r="D94" i="3254"/>
  <c r="D97" i="3254"/>
  <c r="D98" i="3254"/>
  <c r="AB34" i="3247"/>
  <c r="L70" i="3254" s="1"/>
  <c r="AD28" i="3247"/>
  <c r="N64" i="3254" s="1"/>
  <c r="A96" i="3254"/>
  <c r="A93" i="3254"/>
  <c r="A97" i="3254"/>
  <c r="A95" i="3254"/>
  <c r="A98" i="3254"/>
  <c r="A94" i="3254"/>
  <c r="V48" i="3247"/>
  <c r="AD38" i="3247"/>
  <c r="N74" i="3254" s="1"/>
  <c r="AA32" i="3247"/>
  <c r="K68" i="3254" s="1"/>
  <c r="S30" i="3247"/>
  <c r="AA27" i="3247"/>
  <c r="K63" i="3254" s="1"/>
  <c r="C33" i="3247" l="1"/>
  <c r="G71" i="3254"/>
  <c r="W40" i="3247"/>
  <c r="G76" i="3254" s="1"/>
  <c r="I73" i="3247"/>
  <c r="G81" i="3247"/>
  <c r="H80" i="3247"/>
  <c r="C63" i="3254"/>
  <c r="AD27" i="3247"/>
  <c r="N63" i="3254" s="1"/>
  <c r="L67" i="3254"/>
  <c r="AD19" i="3247"/>
  <c r="AB32" i="3247"/>
  <c r="L68" i="3254" s="1"/>
  <c r="AB35" i="3247"/>
  <c r="E19" i="3247"/>
  <c r="D21" i="3247"/>
  <c r="C70" i="3254"/>
  <c r="AD34" i="3247"/>
  <c r="N70" i="3254" s="1"/>
  <c r="I67" i="3254"/>
  <c r="Y35" i="3247"/>
  <c r="Y32" i="3247"/>
  <c r="I68" i="3254" s="1"/>
  <c r="F84" i="3254"/>
  <c r="V54" i="3247"/>
  <c r="F90" i="3254" s="1"/>
  <c r="N62" i="3247"/>
  <c r="D64" i="3247"/>
  <c r="YX5" i="3240"/>
  <c r="DH35" i="3240"/>
  <c r="DS37" i="3240"/>
  <c r="CK33" i="3240"/>
  <c r="DH36" i="3240"/>
  <c r="CK41" i="3240"/>
  <c r="DH34" i="3240"/>
  <c r="DH39" i="3240"/>
  <c r="DH40" i="3240"/>
  <c r="CK34" i="3240"/>
  <c r="DH41" i="3240"/>
  <c r="CK42" i="3240"/>
  <c r="DH37" i="3240"/>
  <c r="DH38" i="3240"/>
  <c r="C14" i="3240"/>
  <c r="B14" i="3240" s="1"/>
  <c r="CV37" i="3240"/>
  <c r="DH42" i="3240"/>
  <c r="B13" i="3240"/>
  <c r="B16" i="3240" s="1"/>
  <c r="CK37" i="3240"/>
  <c r="B12" i="3240"/>
  <c r="C13" i="3240"/>
  <c r="CK38" i="3240"/>
  <c r="CK39" i="3240"/>
  <c r="DH33" i="3240"/>
  <c r="CK35" i="3240"/>
  <c r="CK36" i="3240"/>
  <c r="CK40" i="3240"/>
  <c r="U86" i="3247"/>
  <c r="T85" i="3247"/>
  <c r="T84" i="3247" s="1"/>
  <c r="T74" i="3247" s="1"/>
  <c r="F86" i="3247"/>
  <c r="E85" i="3247"/>
  <c r="E84" i="3247" s="1"/>
  <c r="E74" i="3247" s="1"/>
  <c r="E76" i="3247" s="1"/>
  <c r="E78" i="3247" s="1"/>
  <c r="E87" i="3247" s="1"/>
  <c r="AA73" i="3247"/>
  <c r="D67" i="3254"/>
  <c r="T32" i="3247"/>
  <c r="D68" i="3254" s="1"/>
  <c r="T35" i="3247"/>
  <c r="M65" i="3254"/>
  <c r="M73" i="3254"/>
  <c r="AC30" i="3247"/>
  <c r="M66" i="3254" s="1"/>
  <c r="L72" i="3247"/>
  <c r="N64" i="3247"/>
  <c r="B63" i="3247"/>
  <c r="D16" i="3240"/>
  <c r="C68" i="3254"/>
  <c r="C24" i="3247"/>
  <c r="J71" i="3254"/>
  <c r="Z40" i="3247"/>
  <c r="J76" i="3254" s="1"/>
  <c r="AA80" i="3247"/>
  <c r="Z81" i="3247"/>
  <c r="C66" i="3254"/>
  <c r="AD30" i="3247"/>
  <c r="N66" i="3254" s="1"/>
  <c r="T72" i="3247"/>
  <c r="S78" i="3247"/>
  <c r="S87" i="3247" s="1"/>
  <c r="C88" i="3247" s="1"/>
  <c r="L90" i="3247"/>
  <c r="MA16" i="3240"/>
  <c r="C16" i="3240"/>
  <c r="F99" i="3254"/>
  <c r="D99" i="3254" s="1"/>
  <c r="T63" i="3247"/>
  <c r="AD31" i="3247"/>
  <c r="N67" i="3254" s="1"/>
  <c r="AC31" i="3247"/>
  <c r="D33" i="3247" l="1"/>
  <c r="RE18" i="3240"/>
  <c r="RE16" i="3240"/>
  <c r="RE17" i="3240"/>
  <c r="ADM17" i="3240"/>
  <c r="ADM16" i="3240"/>
  <c r="LN16" i="3240"/>
  <c r="LN17" i="3240"/>
  <c r="YN17" i="3240"/>
  <c r="YN16" i="3240"/>
  <c r="AHA17" i="3240"/>
  <c r="AHA16" i="3240"/>
  <c r="LG17" i="3240"/>
  <c r="LG16" i="3240"/>
  <c r="TY17" i="3240"/>
  <c r="TY16" i="3240"/>
  <c r="AHW16" i="3240"/>
  <c r="AHW17" i="3240"/>
  <c r="AS16" i="3240"/>
  <c r="AS17" i="3240"/>
  <c r="AHV17" i="3240"/>
  <c r="AHV16" i="3240"/>
  <c r="RI16" i="3240"/>
  <c r="RI18" i="3240"/>
  <c r="RI17" i="3240"/>
  <c r="C17" i="3240"/>
  <c r="LZ16" i="3240"/>
  <c r="LZ17" i="3240"/>
  <c r="UO16" i="3240"/>
  <c r="UO17" i="3240"/>
  <c r="ABQ16" i="3240"/>
  <c r="ABQ17" i="3240"/>
  <c r="JZ16" i="3240"/>
  <c r="JZ17" i="3240"/>
  <c r="AAA16" i="3240"/>
  <c r="AAA17" i="3240"/>
  <c r="ACS16" i="3240"/>
  <c r="ACS17" i="3240"/>
  <c r="LU16" i="3240"/>
  <c r="LU17" i="3240"/>
  <c r="WY17" i="3240"/>
  <c r="WY16" i="3240"/>
  <c r="AGV16" i="3240"/>
  <c r="AGV17" i="3240"/>
  <c r="CI17" i="3240"/>
  <c r="CI16" i="3240"/>
  <c r="BA17" i="3240"/>
  <c r="BA16" i="3240"/>
  <c r="WI16" i="3240"/>
  <c r="WI17" i="3240"/>
  <c r="AAM16" i="3240"/>
  <c r="AAM17" i="3240"/>
  <c r="AFH16" i="3240"/>
  <c r="AFH17" i="3240"/>
  <c r="YX16" i="3240"/>
  <c r="YX17" i="3240"/>
  <c r="HH16" i="3240"/>
  <c r="HH17" i="3240"/>
  <c r="ABA17" i="3240"/>
  <c r="ABA16" i="3240"/>
  <c r="KX16" i="3240"/>
  <c r="KX17" i="3240"/>
  <c r="ABO17" i="3240"/>
  <c r="ABO16" i="3240"/>
  <c r="ET13" i="3240"/>
  <c r="FH16" i="3240"/>
  <c r="FH17" i="3240"/>
  <c r="WE16" i="3240"/>
  <c r="WE17" i="3240"/>
  <c r="DQ16" i="3240"/>
  <c r="DQ17" i="3240"/>
  <c r="DH30" i="3240"/>
  <c r="AEE17" i="3240"/>
  <c r="AEE16" i="3240"/>
  <c r="C28" i="3247"/>
  <c r="U85" i="3247"/>
  <c r="U84" i="3247"/>
  <c r="U74" i="3247" s="1"/>
  <c r="V86" i="3247"/>
  <c r="VI17" i="3240"/>
  <c r="VI16" i="3240"/>
  <c r="OT17" i="3240"/>
  <c r="OT16" i="3240"/>
  <c r="OT18" i="3240"/>
  <c r="PN17" i="3240"/>
  <c r="PN16" i="3240"/>
  <c r="PN18" i="3240"/>
  <c r="VX16" i="3240"/>
  <c r="VX17" i="3240"/>
  <c r="AEH16" i="3240"/>
  <c r="AEH17" i="3240"/>
  <c r="AGN17" i="3240"/>
  <c r="AGN16" i="3240"/>
  <c r="E17" i="3240"/>
  <c r="E16" i="3240"/>
  <c r="RC18" i="3240"/>
  <c r="RC17" i="3240"/>
  <c r="RC16" i="3240"/>
  <c r="YO17" i="3240"/>
  <c r="YO16" i="3240"/>
  <c r="AFS16" i="3240"/>
  <c r="AFS17" i="3240"/>
  <c r="IN17" i="3240"/>
  <c r="IN16" i="3240"/>
  <c r="YK16" i="3240"/>
  <c r="YK17" i="3240"/>
  <c r="ABG17" i="3240"/>
  <c r="ABG16" i="3240"/>
  <c r="KN17" i="3240"/>
  <c r="KN16" i="3240"/>
  <c r="VN17" i="3240"/>
  <c r="VN16" i="3240"/>
  <c r="AFI17" i="3240"/>
  <c r="AFI16" i="3240"/>
  <c r="AY16" i="3240"/>
  <c r="AY17" i="3240"/>
  <c r="SY17" i="3240"/>
  <c r="SY16" i="3240"/>
  <c r="UX16" i="3240"/>
  <c r="UX17" i="3240"/>
  <c r="GO16" i="3240"/>
  <c r="GO17" i="3240"/>
  <c r="NB16" i="3240"/>
  <c r="NB17" i="3240"/>
  <c r="SA18" i="3240"/>
  <c r="SA17" i="3240"/>
  <c r="SA16" i="3240"/>
  <c r="BK16" i="3240"/>
  <c r="BK17" i="3240"/>
  <c r="PL17" i="3240"/>
  <c r="PL16" i="3240"/>
  <c r="PL18" i="3240"/>
  <c r="ACB17" i="3240"/>
  <c r="ACB16" i="3240"/>
  <c r="PW18" i="3240"/>
  <c r="PW16" i="3240"/>
  <c r="PW17" i="3240"/>
  <c r="DD17" i="3240"/>
  <c r="DD16" i="3240"/>
  <c r="CV29" i="3240"/>
  <c r="PX16" i="3240"/>
  <c r="PX18" i="3240"/>
  <c r="PX17" i="3240"/>
  <c r="BQ16" i="3240"/>
  <c r="BQ17" i="3240"/>
  <c r="AGD16" i="3240"/>
  <c r="AGD17" i="3240"/>
  <c r="TP17" i="3240"/>
  <c r="TP16" i="3240"/>
  <c r="HN16" i="3240"/>
  <c r="HN17" i="3240"/>
  <c r="M90" i="3247"/>
  <c r="D71" i="3254"/>
  <c r="T40" i="3247"/>
  <c r="AD35" i="3247"/>
  <c r="N71" i="3254" s="1"/>
  <c r="SO17" i="3240"/>
  <c r="SO16" i="3240"/>
  <c r="MA17" i="3240"/>
  <c r="XV17" i="3240"/>
  <c r="XV16" i="3240"/>
  <c r="ADL16" i="3240"/>
  <c r="ADL17" i="3240"/>
  <c r="MT17" i="3240"/>
  <c r="MT16" i="3240"/>
  <c r="YL17" i="3240"/>
  <c r="YL16" i="3240"/>
  <c r="AFA16" i="3240"/>
  <c r="AFA17" i="3240"/>
  <c r="OU18" i="3240"/>
  <c r="OU16" i="3240"/>
  <c r="OU17" i="3240"/>
  <c r="DS33" i="3240"/>
  <c r="GB16" i="3240"/>
  <c r="GB17" i="3240"/>
  <c r="PO16" i="3240"/>
  <c r="PO17" i="3240"/>
  <c r="PO18" i="3240"/>
  <c r="VY17" i="3240"/>
  <c r="VY16" i="3240"/>
  <c r="ACW16" i="3240"/>
  <c r="ACW17" i="3240"/>
  <c r="FK16" i="3240"/>
  <c r="FK17" i="3240"/>
  <c r="XA17" i="3240"/>
  <c r="XA16" i="3240"/>
  <c r="ZW16" i="3240"/>
  <c r="ZW17" i="3240"/>
  <c r="JB17" i="3240"/>
  <c r="JB16" i="3240"/>
  <c r="UG16" i="3240"/>
  <c r="UG17" i="3240"/>
  <c r="ADY17" i="3240"/>
  <c r="ADY16" i="3240"/>
  <c r="AF16" i="3240"/>
  <c r="AF17" i="3240"/>
  <c r="ABB16" i="3240"/>
  <c r="ABB17" i="3240"/>
  <c r="AHN17" i="3240"/>
  <c r="AHN16" i="3240"/>
  <c r="RQ18" i="3240"/>
  <c r="RQ16" i="3240"/>
  <c r="RQ17" i="3240"/>
  <c r="TN17" i="3240"/>
  <c r="TN16" i="3240"/>
  <c r="ET14" i="3240"/>
  <c r="EZ16" i="3240"/>
  <c r="EZ17" i="3240"/>
  <c r="LR17" i="3240"/>
  <c r="LR16" i="3240"/>
  <c r="EX16" i="3240"/>
  <c r="EX17" i="3240"/>
  <c r="ZR17" i="3240"/>
  <c r="ZR16" i="3240"/>
  <c r="JO16" i="3240"/>
  <c r="JO17" i="3240"/>
  <c r="ZN17" i="3240"/>
  <c r="ZN16" i="3240"/>
  <c r="ABN17" i="3240"/>
  <c r="ABN16" i="3240"/>
  <c r="PK18" i="3240"/>
  <c r="PK17" i="3240"/>
  <c r="PK16" i="3240"/>
  <c r="JI16" i="3240"/>
  <c r="JI17" i="3240"/>
  <c r="ACC17" i="3240"/>
  <c r="ACC16" i="3240"/>
  <c r="BD16" i="3240"/>
  <c r="BD17" i="3240"/>
  <c r="ZL16" i="3240"/>
  <c r="ZL17" i="3240"/>
  <c r="TC17" i="3240"/>
  <c r="TC16" i="3240"/>
  <c r="AM17" i="3240"/>
  <c r="AM16" i="3240"/>
  <c r="C26" i="3247"/>
  <c r="QD17" i="3240"/>
  <c r="QD16" i="3240"/>
  <c r="QD18" i="3240"/>
  <c r="KQ17" i="3240"/>
  <c r="KQ16" i="3240"/>
  <c r="VA17" i="3240"/>
  <c r="VA16" i="3240"/>
  <c r="AAP17" i="3240"/>
  <c r="AAP16" i="3240"/>
  <c r="CV17" i="3240"/>
  <c r="CV16" i="3240"/>
  <c r="CV21" i="3240"/>
  <c r="QQ18" i="3240"/>
  <c r="QQ17" i="3240"/>
  <c r="QQ16" i="3240"/>
  <c r="YM17" i="3240"/>
  <c r="YM16" i="3240"/>
  <c r="ADT16" i="3240"/>
  <c r="ADT18" i="3240"/>
  <c r="ADT17" i="3240"/>
  <c r="ADS17" i="3240"/>
  <c r="ADS16" i="3240"/>
  <c r="MU17" i="3240"/>
  <c r="MU16" i="3240"/>
  <c r="TG17" i="3240"/>
  <c r="TG16" i="3240"/>
  <c r="AAD17" i="3240"/>
  <c r="AAD16" i="3240"/>
  <c r="CV39" i="3240"/>
  <c r="FG16" i="3240"/>
  <c r="FG17" i="3240"/>
  <c r="DU16" i="3240"/>
  <c r="DU17" i="3240"/>
  <c r="DS23" i="3240"/>
  <c r="KZ16" i="3240"/>
  <c r="KZ17" i="3240"/>
  <c r="AZ17" i="3240"/>
  <c r="AZ16" i="3240"/>
  <c r="WG17" i="3240"/>
  <c r="WG16" i="3240"/>
  <c r="AAI17" i="3240"/>
  <c r="AAI16" i="3240"/>
  <c r="TK16" i="3240"/>
  <c r="TK17" i="3240"/>
  <c r="AHI16" i="3240"/>
  <c r="AHI17" i="3240"/>
  <c r="QW17" i="3240"/>
  <c r="QW16" i="3240"/>
  <c r="QW18" i="3240"/>
  <c r="AC17" i="3240"/>
  <c r="AC16" i="3240"/>
  <c r="NK17" i="3240"/>
  <c r="NK16" i="3240"/>
  <c r="CC16" i="3240"/>
  <c r="CC17" i="3240"/>
  <c r="AHG17" i="3240"/>
  <c r="AHG16" i="3240"/>
  <c r="UQ17" i="3240"/>
  <c r="UQ16" i="3240"/>
  <c r="IT17" i="3240"/>
  <c r="IT16" i="3240"/>
  <c r="AAZ16" i="3240"/>
  <c r="AAZ17" i="3240"/>
  <c r="CV34" i="3240"/>
  <c r="YR17" i="3240"/>
  <c r="YR16" i="3240"/>
  <c r="MV17" i="3240"/>
  <c r="MV16" i="3240"/>
  <c r="Y17" i="3240"/>
  <c r="Y16" i="3240"/>
  <c r="H81" i="3247"/>
  <c r="I80" i="3247"/>
  <c r="NO17" i="3240"/>
  <c r="NO16" i="3240"/>
  <c r="JE18" i="3240"/>
  <c r="JE16" i="3240"/>
  <c r="JE17" i="3240"/>
  <c r="HE17" i="3240"/>
  <c r="HE16" i="3240"/>
  <c r="VT17" i="3240"/>
  <c r="VT16" i="3240"/>
  <c r="ACH17" i="3240"/>
  <c r="ACH16" i="3240"/>
  <c r="ACG17" i="3240"/>
  <c r="ACG16" i="3240"/>
  <c r="MC16" i="3240"/>
  <c r="MC17" i="3240"/>
  <c r="AGJ16" i="3240"/>
  <c r="AGJ17" i="3240"/>
  <c r="AHP17" i="3240"/>
  <c r="AHP16" i="3240"/>
  <c r="AK17" i="3240"/>
  <c r="AK16" i="3240"/>
  <c r="KD17" i="3240"/>
  <c r="KD16" i="3240"/>
  <c r="XH17" i="3240"/>
  <c r="XH16" i="3240"/>
  <c r="AFO16" i="3240"/>
  <c r="AFO17" i="3240"/>
  <c r="CO17" i="3240"/>
  <c r="CO16" i="3240"/>
  <c r="CK25" i="3240"/>
  <c r="UJ16" i="3240"/>
  <c r="UJ17" i="3240"/>
  <c r="DW16" i="3240"/>
  <c r="DW17" i="3240"/>
  <c r="DS25" i="3240"/>
  <c r="WZ17" i="3240"/>
  <c r="WZ16" i="3240"/>
  <c r="FZ16" i="3240"/>
  <c r="FZ17" i="3240"/>
  <c r="RP17" i="3240"/>
  <c r="RP18" i="3240"/>
  <c r="RP16" i="3240"/>
  <c r="ABD17" i="3240"/>
  <c r="ABD16" i="3240"/>
  <c r="ML16" i="3240"/>
  <c r="ML17" i="3240"/>
  <c r="VL17" i="3240"/>
  <c r="VL16" i="3240"/>
  <c r="AHZ17" i="3240"/>
  <c r="AHZ16" i="3240"/>
  <c r="JP16" i="3240"/>
  <c r="JP17" i="3240"/>
  <c r="AHM17" i="3240"/>
  <c r="AHM16" i="3240"/>
  <c r="N17" i="3240"/>
  <c r="N16" i="3240"/>
  <c r="BR17" i="3240"/>
  <c r="BR16" i="3240"/>
  <c r="IY17" i="3240"/>
  <c r="IY16" i="3240"/>
  <c r="CG17" i="3240"/>
  <c r="CG16" i="3240"/>
  <c r="YA17" i="3240"/>
  <c r="YA16" i="3240"/>
  <c r="MK16" i="3240"/>
  <c r="MK17" i="3240"/>
  <c r="AP16" i="3240"/>
  <c r="AP17" i="3240"/>
  <c r="DS38" i="3240"/>
  <c r="AAK17" i="3240"/>
  <c r="AAK16" i="3240"/>
  <c r="AAK18" i="3240"/>
  <c r="OM17" i="3240"/>
  <c r="OM16" i="3240"/>
  <c r="OM18" i="3240"/>
  <c r="BP17" i="3240"/>
  <c r="BP16" i="3240"/>
  <c r="MX17" i="3240"/>
  <c r="MX16" i="3240"/>
  <c r="AEP17" i="3240"/>
  <c r="AEP16" i="3240"/>
  <c r="SD17" i="3240"/>
  <c r="SD16" i="3240"/>
  <c r="SD18" i="3240"/>
  <c r="J16" i="3240"/>
  <c r="J17" i="3240"/>
  <c r="PZ16" i="3240"/>
  <c r="PZ17" i="3240"/>
  <c r="PZ18" i="3240"/>
  <c r="UZ17" i="3240"/>
  <c r="UZ16" i="3240"/>
  <c r="AEK17" i="3240"/>
  <c r="AEK16" i="3240"/>
  <c r="EA17" i="3240"/>
  <c r="EA16" i="3240"/>
  <c r="DS29" i="3240"/>
  <c r="UK16" i="3240"/>
  <c r="UK17" i="3240"/>
  <c r="DX17" i="3240"/>
  <c r="DX16" i="3240"/>
  <c r="DS26" i="3240"/>
  <c r="GE16" i="3240"/>
  <c r="GE17" i="3240"/>
  <c r="KS17" i="3240"/>
  <c r="KS16" i="3240"/>
  <c r="EN16" i="3240"/>
  <c r="EN17" i="3240"/>
  <c r="OD16" i="3240"/>
  <c r="OD17" i="3240"/>
  <c r="SZ17" i="3240"/>
  <c r="SZ16" i="3240"/>
  <c r="FB17" i="3240"/>
  <c r="FB16" i="3240"/>
  <c r="AGW16" i="3240"/>
  <c r="AGW17" i="3240"/>
  <c r="AH17" i="3240"/>
  <c r="AH16" i="3240"/>
  <c r="LB16" i="3240"/>
  <c r="LB17" i="3240"/>
  <c r="UB17" i="3240"/>
  <c r="UB16" i="3240"/>
  <c r="AHJ16" i="3240"/>
  <c r="AHJ17" i="3240"/>
  <c r="WV17" i="3240"/>
  <c r="WV16" i="3240"/>
  <c r="ADK17" i="3240"/>
  <c r="ADK16" i="3240"/>
  <c r="AGB16" i="3240"/>
  <c r="AGB17" i="3240"/>
  <c r="PT17" i="3240"/>
  <c r="PT18" i="3240"/>
  <c r="PT16" i="3240"/>
  <c r="M16" i="3240"/>
  <c r="M17" i="3240"/>
  <c r="HI17" i="3240"/>
  <c r="HI16" i="3240"/>
  <c r="AW17" i="3240"/>
  <c r="AW16" i="3240"/>
  <c r="XK16" i="3240"/>
  <c r="XK17" i="3240"/>
  <c r="LK17" i="3240"/>
  <c r="LK16" i="3240"/>
  <c r="L17" i="3240"/>
  <c r="L16" i="3240"/>
  <c r="AGF17" i="3240"/>
  <c r="AGF16" i="3240"/>
  <c r="TQ16" i="3240"/>
  <c r="TQ17" i="3240"/>
  <c r="BC17" i="3240"/>
  <c r="BC16" i="3240"/>
  <c r="LX16" i="3240"/>
  <c r="LX17" i="3240"/>
  <c r="XQ17" i="3240"/>
  <c r="XQ16" i="3240"/>
  <c r="LV16" i="3240"/>
  <c r="LV17" i="3240"/>
  <c r="J73" i="3247"/>
  <c r="AB73" i="3247"/>
  <c r="HY17" i="3240"/>
  <c r="HY16" i="3240"/>
  <c r="AHR17" i="3240"/>
  <c r="AHR16" i="3240"/>
  <c r="EP17" i="3240"/>
  <c r="EP16" i="3240"/>
  <c r="BI17" i="3240"/>
  <c r="BI16" i="3240"/>
  <c r="TA17" i="3240"/>
  <c r="TA16" i="3240"/>
  <c r="ZP16" i="3240"/>
  <c r="ZP17" i="3240"/>
  <c r="ZO16" i="3240"/>
  <c r="ZO17" i="3240"/>
  <c r="JK16" i="3240"/>
  <c r="JK17" i="3240"/>
  <c r="AAT17" i="3240"/>
  <c r="AAT16" i="3240"/>
  <c r="ACE16" i="3240"/>
  <c r="ACE17" i="3240"/>
  <c r="EB17" i="3240"/>
  <c r="EB16" i="3240"/>
  <c r="DS30" i="3240"/>
  <c r="RX16" i="3240"/>
  <c r="RX17" i="3240"/>
  <c r="RX18" i="3240"/>
  <c r="AAC17" i="3240"/>
  <c r="AAC16" i="3240"/>
  <c r="T16" i="3240"/>
  <c r="T17" i="3240"/>
  <c r="RU17" i="3240"/>
  <c r="RU18" i="3240"/>
  <c r="RU16" i="3240"/>
  <c r="TO16" i="3240"/>
  <c r="TO17" i="3240"/>
  <c r="AFK17" i="3240"/>
  <c r="AFK16" i="3240"/>
  <c r="PE16" i="3240"/>
  <c r="PE17" i="3240"/>
  <c r="PE18" i="3240"/>
  <c r="YH16" i="3240"/>
  <c r="YH17" i="3240"/>
  <c r="JR16" i="3240"/>
  <c r="JR17" i="3240"/>
  <c r="SV17" i="3240"/>
  <c r="SV16" i="3240"/>
  <c r="AGQ17" i="3240"/>
  <c r="AGQ16" i="3240"/>
  <c r="GM17" i="3240"/>
  <c r="GM16" i="3240"/>
  <c r="MO16" i="3240"/>
  <c r="MO17" i="3240"/>
  <c r="QZ16" i="3240"/>
  <c r="QZ18" i="3240"/>
  <c r="QZ17" i="3240"/>
  <c r="DS42" i="3240"/>
  <c r="FT17" i="3240"/>
  <c r="FT16" i="3240"/>
  <c r="H16" i="3240"/>
  <c r="H17" i="3240"/>
  <c r="DS40" i="3240"/>
  <c r="PA16" i="3240"/>
  <c r="PA18" i="3240"/>
  <c r="PA17" i="3240"/>
  <c r="GL17" i="3240"/>
  <c r="GL16" i="3240"/>
  <c r="VE17" i="3240"/>
  <c r="VE16" i="3240"/>
  <c r="ZM17" i="3240"/>
  <c r="ZM16" i="3240"/>
  <c r="NJ17" i="3240"/>
  <c r="NJ16" i="3240"/>
  <c r="AN16" i="3240"/>
  <c r="AN17" i="3240"/>
  <c r="KW17" i="3240"/>
  <c r="KW16" i="3240"/>
  <c r="XD17" i="3240"/>
  <c r="XD16" i="3240"/>
  <c r="LI17" i="3240"/>
  <c r="LI16" i="3240"/>
  <c r="YX4" i="3240"/>
  <c r="YV17" i="3240"/>
  <c r="YV16" i="3240"/>
  <c r="D24" i="3247"/>
  <c r="D26" i="3247"/>
  <c r="PY17" i="3240"/>
  <c r="PY16" i="3240"/>
  <c r="PY18" i="3240"/>
  <c r="YP17" i="3240"/>
  <c r="YP16" i="3240"/>
  <c r="AFT16" i="3240"/>
  <c r="AFT17" i="3240"/>
  <c r="CV42" i="3240"/>
  <c r="FL17" i="3240"/>
  <c r="FL16" i="3240"/>
  <c r="OB16" i="3240"/>
  <c r="OB17" i="3240"/>
  <c r="BF16" i="3240"/>
  <c r="BF17" i="3240"/>
  <c r="AT17" i="3240"/>
  <c r="AT16" i="3240"/>
  <c r="HW16" i="3240"/>
  <c r="HW17" i="3240"/>
  <c r="XW16" i="3240"/>
  <c r="XW17" i="3240"/>
  <c r="ZH17" i="3240"/>
  <c r="ZH16" i="3240"/>
  <c r="AHO16" i="3240"/>
  <c r="AHO17" i="3240"/>
  <c r="IP17" i="3240"/>
  <c r="IP16" i="3240"/>
  <c r="XC17" i="3240"/>
  <c r="XC16" i="3240"/>
  <c r="AGY17" i="3240"/>
  <c r="AGY16" i="3240"/>
  <c r="R16" i="3240"/>
  <c r="R17" i="3240"/>
  <c r="CV38" i="3240"/>
  <c r="DV17" i="3240"/>
  <c r="DV16" i="3240"/>
  <c r="DS24" i="3240"/>
  <c r="IG17" i="3240"/>
  <c r="IG16" i="3240"/>
  <c r="RN17" i="3240"/>
  <c r="RN16" i="3240"/>
  <c r="RN18" i="3240"/>
  <c r="AFX17" i="3240"/>
  <c r="AFX16" i="3240"/>
  <c r="EH16" i="3240"/>
  <c r="EH17" i="3240"/>
  <c r="LE17" i="3240"/>
  <c r="LE16" i="3240"/>
  <c r="ND16" i="3240"/>
  <c r="ND17" i="3240"/>
  <c r="CV33" i="3240"/>
  <c r="EI16" i="3240"/>
  <c r="EI17" i="3240"/>
  <c r="OH17" i="3240"/>
  <c r="OH16" i="3240"/>
  <c r="WA17" i="3240"/>
  <c r="WA16" i="3240"/>
  <c r="FO16" i="3240"/>
  <c r="FO17" i="3240"/>
  <c r="UE17" i="3240"/>
  <c r="UE16" i="3240"/>
  <c r="YS16" i="3240"/>
  <c r="YS17" i="3240"/>
  <c r="MW17" i="3240"/>
  <c r="MW16" i="3240"/>
  <c r="Z17" i="3240"/>
  <c r="Z16" i="3240"/>
  <c r="JW16" i="3240"/>
  <c r="JW17" i="3240"/>
  <c r="WQ17" i="3240"/>
  <c r="WQ16" i="3240"/>
  <c r="KU16" i="3240"/>
  <c r="KU17" i="3240"/>
  <c r="EC17" i="3240"/>
  <c r="EC16" i="3240"/>
  <c r="HT17" i="3240"/>
  <c r="HT16" i="3240"/>
  <c r="LH16" i="3240"/>
  <c r="LH17" i="3240"/>
  <c r="AGZ17" i="3240"/>
  <c r="AGZ16" i="3240"/>
  <c r="S16" i="3240"/>
  <c r="S17" i="3240"/>
  <c r="AFB17" i="3240"/>
  <c r="AFB16" i="3240"/>
  <c r="WO17" i="3240"/>
  <c r="WO16" i="3240"/>
  <c r="WN17" i="3240"/>
  <c r="WN16" i="3240"/>
  <c r="FR17" i="3240"/>
  <c r="FR16" i="3240"/>
  <c r="WL17" i="3240"/>
  <c r="WL16" i="3240"/>
  <c r="AEV17" i="3240"/>
  <c r="AEV16" i="3240"/>
  <c r="AFU16" i="3240"/>
  <c r="AFU17" i="3240"/>
  <c r="MS16" i="3240"/>
  <c r="MS17" i="3240"/>
  <c r="UL17" i="3240"/>
  <c r="UL16" i="3240"/>
  <c r="AFM16" i="3240"/>
  <c r="AFM17" i="3240"/>
  <c r="BT14" i="3240"/>
  <c r="CL16" i="3240"/>
  <c r="CL17" i="3240"/>
  <c r="CK22" i="3240"/>
  <c r="CV36" i="3240"/>
  <c r="HJ16" i="3240"/>
  <c r="HJ17" i="3240"/>
  <c r="DS41" i="3240"/>
  <c r="UA17" i="3240"/>
  <c r="UA16" i="3240"/>
  <c r="ZF17" i="3240"/>
  <c r="ZF16" i="3240"/>
  <c r="ABX17" i="3240"/>
  <c r="ABX16" i="3240"/>
  <c r="AGA16" i="3240"/>
  <c r="AGA17" i="3240"/>
  <c r="OO17" i="3240"/>
  <c r="OO16" i="3240"/>
  <c r="OO18" i="3240"/>
  <c r="TL17" i="3240"/>
  <c r="TL16" i="3240"/>
  <c r="VJ16" i="3240"/>
  <c r="VJ17" i="3240"/>
  <c r="EW17" i="3240"/>
  <c r="EW16" i="3240"/>
  <c r="TR16" i="3240"/>
  <c r="TR17" i="3240"/>
  <c r="AEQ17" i="3240"/>
  <c r="AEQ16" i="3240"/>
  <c r="SE17" i="3240"/>
  <c r="SE16" i="3240"/>
  <c r="SE18" i="3240"/>
  <c r="K17" i="3240"/>
  <c r="K16" i="3240"/>
  <c r="VR16" i="3240"/>
  <c r="VR17" i="3240"/>
  <c r="ACN17" i="3240"/>
  <c r="ACN16" i="3240"/>
  <c r="QH16" i="3240"/>
  <c r="QH18" i="3240"/>
  <c r="QH17" i="3240"/>
  <c r="KH16" i="3240"/>
  <c r="KH17" i="3240"/>
  <c r="F19" i="3247"/>
  <c r="E21" i="3247"/>
  <c r="AGO17" i="3240"/>
  <c r="AGO16" i="3240"/>
  <c r="EO17" i="3240"/>
  <c r="EO16" i="3240"/>
  <c r="TI16" i="3240"/>
  <c r="TI17" i="3240"/>
  <c r="GU17" i="3240"/>
  <c r="GU16" i="3240"/>
  <c r="AFN17" i="3240"/>
  <c r="AFN16" i="3240"/>
  <c r="PH18" i="3240"/>
  <c r="PH17" i="3240"/>
  <c r="PH16" i="3240"/>
  <c r="VG17" i="3240"/>
  <c r="VG16" i="3240"/>
  <c r="VF16" i="3240"/>
  <c r="VF17" i="3240"/>
  <c r="DJ16" i="3240"/>
  <c r="DJ17" i="3240"/>
  <c r="DH23" i="3240"/>
  <c r="TT16" i="3240"/>
  <c r="TT17" i="3240"/>
  <c r="ACD17" i="3240"/>
  <c r="ACD18" i="3240"/>
  <c r="ACD16" i="3240"/>
  <c r="ADB17" i="3240"/>
  <c r="ADB16" i="3240"/>
  <c r="CT17" i="3240"/>
  <c r="CT16" i="3240"/>
  <c r="CK30" i="3240"/>
  <c r="RW17" i="3240"/>
  <c r="RW16" i="3240"/>
  <c r="RW18" i="3240"/>
  <c r="NZ17" i="3240"/>
  <c r="NZ16" i="3240"/>
  <c r="PU18" i="3240"/>
  <c r="PU16" i="3240"/>
  <c r="PU17" i="3240"/>
  <c r="ABF17" i="3240"/>
  <c r="ABF16" i="3240"/>
  <c r="FX16" i="3240"/>
  <c r="FX17" i="3240"/>
  <c r="ST16" i="3240"/>
  <c r="ST17" i="3240"/>
  <c r="AAN16" i="3240"/>
  <c r="AAN17" i="3240"/>
  <c r="AES16" i="3240"/>
  <c r="AES17" i="3240"/>
  <c r="CH17" i="3240"/>
  <c r="CH16" i="3240"/>
  <c r="LQ16" i="3240"/>
  <c r="LQ17" i="3240"/>
  <c r="ADF16" i="3240"/>
  <c r="ADF17" i="3240"/>
  <c r="EG17" i="3240"/>
  <c r="EG16" i="3240"/>
  <c r="SR17" i="3240"/>
  <c r="SR16" i="3240"/>
  <c r="AED17" i="3240"/>
  <c r="AED16" i="3240"/>
  <c r="RS17" i="3240"/>
  <c r="RS18" i="3240"/>
  <c r="RS16" i="3240"/>
  <c r="FD17" i="3240"/>
  <c r="FD16" i="3240"/>
  <c r="UR16" i="3240"/>
  <c r="UR17" i="3240"/>
  <c r="ABZ16" i="3240"/>
  <c r="ABZ17" i="3240"/>
  <c r="VP16" i="3240"/>
  <c r="VP17" i="3240"/>
  <c r="DC17" i="3240"/>
  <c r="DC16" i="3240"/>
  <c r="CV28" i="3240"/>
  <c r="M72" i="3247"/>
  <c r="ADU16" i="3240"/>
  <c r="ADU17" i="3240"/>
  <c r="WM17" i="3240"/>
  <c r="WM16" i="3240"/>
  <c r="BV16" i="3240"/>
  <c r="BV17" i="3240"/>
  <c r="AAH14" i="3240"/>
  <c r="JC17" i="3240"/>
  <c r="JC16" i="3240"/>
  <c r="QS18" i="3240"/>
  <c r="QS17" i="3240"/>
  <c r="QS16" i="3240"/>
  <c r="XI16" i="3240"/>
  <c r="XI17" i="3240"/>
  <c r="AEI17" i="3240"/>
  <c r="AEI16" i="3240"/>
  <c r="CV41" i="3240"/>
  <c r="AEG16" i="3240"/>
  <c r="AEG17" i="3240"/>
  <c r="OA17" i="3240"/>
  <c r="OA16" i="3240"/>
  <c r="ZQ17" i="3240"/>
  <c r="ZQ16" i="3240"/>
  <c r="TX16" i="3240"/>
  <c r="TX17" i="3240"/>
  <c r="DK16" i="3240"/>
  <c r="DK17" i="3240"/>
  <c r="DH24" i="3240"/>
  <c r="TW16" i="3240"/>
  <c r="TW17" i="3240"/>
  <c r="BX16" i="3240"/>
  <c r="BX17" i="3240"/>
  <c r="QA17" i="3240"/>
  <c r="QA16" i="3240"/>
  <c r="QA18" i="3240"/>
  <c r="RD18" i="3240"/>
  <c r="RD17" i="3240"/>
  <c r="RD16" i="3240"/>
  <c r="ZG16" i="3240"/>
  <c r="ZG17" i="3240"/>
  <c r="AAF16" i="3240"/>
  <c r="AAF17" i="3240"/>
  <c r="AHC17" i="3240"/>
  <c r="AHC16" i="3240"/>
  <c r="V17" i="3240"/>
  <c r="V16" i="3240"/>
  <c r="HD17" i="3240"/>
  <c r="HD16" i="3240"/>
  <c r="PI18" i="3240"/>
  <c r="PI16" i="3240"/>
  <c r="PI17" i="3240"/>
  <c r="ACT17" i="3240"/>
  <c r="ACT16" i="3240"/>
  <c r="MP16" i="3240"/>
  <c r="MP17" i="3240"/>
  <c r="AFL17" i="3240"/>
  <c r="AFL16" i="3240"/>
  <c r="OQ18" i="3240"/>
  <c r="OQ16" i="3240"/>
  <c r="OQ17" i="3240"/>
  <c r="AI16" i="3240"/>
  <c r="AI17" i="3240"/>
  <c r="ZV17" i="3240"/>
  <c r="ZV16" i="3240"/>
  <c r="JS17" i="3240"/>
  <c r="JS16" i="3240"/>
  <c r="TM17" i="3240"/>
  <c r="TM16" i="3240"/>
  <c r="EJ17" i="3240"/>
  <c r="EJ16" i="3240"/>
  <c r="ADX17" i="3240"/>
  <c r="ADX16" i="3240"/>
  <c r="NR17" i="3240"/>
  <c r="NR16" i="3240"/>
  <c r="ADW17" i="3240"/>
  <c r="ADW16" i="3240"/>
  <c r="RM16" i="3240"/>
  <c r="RM17" i="3240"/>
  <c r="RM18" i="3240"/>
  <c r="AD17" i="3240"/>
  <c r="AD16" i="3240"/>
  <c r="WJ16" i="3240"/>
  <c r="WJ17" i="3240"/>
  <c r="GQ16" i="3240"/>
  <c r="GQ17" i="3240"/>
  <c r="ZE17" i="3240"/>
  <c r="ZE16" i="3240"/>
  <c r="JA16" i="3240"/>
  <c r="JA17" i="3240"/>
  <c r="ADI17" i="3240"/>
  <c r="ADI16" i="3240"/>
  <c r="LS16" i="3240"/>
  <c r="LS17" i="3240"/>
  <c r="AIA17" i="3240"/>
  <c r="AIA16" i="3240"/>
  <c r="QY17" i="3240"/>
  <c r="QY18" i="3240"/>
  <c r="QY16" i="3240"/>
  <c r="AX16" i="3240"/>
  <c r="AX17" i="3240"/>
  <c r="KF17" i="3240"/>
  <c r="KF16" i="3240"/>
  <c r="ACJ17" i="3240"/>
  <c r="ACJ16" i="3240"/>
  <c r="TZ17" i="3240"/>
  <c r="TZ16" i="3240"/>
  <c r="MF17" i="3240"/>
  <c r="MF16" i="3240"/>
  <c r="DM16" i="3240"/>
  <c r="DM17" i="3240"/>
  <c r="DH26" i="3240"/>
  <c r="ADR17" i="3240"/>
  <c r="ADR16" i="3240"/>
  <c r="SF17" i="3240"/>
  <c r="SF18" i="3240"/>
  <c r="SF16" i="3240"/>
  <c r="GK17" i="3240"/>
  <c r="GK16" i="3240"/>
  <c r="ADP16" i="3240"/>
  <c r="ADP17" i="3240"/>
  <c r="XE17" i="3240"/>
  <c r="XE16" i="3240"/>
  <c r="RG16" i="3240"/>
  <c r="RG17" i="3240"/>
  <c r="RG18" i="3240"/>
  <c r="LJ17" i="3240"/>
  <c r="LJ16" i="3240"/>
  <c r="ER16" i="3240"/>
  <c r="ER17" i="3240"/>
  <c r="AGG17" i="3240"/>
  <c r="AGG16" i="3240"/>
  <c r="TE17" i="3240"/>
  <c r="TE16" i="3240"/>
  <c r="FE16" i="3240"/>
  <c r="FE17" i="3240"/>
  <c r="AHS17" i="3240"/>
  <c r="AHS16" i="3240"/>
  <c r="ABM17" i="3240"/>
  <c r="ABM16" i="3240"/>
  <c r="VC17" i="3240"/>
  <c r="VC16" i="3240"/>
  <c r="PJ17" i="3240"/>
  <c r="PJ18" i="3240"/>
  <c r="PJ16" i="3240"/>
  <c r="JG16" i="3240"/>
  <c r="JG17" i="3240"/>
  <c r="CP17" i="3240"/>
  <c r="CP16" i="3240"/>
  <c r="CK26" i="3240"/>
  <c r="XZ17" i="3240"/>
  <c r="XZ16" i="3240"/>
  <c r="DF17" i="3240"/>
  <c r="DF16" i="3240"/>
  <c r="RY16" i="3240"/>
  <c r="RY17" i="3240"/>
  <c r="RY18" i="3240"/>
  <c r="ABK17" i="3240"/>
  <c r="ABK16" i="3240"/>
  <c r="RJ17" i="3240"/>
  <c r="RJ16" i="3240"/>
  <c r="RJ18" i="3240"/>
  <c r="DI17" i="3240"/>
  <c r="DI16" i="3240"/>
  <c r="DH22" i="3240"/>
  <c r="TS17" i="3240"/>
  <c r="TS16" i="3240"/>
  <c r="U16" i="3240"/>
  <c r="U17" i="3240"/>
  <c r="JX17" i="3240"/>
  <c r="JX16" i="3240"/>
  <c r="GP16" i="3240"/>
  <c r="GP17" i="3240"/>
  <c r="RO18" i="3240"/>
  <c r="RO17" i="3240"/>
  <c r="RO16" i="3240"/>
  <c r="ABC16" i="3240"/>
  <c r="ABC17" i="3240"/>
  <c r="LA16" i="3240"/>
  <c r="LA17" i="3240"/>
  <c r="ACL17" i="3240"/>
  <c r="ACL16" i="3240"/>
  <c r="PB16" i="3240"/>
  <c r="PB17" i="3240"/>
  <c r="PB18" i="3240"/>
  <c r="UI16" i="3240"/>
  <c r="UI17" i="3240"/>
  <c r="FA16" i="3240"/>
  <c r="FA17" i="3240"/>
  <c r="IZ16" i="3240"/>
  <c r="IZ17" i="3240"/>
  <c r="OI17" i="3240"/>
  <c r="OI16" i="3240"/>
  <c r="SS17" i="3240"/>
  <c r="SS16" i="3240"/>
  <c r="CD17" i="3240"/>
  <c r="CD16" i="3240"/>
  <c r="QJ17" i="3240"/>
  <c r="QJ16" i="3240"/>
  <c r="QJ18" i="3240"/>
  <c r="ACO17" i="3240"/>
  <c r="ACO16" i="3240"/>
  <c r="QI16" i="3240"/>
  <c r="QI17" i="3240"/>
  <c r="QI18" i="3240"/>
  <c r="KI17" i="3240"/>
  <c r="KI16" i="3240"/>
  <c r="QV16" i="3240"/>
  <c r="QV17" i="3240"/>
  <c r="QV18" i="3240"/>
  <c r="DE17" i="3240"/>
  <c r="DE16" i="3240"/>
  <c r="CV30" i="3240"/>
  <c r="AGS16" i="3240"/>
  <c r="AGS17" i="3240"/>
  <c r="AAJ17" i="3240"/>
  <c r="AAJ16" i="3240"/>
  <c r="UC17" i="3240"/>
  <c r="UC16" i="3240"/>
  <c r="OK17" i="3240"/>
  <c r="OK18" i="3240"/>
  <c r="OK16" i="3240"/>
  <c r="IC17" i="3240"/>
  <c r="IC16" i="3240"/>
  <c r="BO17" i="3240"/>
  <c r="BO16" i="3240"/>
  <c r="AAQ17" i="3240"/>
  <c r="AAQ16" i="3240"/>
  <c r="AGH17" i="3240"/>
  <c r="AGH16" i="3240"/>
  <c r="AJ16" i="3240"/>
  <c r="AJ17" i="3240"/>
  <c r="IQ17" i="3240"/>
  <c r="IQ16" i="3240"/>
  <c r="AAB16" i="3240"/>
  <c r="AAB17" i="3240"/>
  <c r="JY16" i="3240"/>
  <c r="JY17" i="3240"/>
  <c r="RK17" i="3240"/>
  <c r="RK18" i="3240"/>
  <c r="RK16" i="3240"/>
  <c r="QC16" i="3240"/>
  <c r="QC17" i="3240"/>
  <c r="QC18" i="3240"/>
  <c r="AGM17" i="3240"/>
  <c r="AGM16" i="3240"/>
  <c r="QB16" i="3240"/>
  <c r="QB18" i="3240"/>
  <c r="QB17" i="3240"/>
  <c r="ZA16" i="3240"/>
  <c r="YZ16" i="3240"/>
  <c r="JD17" i="3240"/>
  <c r="JD16" i="3240"/>
  <c r="RZ17" i="3240"/>
  <c r="RZ16" i="3240"/>
  <c r="RZ18" i="3240"/>
  <c r="IJ16" i="3240"/>
  <c r="IJ17" i="3240"/>
  <c r="FY16" i="3240"/>
  <c r="FY17" i="3240"/>
  <c r="QK16" i="3240"/>
  <c r="QK18" i="3240"/>
  <c r="QK17" i="3240"/>
  <c r="ZT16" i="3240"/>
  <c r="ZT17" i="3240"/>
  <c r="JQ17" i="3240"/>
  <c r="JQ16" i="3240"/>
  <c r="ABT17" i="3240"/>
  <c r="ABT16" i="3240"/>
  <c r="NQ16" i="3240"/>
  <c r="NQ17" i="3240"/>
  <c r="O16" i="3240"/>
  <c r="O17" i="3240"/>
  <c r="DA17" i="3240"/>
  <c r="DA16" i="3240"/>
  <c r="CV26" i="3240"/>
  <c r="ADH16" i="3240"/>
  <c r="ADH17" i="3240"/>
  <c r="XL17" i="3240"/>
  <c r="XL16" i="3240"/>
  <c r="FQ13" i="3240"/>
  <c r="FS17" i="3240"/>
  <c r="FS16" i="3240"/>
  <c r="AAG17" i="3240"/>
  <c r="AAG16" i="3240"/>
  <c r="KE17" i="3240"/>
  <c r="KE16" i="3240"/>
  <c r="AAL16" i="3240"/>
  <c r="AAL17" i="3240"/>
  <c r="DS16" i="3240"/>
  <c r="DS17" i="3240"/>
  <c r="DS21" i="3240"/>
  <c r="VQ17" i="3240"/>
  <c r="VQ16" i="3240"/>
  <c r="JV17" i="3240"/>
  <c r="JV16" i="3240"/>
  <c r="ADE17" i="3240"/>
  <c r="ADE16" i="3240"/>
  <c r="ZX17" i="3240"/>
  <c r="ZX16" i="3240"/>
  <c r="NV16" i="3240"/>
  <c r="NV17" i="3240"/>
  <c r="BB17" i="3240"/>
  <c r="BB16" i="3240"/>
  <c r="I71" i="3254"/>
  <c r="Y40" i="3247"/>
  <c r="I76" i="3254" s="1"/>
  <c r="FN16" i="3240"/>
  <c r="FN17" i="3240"/>
  <c r="TF17" i="3240"/>
  <c r="TF16" i="3240"/>
  <c r="ABL16" i="3240"/>
  <c r="ABL17" i="3240"/>
  <c r="FQ14" i="3240"/>
  <c r="IL16" i="3240"/>
  <c r="IL17" i="3240"/>
  <c r="OW18" i="3240"/>
  <c r="OW17" i="3240"/>
  <c r="OW16" i="3240"/>
  <c r="OV17" i="3240"/>
  <c r="OV18" i="3240"/>
  <c r="OV16" i="3240"/>
  <c r="AEZ17" i="3240"/>
  <c r="AEZ16" i="3240"/>
  <c r="NF17" i="3240"/>
  <c r="NF16" i="3240"/>
  <c r="GR16" i="3240"/>
  <c r="GR17" i="3240"/>
  <c r="EK16" i="3240"/>
  <c r="EK17" i="3240"/>
  <c r="PD16" i="3240"/>
  <c r="PD17" i="3240"/>
  <c r="PD18" i="3240"/>
  <c r="YC17" i="3240"/>
  <c r="YC16" i="3240"/>
  <c r="IB17" i="3240"/>
  <c r="IB16" i="3240"/>
  <c r="MG17" i="3240"/>
  <c r="MG16" i="3240"/>
  <c r="BT13" i="3240"/>
  <c r="CE16" i="3240"/>
  <c r="CE17" i="3240"/>
  <c r="XN17" i="3240"/>
  <c r="XN16" i="3240"/>
  <c r="ABV17" i="3240"/>
  <c r="ABV16" i="3240"/>
  <c r="VK16" i="3240"/>
  <c r="VK17" i="3240"/>
  <c r="AHY17" i="3240"/>
  <c r="AHY16" i="3240"/>
  <c r="RL16" i="3240"/>
  <c r="RL18" i="3240"/>
  <c r="RL17" i="3240"/>
  <c r="AV17" i="3240"/>
  <c r="AV16" i="3240"/>
  <c r="ON17" i="3240"/>
  <c r="ON18" i="3240"/>
  <c r="ON16" i="3240"/>
  <c r="CR16" i="3240"/>
  <c r="CR17" i="3240"/>
  <c r="CK28" i="3240"/>
  <c r="AHT16" i="3240"/>
  <c r="AHT17" i="3240"/>
  <c r="VD16" i="3240"/>
  <c r="VD17" i="3240"/>
  <c r="CQ17" i="3240"/>
  <c r="CQ16" i="3240"/>
  <c r="CK27" i="3240"/>
  <c r="OZ17" i="3240"/>
  <c r="OZ18" i="3240"/>
  <c r="OZ16" i="3240"/>
  <c r="AFP16" i="3240"/>
  <c r="AFP17" i="3240"/>
  <c r="NI17" i="3240"/>
  <c r="NI16" i="3240"/>
  <c r="HA17" i="3240"/>
  <c r="HA16" i="3240"/>
  <c r="KC16" i="3240"/>
  <c r="KC17" i="3240"/>
  <c r="XB16" i="3240"/>
  <c r="XB17" i="3240"/>
  <c r="GS17" i="3240"/>
  <c r="GS16" i="3240"/>
  <c r="ME17" i="3240"/>
  <c r="ME16" i="3240"/>
  <c r="NM16" i="3240"/>
  <c r="NM17" i="3240"/>
  <c r="NL16" i="3240"/>
  <c r="NL17" i="3240"/>
  <c r="DH17" i="3240"/>
  <c r="DH16" i="3240"/>
  <c r="DH21" i="3240"/>
  <c r="KO16" i="3240"/>
  <c r="KO17" i="3240"/>
  <c r="DY16" i="3240"/>
  <c r="DY17" i="3240"/>
  <c r="DS27" i="3240"/>
  <c r="VS17" i="3240"/>
  <c r="VS16" i="3240"/>
  <c r="YJ16" i="3240"/>
  <c r="YJ17" i="3240"/>
  <c r="HM17" i="3240"/>
  <c r="HM16" i="3240"/>
  <c r="SX16" i="3240"/>
  <c r="SX17" i="3240"/>
  <c r="ACQ16" i="3240"/>
  <c r="ACQ17" i="3240"/>
  <c r="NS16" i="3240"/>
  <c r="NS17" i="3240"/>
  <c r="WW16" i="3240"/>
  <c r="WW17" i="3240"/>
  <c r="GN17" i="3240"/>
  <c r="GN16" i="3240"/>
  <c r="ZS17" i="3240"/>
  <c r="ZS16" i="3240"/>
  <c r="AGC16" i="3240"/>
  <c r="AGC17" i="3240"/>
  <c r="QM16" i="3240"/>
  <c r="QM18" i="3240"/>
  <c r="QM17" i="3240"/>
  <c r="SH17" i="3240"/>
  <c r="SH16" i="3240"/>
  <c r="CZ16" i="3240"/>
  <c r="CZ17" i="3240"/>
  <c r="CV25" i="3240"/>
  <c r="KG16" i="3240"/>
  <c r="KG17" i="3240"/>
  <c r="DN17" i="3240"/>
  <c r="DN16" i="3240"/>
  <c r="DH27" i="3240"/>
  <c r="YW16" i="3240"/>
  <c r="YW17" i="3240"/>
  <c r="IV17" i="3240"/>
  <c r="IV16" i="3240"/>
  <c r="YG16" i="3240"/>
  <c r="YG17" i="3240"/>
  <c r="AAY17" i="3240"/>
  <c r="AAY16" i="3240"/>
  <c r="OY17" i="3240"/>
  <c r="OY16" i="3240"/>
  <c r="OY18" i="3240"/>
  <c r="CB17" i="3240"/>
  <c r="CB16" i="3240"/>
  <c r="NY16" i="3240"/>
  <c r="NY17" i="3240"/>
  <c r="AA16" i="3240"/>
  <c r="AA17" i="3240"/>
  <c r="AFC17" i="3240"/>
  <c r="AFC16" i="3240"/>
  <c r="SP16" i="3240"/>
  <c r="SP17" i="3240"/>
  <c r="GF17" i="3240"/>
  <c r="GF16" i="3240"/>
  <c r="U72" i="3247"/>
  <c r="T78" i="3247"/>
  <c r="T87" i="3247" s="1"/>
  <c r="AD32" i="3247"/>
  <c r="N68" i="3254" s="1"/>
  <c r="DS34" i="3240"/>
  <c r="SK16" i="3240"/>
  <c r="SK17" i="3240"/>
  <c r="XU16" i="3240"/>
  <c r="XU17" i="3240"/>
  <c r="AHE17" i="3240"/>
  <c r="AHE16" i="3240"/>
  <c r="BJ16" i="3240"/>
  <c r="BJ17" i="3240"/>
  <c r="OC16" i="3240"/>
  <c r="OC17" i="3240"/>
  <c r="VW16" i="3240"/>
  <c r="VW17" i="3240"/>
  <c r="CV40" i="3240"/>
  <c r="FI16" i="3240"/>
  <c r="FI17" i="3240"/>
  <c r="JM16" i="3240"/>
  <c r="JM17" i="3240"/>
  <c r="JM18" i="3240"/>
  <c r="MD16" i="3240"/>
  <c r="MD17" i="3240"/>
  <c r="HS17" i="3240"/>
  <c r="HS16" i="3240"/>
  <c r="QR17" i="3240"/>
  <c r="QR18" i="3240"/>
  <c r="QR16" i="3240"/>
  <c r="ZA17" i="3240"/>
  <c r="YZ17" i="3240"/>
  <c r="B17" i="3240"/>
  <c r="CK17" i="3240"/>
  <c r="CK16" i="3240"/>
  <c r="CK21" i="3240"/>
  <c r="EY16" i="3240"/>
  <c r="EY17" i="3240"/>
  <c r="YB17" i="3240"/>
  <c r="YB16" i="3240"/>
  <c r="AEU16" i="3240"/>
  <c r="AEU17" i="3240"/>
  <c r="PF17" i="3240"/>
  <c r="PF16" i="3240"/>
  <c r="PF18" i="3240"/>
  <c r="RA16" i="3240"/>
  <c r="RA18" i="3240"/>
  <c r="RA17" i="3240"/>
  <c r="UF17" i="3240"/>
  <c r="UF16" i="3240"/>
  <c r="SB18" i="3240"/>
  <c r="SB17" i="3240"/>
  <c r="SB16" i="3240"/>
  <c r="AGP17" i="3240"/>
  <c r="AGP16" i="3240"/>
  <c r="QE18" i="3240"/>
  <c r="QE17" i="3240"/>
  <c r="QE16" i="3240"/>
  <c r="HZ17" i="3240"/>
  <c r="HZ16" i="3240"/>
  <c r="XF17" i="3240"/>
  <c r="XF16" i="3240"/>
  <c r="AGT16" i="3240"/>
  <c r="AGT17" i="3240"/>
  <c r="UD16" i="3240"/>
  <c r="UD17" i="3240"/>
  <c r="ID17" i="3240"/>
  <c r="ID16" i="3240"/>
  <c r="ZZ17" i="3240"/>
  <c r="ZZ16" i="3240"/>
  <c r="YD16" i="3240"/>
  <c r="YD17" i="3240"/>
  <c r="MI16" i="3240"/>
  <c r="MI17" i="3240"/>
  <c r="FU16" i="3240"/>
  <c r="FU17" i="3240"/>
  <c r="KT17" i="3240"/>
  <c r="KT16" i="3240"/>
  <c r="HU17" i="3240"/>
  <c r="HU16" i="3240"/>
  <c r="LL17" i="3240"/>
  <c r="LL16" i="3240"/>
  <c r="TB16" i="3240"/>
  <c r="TB17" i="3240"/>
  <c r="DS39" i="3240"/>
  <c r="AAV16" i="3240"/>
  <c r="AAV17" i="3240"/>
  <c r="AAU17" i="3240"/>
  <c r="AAU16" i="3240"/>
  <c r="KR16" i="3240"/>
  <c r="KR17" i="3240"/>
  <c r="ADN16" i="3240"/>
  <c r="ADN17" i="3240"/>
  <c r="AEW17" i="3240"/>
  <c r="AEW16" i="3240"/>
  <c r="HF17" i="3240"/>
  <c r="HF16" i="3240"/>
  <c r="UM17" i="3240"/>
  <c r="UM16" i="3240"/>
  <c r="ACV17" i="3240"/>
  <c r="ACV16" i="3240"/>
  <c r="BG16" i="3240"/>
  <c r="BG17" i="3240"/>
  <c r="CM16" i="3240"/>
  <c r="CM17" i="3240"/>
  <c r="CK23" i="3240"/>
  <c r="UY17" i="3240"/>
  <c r="UY16" i="3240"/>
  <c r="QL18" i="3240"/>
  <c r="QL16" i="3240"/>
  <c r="QL17" i="3240"/>
  <c r="ZU16" i="3240"/>
  <c r="ZU17" i="3240"/>
  <c r="CY16" i="3240"/>
  <c r="CY17" i="3240"/>
  <c r="CV24" i="3240"/>
  <c r="IA17" i="3240"/>
  <c r="IA16" i="3240"/>
  <c r="NU16" i="3240"/>
  <c r="NU17" i="3240"/>
  <c r="SG17" i="3240"/>
  <c r="SG18" i="3240"/>
  <c r="SG16" i="3240"/>
  <c r="XM17" i="3240"/>
  <c r="XM16" i="3240"/>
  <c r="QX17" i="3240"/>
  <c r="QX16" i="3240"/>
  <c r="QX18" i="3240"/>
  <c r="AFV17" i="3240"/>
  <c r="AFV16" i="3240"/>
  <c r="PP16" i="3240"/>
  <c r="PP17" i="3240"/>
  <c r="PP18" i="3240"/>
  <c r="HG16" i="3240"/>
  <c r="HG17" i="3240"/>
  <c r="WF17" i="3240"/>
  <c r="WF16" i="3240"/>
  <c r="ZY17" i="3240"/>
  <c r="ZY16" i="3240"/>
  <c r="NW16" i="3240"/>
  <c r="NW17" i="3240"/>
  <c r="HO16" i="3240"/>
  <c r="HO17" i="3240"/>
  <c r="YT17" i="3240"/>
  <c r="YT16" i="3240"/>
  <c r="AEC16" i="3240"/>
  <c r="AEC17" i="3240"/>
  <c r="RR16" i="3240"/>
  <c r="RR18" i="3240"/>
  <c r="RR17" i="3240"/>
  <c r="FC16" i="3240"/>
  <c r="FC17" i="3240"/>
  <c r="NG17" i="3240"/>
  <c r="NG16" i="3240"/>
  <c r="SJ16" i="3240"/>
  <c r="SJ17" i="3240"/>
  <c r="ABR16" i="3240"/>
  <c r="ABR17" i="3240"/>
  <c r="IO16" i="3240"/>
  <c r="IO17" i="3240"/>
  <c r="QP17" i="3240"/>
  <c r="QP16" i="3240"/>
  <c r="QP18" i="3240"/>
  <c r="CN17" i="3240"/>
  <c r="CN16" i="3240"/>
  <c r="CK24" i="3240"/>
  <c r="DL16" i="3240"/>
  <c r="DL17" i="3240"/>
  <c r="DH25" i="3240"/>
  <c r="JL16" i="3240"/>
  <c r="JL17" i="3240"/>
  <c r="LM16" i="3240"/>
  <c r="LM17" i="3240"/>
  <c r="BE16" i="3240"/>
  <c r="BE17" i="3240"/>
  <c r="EM16" i="3240"/>
  <c r="EM17" i="3240"/>
  <c r="BM16" i="3240"/>
  <c r="BM17" i="3240"/>
  <c r="WB16" i="3240"/>
  <c r="WB17" i="3240"/>
  <c r="ABY17" i="3240"/>
  <c r="ABY16" i="3240"/>
  <c r="AET16" i="3240"/>
  <c r="AET17" i="3240"/>
  <c r="OP16" i="3240"/>
  <c r="OP17" i="3240"/>
  <c r="OP18" i="3240"/>
  <c r="WC17" i="3240"/>
  <c r="WC16" i="3240"/>
  <c r="PQ16" i="3240"/>
  <c r="PQ17" i="3240"/>
  <c r="PQ18" i="3240"/>
  <c r="AFF17" i="3240"/>
  <c r="AFF16" i="3240"/>
  <c r="WT16" i="3240"/>
  <c r="WT17" i="3240"/>
  <c r="AHU17" i="3240"/>
  <c r="AHU16" i="3240"/>
  <c r="KJ16" i="3240"/>
  <c r="KJ17" i="3240"/>
  <c r="CV35" i="3240"/>
  <c r="AFQ17" i="3240"/>
  <c r="AFQ16" i="3240"/>
  <c r="TD17" i="3240"/>
  <c r="TD16" i="3240"/>
  <c r="HB17" i="3240"/>
  <c r="HB16" i="3240"/>
  <c r="XT17" i="3240"/>
  <c r="XT16" i="3240"/>
  <c r="ADO17" i="3240"/>
  <c r="ADO16" i="3240"/>
  <c r="RF17" i="3240"/>
  <c r="RF16" i="3240"/>
  <c r="RF18" i="3240"/>
  <c r="EQ17" i="3240"/>
  <c r="EQ16" i="3240"/>
  <c r="AAH13" i="3240"/>
  <c r="EV17" i="3240"/>
  <c r="EV16" i="3240"/>
  <c r="AEY17" i="3240"/>
  <c r="AEY16" i="3240"/>
  <c r="BW16" i="3240"/>
  <c r="BW17" i="3240"/>
  <c r="KP16" i="3240"/>
  <c r="KP17" i="3240"/>
  <c r="RV18" i="3240"/>
  <c r="RV17" i="3240"/>
  <c r="RV16" i="3240"/>
  <c r="AHX16" i="3240"/>
  <c r="AHX17" i="3240"/>
  <c r="XY17" i="3240"/>
  <c r="XY16" i="3240"/>
  <c r="XX16" i="3240"/>
  <c r="XX17" i="3240"/>
  <c r="HV16" i="3240"/>
  <c r="HV17" i="3240"/>
  <c r="W17" i="3240"/>
  <c r="W16" i="3240"/>
  <c r="PM17" i="3240"/>
  <c r="PM16" i="3240"/>
  <c r="PM18" i="3240"/>
  <c r="QN16" i="3240"/>
  <c r="QN17" i="3240"/>
  <c r="QN18" i="3240"/>
  <c r="SI16" i="3240"/>
  <c r="SI17" i="3240"/>
  <c r="ADZ16" i="3240"/>
  <c r="ADZ17" i="3240"/>
  <c r="NT17" i="3240"/>
  <c r="NT16" i="3240"/>
  <c r="WX16" i="3240"/>
  <c r="WX17" i="3240"/>
  <c r="AHK16" i="3240"/>
  <c r="AHK17" i="3240"/>
  <c r="I17" i="3240"/>
  <c r="I16" i="3240"/>
  <c r="UT17" i="3240"/>
  <c r="UT16" i="3240"/>
  <c r="AAO16" i="3240"/>
  <c r="AAO17" i="3240"/>
  <c r="ADJ17" i="3240"/>
  <c r="ADJ16" i="3240"/>
  <c r="AHL17" i="3240"/>
  <c r="AHL16" i="3240"/>
  <c r="PS18" i="3240"/>
  <c r="PS17" i="3240"/>
  <c r="PS16" i="3240"/>
  <c r="UV17" i="3240"/>
  <c r="UV16" i="3240"/>
  <c r="AEM16" i="3240"/>
  <c r="AEM17" i="3240"/>
  <c r="OF17" i="3240"/>
  <c r="OF16" i="3240"/>
  <c r="AGU17" i="3240"/>
  <c r="AGU16" i="3240"/>
  <c r="JJ17" i="3240"/>
  <c r="JJ16" i="3240"/>
  <c r="AFD17" i="3240"/>
  <c r="AFD16" i="3240"/>
  <c r="SQ17" i="3240"/>
  <c r="SQ16" i="3240"/>
  <c r="GJ16" i="3240"/>
  <c r="GJ17" i="3240"/>
  <c r="WS17" i="3240"/>
  <c r="WS16" i="3240"/>
  <c r="ADC16" i="3240"/>
  <c r="ADC17" i="3240"/>
  <c r="QT17" i="3240"/>
  <c r="QT16" i="3240"/>
  <c r="QT18" i="3240"/>
  <c r="D15" i="3240"/>
  <c r="D17" i="3240"/>
  <c r="D18" i="3240"/>
  <c r="M67" i="3254"/>
  <c r="AC32" i="3247"/>
  <c r="M68" i="3254" s="1"/>
  <c r="AC35" i="3247"/>
  <c r="AB80" i="3247"/>
  <c r="AA81" i="3247"/>
  <c r="G86" i="3247"/>
  <c r="F85" i="3247"/>
  <c r="F84" i="3247"/>
  <c r="F74" i="3247" s="1"/>
  <c r="F76" i="3247" s="1"/>
  <c r="F78" i="3247" s="1"/>
  <c r="F87" i="3247" s="1"/>
  <c r="BZ17" i="3240"/>
  <c r="BZ16" i="3240"/>
  <c r="ACF16" i="3240"/>
  <c r="ACF17" i="3240"/>
  <c r="AL17" i="3240"/>
  <c r="AL16" i="3240"/>
  <c r="OR16" i="3240"/>
  <c r="OR17" i="3240"/>
  <c r="OR18" i="3240"/>
  <c r="VZ17" i="3240"/>
  <c r="VZ16" i="3240"/>
  <c r="ADA17" i="3240"/>
  <c r="ADA16" i="3240"/>
  <c r="DZ16" i="3240"/>
  <c r="DZ17" i="3240"/>
  <c r="DS28" i="3240"/>
  <c r="QO16" i="3240"/>
  <c r="QO18" i="3240"/>
  <c r="QO17" i="3240"/>
  <c r="DS36" i="3240"/>
  <c r="GD17" i="3240"/>
  <c r="GD16" i="3240"/>
  <c r="DS35" i="3240"/>
  <c r="VB16" i="3240"/>
  <c r="VB17" i="3240"/>
  <c r="FM17" i="3240"/>
  <c r="FM16" i="3240"/>
  <c r="PG18" i="3240"/>
  <c r="PG17" i="3240"/>
  <c r="PG16" i="3240"/>
  <c r="RB17" i="3240"/>
  <c r="RB16" i="3240"/>
  <c r="RB18" i="3240"/>
  <c r="ACR16" i="3240"/>
  <c r="ACR17" i="3240"/>
  <c r="MM16" i="3240"/>
  <c r="MM17" i="3240"/>
  <c r="VM17" i="3240"/>
  <c r="VM16" i="3240"/>
  <c r="AFZ17" i="3240"/>
  <c r="AFZ16" i="3240"/>
  <c r="QG18" i="3240"/>
  <c r="QG17" i="3240"/>
  <c r="QG16" i="3240"/>
  <c r="AFG16" i="3240"/>
  <c r="AFG17" i="3240"/>
  <c r="CX17" i="3240"/>
  <c r="CX16" i="3240"/>
  <c r="CV23" i="3240"/>
  <c r="JT16" i="3240"/>
  <c r="JT17" i="3240"/>
  <c r="LT17" i="3240"/>
  <c r="LT16" i="3240"/>
  <c r="DO16" i="3240"/>
  <c r="DO17" i="3240"/>
  <c r="DH28" i="3240"/>
  <c r="MZ16" i="3240"/>
  <c r="MZ17" i="3240"/>
  <c r="ADV17" i="3240"/>
  <c r="ADV16" i="3240"/>
  <c r="NP16" i="3240"/>
  <c r="NP17" i="3240"/>
  <c r="AFR17" i="3240"/>
  <c r="AFR16" i="3240"/>
  <c r="IU17" i="3240"/>
  <c r="IU16" i="3240"/>
  <c r="YF16" i="3240"/>
  <c r="YF17" i="3240"/>
  <c r="MJ16" i="3240"/>
  <c r="MJ17" i="3240"/>
  <c r="FV17" i="3240"/>
  <c r="FV16" i="3240"/>
  <c r="IF17" i="3240"/>
  <c r="IF16" i="3240"/>
  <c r="WD17" i="3240"/>
  <c r="WD16" i="3240"/>
  <c r="DP17" i="3240"/>
  <c r="DP16" i="3240"/>
  <c r="DH29" i="3240"/>
  <c r="F16" i="3240"/>
  <c r="F17" i="3240"/>
  <c r="ZK17" i="3240"/>
  <c r="ZK16" i="3240"/>
  <c r="LY17" i="3240"/>
  <c r="LY16" i="3240"/>
  <c r="AAE17" i="3240"/>
  <c r="AAE16" i="3240"/>
  <c r="AHB16" i="3240"/>
  <c r="AHB17" i="3240"/>
  <c r="BH17" i="3240"/>
  <c r="BH16" i="3240"/>
  <c r="ACI17" i="3240"/>
  <c r="ACI16" i="3240"/>
  <c r="EU17" i="3240"/>
  <c r="EU16" i="3240"/>
  <c r="SL17" i="3240"/>
  <c r="SL16" i="3240"/>
  <c r="KB16" i="3240"/>
  <c r="KB17" i="3240"/>
  <c r="AEF16" i="3240"/>
  <c r="AEF17" i="3240"/>
  <c r="AGX16" i="3240"/>
  <c r="AGX17" i="3240"/>
  <c r="BU17" i="3240"/>
  <c r="BU16" i="3240"/>
  <c r="LD16" i="3240"/>
  <c r="LD17" i="3240"/>
  <c r="UW16" i="3240"/>
  <c r="UW17" i="3240"/>
  <c r="AEO17" i="3240"/>
  <c r="AEO16" i="3240"/>
  <c r="PC17" i="3240"/>
  <c r="PC16" i="3240"/>
  <c r="PC18" i="3240"/>
  <c r="AEN17" i="3240"/>
  <c r="AEN16" i="3240"/>
  <c r="BL17" i="3240"/>
  <c r="BL16" i="3240"/>
  <c r="XP16" i="3240"/>
  <c r="XP17" i="3240"/>
  <c r="II16" i="3240"/>
  <c r="II17" i="3240"/>
  <c r="KL16" i="3240"/>
  <c r="KL17" i="3240"/>
  <c r="NC16" i="3240"/>
  <c r="NC17" i="3240"/>
  <c r="SC18" i="3240"/>
  <c r="SC16" i="3240"/>
  <c r="SC17" i="3240"/>
  <c r="US17" i="3240"/>
  <c r="US16" i="3240"/>
  <c r="MY17" i="3240"/>
  <c r="MY16" i="3240"/>
  <c r="AER16" i="3240"/>
  <c r="AER17" i="3240"/>
  <c r="HQ18" i="3240"/>
  <c r="HQ16" i="3240"/>
  <c r="HQ17" i="3240"/>
  <c r="XR16" i="3240"/>
  <c r="XR17" i="3240"/>
  <c r="LW16" i="3240"/>
  <c r="LW17" i="3240"/>
  <c r="AHH17" i="3240"/>
  <c r="AHH16" i="3240"/>
  <c r="HC17" i="3240"/>
  <c r="HC16" i="3240"/>
  <c r="PV18" i="3240"/>
  <c r="PV16" i="3240"/>
  <c r="PV17" i="3240"/>
  <c r="JU16" i="3240"/>
  <c r="JU17" i="3240"/>
  <c r="L71" i="3254"/>
  <c r="AB40" i="3247"/>
  <c r="L76" i="3254" s="1"/>
  <c r="AAW17" i="3240"/>
  <c r="AAW16" i="3240"/>
  <c r="TV17" i="3240"/>
  <c r="TV16" i="3240"/>
  <c r="AGI16" i="3240"/>
  <c r="AGI17" i="3240"/>
  <c r="GA16" i="3240"/>
  <c r="GA17" i="3240"/>
  <c r="OE17" i="3240"/>
  <c r="OE16" i="3240"/>
  <c r="UN17" i="3240"/>
  <c r="UN16" i="3240"/>
  <c r="ABP16" i="3240"/>
  <c r="ABP17" i="3240"/>
  <c r="ACU17" i="3240"/>
  <c r="ACU16" i="3240"/>
  <c r="MQ16" i="3240"/>
  <c r="MQ17" i="3240"/>
  <c r="WP16" i="3240"/>
  <c r="WP17" i="3240"/>
  <c r="SN17" i="3240"/>
  <c r="SN16" i="3240"/>
  <c r="BY16" i="3240"/>
  <c r="BY17" i="3240"/>
  <c r="SM17" i="3240"/>
  <c r="SM16" i="3240"/>
  <c r="AQ17" i="3240"/>
  <c r="AQ16" i="3240"/>
  <c r="NH16" i="3240"/>
  <c r="NH17" i="3240"/>
  <c r="OS16" i="3240"/>
  <c r="OS17" i="3240"/>
  <c r="OS18" i="3240"/>
  <c r="WK16" i="3240"/>
  <c r="WK17" i="3240"/>
  <c r="XJ16" i="3240"/>
  <c r="XJ17" i="3240"/>
  <c r="AEJ17" i="3240"/>
  <c r="AEJ16" i="3240"/>
  <c r="CS17" i="3240"/>
  <c r="CS16" i="3240"/>
  <c r="CK29" i="3240"/>
  <c r="MR17" i="3240"/>
  <c r="MR16" i="3240"/>
  <c r="ABH16" i="3240"/>
  <c r="ABH17" i="3240"/>
  <c r="LF17" i="3240"/>
  <c r="LF16" i="3240"/>
  <c r="AEB17" i="3240"/>
  <c r="AEB16" i="3240"/>
  <c r="NE17" i="3240"/>
  <c r="NE16" i="3240"/>
  <c r="YI16" i="3240"/>
  <c r="YI17" i="3240"/>
  <c r="IH16" i="3240"/>
  <c r="IH17" i="3240"/>
  <c r="AIB17" i="3240"/>
  <c r="AIB16" i="3240"/>
  <c r="SW16" i="3240"/>
  <c r="SW17" i="3240"/>
  <c r="DT16" i="3240"/>
  <c r="DT17" i="3240"/>
  <c r="DS22" i="3240"/>
  <c r="ACM16" i="3240"/>
  <c r="ACM17" i="3240"/>
  <c r="MH17" i="3240"/>
  <c r="MH16" i="3240"/>
  <c r="ADG16" i="3240"/>
  <c r="ADG17" i="3240"/>
  <c r="QF18" i="3240"/>
  <c r="QF17" i="3240"/>
  <c r="QF16" i="3240"/>
  <c r="VO16" i="3240"/>
  <c r="VO17" i="3240"/>
  <c r="DB16" i="3240"/>
  <c r="DB17" i="3240"/>
  <c r="CV27" i="3240"/>
  <c r="XO17" i="3240"/>
  <c r="XO16" i="3240"/>
  <c r="HK17" i="3240"/>
  <c r="HK16" i="3240"/>
  <c r="ABW16" i="3240"/>
  <c r="ABW17" i="3240"/>
  <c r="KK16" i="3240"/>
  <c r="KK17" i="3240"/>
  <c r="AGR16" i="3240"/>
  <c r="AGR17" i="3240"/>
  <c r="PR17" i="3240"/>
  <c r="PR16" i="3240"/>
  <c r="PR18" i="3240"/>
  <c r="AE17" i="3240"/>
  <c r="AE16" i="3240"/>
  <c r="IX17" i="3240"/>
  <c r="IX16" i="3240"/>
  <c r="ABS17" i="3240"/>
  <c r="ABS16" i="3240"/>
  <c r="TJ16" i="3240"/>
  <c r="TJ17" i="3240"/>
  <c r="LO16" i="3240"/>
  <c r="LO17" i="3240"/>
  <c r="CW17" i="3240"/>
  <c r="CW16" i="3240"/>
  <c r="CV22" i="3240"/>
  <c r="ACP17" i="3240"/>
  <c r="ACP16" i="3240"/>
  <c r="RH17" i="3240"/>
  <c r="RH16" i="3240"/>
  <c r="RH18" i="3240"/>
  <c r="FW17" i="3240"/>
  <c r="FW16" i="3240"/>
  <c r="ADD17" i="3240"/>
  <c r="ADD16" i="3240"/>
  <c r="WR17" i="3240"/>
  <c r="WR16" i="3240"/>
  <c r="QU17" i="3240"/>
  <c r="QU16" i="3240"/>
  <c r="QU18" i="3240"/>
  <c r="KV16" i="3240"/>
  <c r="KV17" i="3240"/>
  <c r="EE17" i="3240"/>
  <c r="EE16" i="3240"/>
  <c r="AFE16" i="3240"/>
  <c r="AFE17" i="3240"/>
  <c r="RT16" i="3240"/>
  <c r="RT18" i="3240"/>
  <c r="RT17" i="3240"/>
  <c r="EF16" i="3240"/>
  <c r="EF17" i="3240"/>
  <c r="AHF16" i="3240"/>
  <c r="AHF17" i="3240"/>
  <c r="AAX17" i="3240"/>
  <c r="AAX16" i="3240"/>
  <c r="UP17" i="3240"/>
  <c r="UP16" i="3240"/>
  <c r="OX16" i="3240"/>
  <c r="OX18" i="3240"/>
  <c r="OX17" i="3240"/>
  <c r="IR17" i="3240"/>
  <c r="IR16" i="3240"/>
  <c r="CA17" i="3240"/>
  <c r="CA16" i="3240"/>
  <c r="B15" i="3240" l="1"/>
  <c r="B18" i="3240" s="1"/>
  <c r="C18" i="3240"/>
  <c r="CV31" i="3240"/>
  <c r="AC73" i="3247"/>
  <c r="C27" i="3247"/>
  <c r="C30" i="3247"/>
  <c r="W86" i="3247"/>
  <c r="V85" i="3247"/>
  <c r="V84" i="3247"/>
  <c r="V74" i="3247" s="1"/>
  <c r="G85" i="3247"/>
  <c r="G84" i="3247" s="1"/>
  <c r="G74" i="3247" s="1"/>
  <c r="G76" i="3247" s="1"/>
  <c r="G78" i="3247" s="1"/>
  <c r="G87" i="3247" s="1"/>
  <c r="H86" i="3247"/>
  <c r="M71" i="3254"/>
  <c r="AB39" i="3247"/>
  <c r="D66" i="3247"/>
  <c r="C29" i="3247"/>
  <c r="V72" i="3247"/>
  <c r="U78" i="3247"/>
  <c r="U87" i="3247" s="1"/>
  <c r="DS43" i="3240"/>
  <c r="CV43" i="3240"/>
  <c r="D27" i="3247"/>
  <c r="F21" i="3247"/>
  <c r="G19" i="3247"/>
  <c r="E29" i="3247"/>
  <c r="J80" i="3247"/>
  <c r="I81" i="3247"/>
  <c r="FQ17" i="3240"/>
  <c r="FQ16" i="3240"/>
  <c r="FQ18" i="3240"/>
  <c r="D28" i="3247"/>
  <c r="D29" i="3247" s="1"/>
  <c r="N90" i="3247"/>
  <c r="N72" i="3247"/>
  <c r="K73" i="3247"/>
  <c r="E33" i="3247"/>
  <c r="BT17" i="3240"/>
  <c r="BT18" i="3240"/>
  <c r="BT16" i="3240"/>
  <c r="AC80" i="3247"/>
  <c r="AB81" i="3247"/>
  <c r="T88" i="3247"/>
  <c r="D88" i="3247"/>
  <c r="DS31" i="3240"/>
  <c r="E24" i="3247"/>
  <c r="E28" i="3247"/>
  <c r="E26" i="3247"/>
  <c r="D76" i="3254"/>
  <c r="R40" i="3247"/>
  <c r="B76" i="3254" s="1"/>
  <c r="ET16" i="3240"/>
  <c r="ET17" i="3240"/>
  <c r="ET18" i="3240"/>
  <c r="AN18" i="3240" l="1"/>
  <c r="GJ15" i="3240"/>
  <c r="AAT18" i="3240"/>
  <c r="ZO18" i="3240"/>
  <c r="ZN18" i="3240"/>
  <c r="ZM18" i="3240"/>
  <c r="ZL18" i="3240"/>
  <c r="IZ15" i="3240"/>
  <c r="IZ18" i="3240" s="1"/>
  <c r="AAJ15" i="3240"/>
  <c r="AAQ15" i="3240"/>
  <c r="AAQ18" i="3240" s="1"/>
  <c r="AAP15" i="3240"/>
  <c r="AAP18" i="3240" s="1"/>
  <c r="AAI15" i="3240"/>
  <c r="AAI18" i="3240" s="1"/>
  <c r="ZK18" i="3240"/>
  <c r="GO15" i="3240"/>
  <c r="GO18" i="3240" s="1"/>
  <c r="AAY18" i="3240"/>
  <c r="GN15" i="3240"/>
  <c r="GN18" i="3240" s="1"/>
  <c r="AAX18" i="3240"/>
  <c r="GM15" i="3240"/>
  <c r="GM18" i="3240" s="1"/>
  <c r="AAW18" i="3240"/>
  <c r="GL15" i="3240"/>
  <c r="GL18" i="3240" s="1"/>
  <c r="AAV18" i="3240"/>
  <c r="GK15" i="3240"/>
  <c r="GK18" i="3240" s="1"/>
  <c r="ABF15" i="3240"/>
  <c r="ABF18" i="3240" s="1"/>
  <c r="AAU18" i="3240"/>
  <c r="ZT18" i="3240"/>
  <c r="ZS18" i="3240"/>
  <c r="ZR18" i="3240"/>
  <c r="ZQ18" i="3240"/>
  <c r="GP15" i="3240"/>
  <c r="GP18" i="3240" s="1"/>
  <c r="AAZ18" i="3240"/>
  <c r="JA15" i="3240"/>
  <c r="JA18" i="3240" s="1"/>
  <c r="ZP18" i="3240"/>
  <c r="GQ15" i="3240"/>
  <c r="GQ18" i="3240" s="1"/>
  <c r="ABA18" i="3240"/>
  <c r="GR15" i="3240"/>
  <c r="GR18" i="3240" s="1"/>
  <c r="ABB18" i="3240"/>
  <c r="GS15" i="3240"/>
  <c r="GS18" i="3240" s="1"/>
  <c r="ABC18" i="3240"/>
  <c r="ABD18" i="3240"/>
  <c r="ABG18" i="3240"/>
  <c r="AFZ18" i="3240"/>
  <c r="HO15" i="3240"/>
  <c r="HO18" i="3240" s="1"/>
  <c r="FI18" i="3240"/>
  <c r="HZ15" i="3240"/>
  <c r="HZ18" i="3240" s="1"/>
  <c r="CI18" i="3240"/>
  <c r="LD15" i="3240"/>
  <c r="IY15" i="3240"/>
  <c r="DS18" i="3240"/>
  <c r="DT18" i="3240"/>
  <c r="DU18" i="3240"/>
  <c r="DV18" i="3240"/>
  <c r="DW18" i="3240"/>
  <c r="LI15" i="3240"/>
  <c r="DX18" i="3240"/>
  <c r="LJ15" i="3240"/>
  <c r="DY18" i="3240"/>
  <c r="DZ18" i="3240"/>
  <c r="EA18" i="3240"/>
  <c r="EB18" i="3240"/>
  <c r="AGR15" i="3240"/>
  <c r="AGR18" i="3240" s="1"/>
  <c r="NP15" i="3240"/>
  <c r="NP18" i="3240" s="1"/>
  <c r="AJ18" i="3240"/>
  <c r="AE18" i="3240"/>
  <c r="AGM18" i="3240"/>
  <c r="AGN18" i="3240"/>
  <c r="AGO18" i="3240"/>
  <c r="AGP18" i="3240"/>
  <c r="AGQ18" i="3240"/>
  <c r="CW18" i="3240"/>
  <c r="CX18" i="3240"/>
  <c r="CY18" i="3240"/>
  <c r="CZ18" i="3240"/>
  <c r="DA18" i="3240"/>
  <c r="DB18" i="3240"/>
  <c r="DC18" i="3240"/>
  <c r="DD18" i="3240"/>
  <c r="DE18" i="3240"/>
  <c r="AH18" i="3240"/>
  <c r="AI18" i="3240"/>
  <c r="AK18" i="3240"/>
  <c r="AL18" i="3240"/>
  <c r="AM18" i="3240"/>
  <c r="YX15" i="3240"/>
  <c r="YX18" i="3240" s="1"/>
  <c r="R18" i="3240"/>
  <c r="S18" i="3240"/>
  <c r="T18" i="3240"/>
  <c r="U18" i="3240"/>
  <c r="V18" i="3240"/>
  <c r="W18" i="3240"/>
  <c r="AW15" i="3240"/>
  <c r="AF18" i="3240"/>
  <c r="GF18" i="3240"/>
  <c r="UV18" i="3240"/>
  <c r="GE18" i="3240"/>
  <c r="GD18" i="3240"/>
  <c r="GB18" i="3240"/>
  <c r="GA18" i="3240"/>
  <c r="FZ18" i="3240"/>
  <c r="FY18" i="3240"/>
  <c r="FX18" i="3240"/>
  <c r="FW18" i="3240"/>
  <c r="FV18" i="3240"/>
  <c r="FU18" i="3240"/>
  <c r="FT18" i="3240"/>
  <c r="FS18" i="3240"/>
  <c r="FR18" i="3240"/>
  <c r="HN15" i="3240"/>
  <c r="FH18" i="3240"/>
  <c r="HM15" i="3240"/>
  <c r="HM18" i="3240" s="1"/>
  <c r="FG18" i="3240"/>
  <c r="HA15" i="3240"/>
  <c r="HA18" i="3240" s="1"/>
  <c r="EU18" i="3240"/>
  <c r="BU18" i="3240"/>
  <c r="BR18" i="3240"/>
  <c r="BQ18" i="3240"/>
  <c r="BP18" i="3240"/>
  <c r="BO18" i="3240"/>
  <c r="BM18" i="3240"/>
  <c r="N8" i="3247"/>
  <c r="BL18" i="3240"/>
  <c r="BK18" i="3240"/>
  <c r="BJ18" i="3240"/>
  <c r="N7" i="3247"/>
  <c r="BI18" i="3240"/>
  <c r="BH18" i="3240"/>
  <c r="BG18" i="3240"/>
  <c r="N6" i="3247"/>
  <c r="BF18" i="3240"/>
  <c r="BE18" i="3240"/>
  <c r="BD18" i="3240"/>
  <c r="N5" i="3247"/>
  <c r="BC18" i="3240"/>
  <c r="BB18" i="3240"/>
  <c r="BA18" i="3240"/>
  <c r="N4" i="3247"/>
  <c r="AZ18" i="3240"/>
  <c r="AY18" i="3240"/>
  <c r="AX18" i="3240"/>
  <c r="AV18" i="3240"/>
  <c r="N10" i="3247"/>
  <c r="AP18" i="3240"/>
  <c r="HF15" i="3240"/>
  <c r="EZ18" i="3240"/>
  <c r="HE15" i="3240"/>
  <c r="EY18" i="3240"/>
  <c r="HD15" i="3240"/>
  <c r="EX18" i="3240"/>
  <c r="HC15" i="3240"/>
  <c r="EW18" i="3240"/>
  <c r="HB15" i="3240"/>
  <c r="EV18" i="3240"/>
  <c r="ABO15" i="3240"/>
  <c r="ABO18" i="3240" s="1"/>
  <c r="BZ18" i="3240"/>
  <c r="ABN15" i="3240"/>
  <c r="ABN18" i="3240" s="1"/>
  <c r="BY18" i="3240"/>
  <c r="ABM15" i="3240"/>
  <c r="ABM18" i="3240" s="1"/>
  <c r="BX18" i="3240"/>
  <c r="ABL15" i="3240"/>
  <c r="ABL18" i="3240" s="1"/>
  <c r="BW18" i="3240"/>
  <c r="ABK15" i="3240"/>
  <c r="BV18" i="3240"/>
  <c r="HK15" i="3240"/>
  <c r="FE18" i="3240"/>
  <c r="HJ15" i="3240"/>
  <c r="FD18" i="3240"/>
  <c r="HI15" i="3240"/>
  <c r="FC18" i="3240"/>
  <c r="HH15" i="3240"/>
  <c r="FB18" i="3240"/>
  <c r="ABP15" i="3240"/>
  <c r="CA18" i="3240"/>
  <c r="HG15" i="3240"/>
  <c r="FA18" i="3240"/>
  <c r="ABQ15" i="3240"/>
  <c r="ABQ18" i="3240" s="1"/>
  <c r="CB18" i="3240"/>
  <c r="ZH15" i="3240"/>
  <c r="ZH18" i="3240" s="1"/>
  <c r="ABR15" i="3240"/>
  <c r="ABR18" i="3240" s="1"/>
  <c r="CC18" i="3240"/>
  <c r="ZG15" i="3240"/>
  <c r="ZG18" i="3240" s="1"/>
  <c r="ABS15" i="3240"/>
  <c r="ABS18" i="3240" s="1"/>
  <c r="CD18" i="3240"/>
  <c r="ZF15" i="3240"/>
  <c r="ZF18" i="3240" s="1"/>
  <c r="EC15" i="3240"/>
  <c r="LE15" i="3240" s="1"/>
  <c r="ABT15" i="3240"/>
  <c r="ABT18" i="3240" s="1"/>
  <c r="CE18" i="3240"/>
  <c r="CG18" i="3240"/>
  <c r="SV15" i="3240"/>
  <c r="ZE15" i="3240"/>
  <c r="SI15" i="3240"/>
  <c r="SI18" i="3240" s="1"/>
  <c r="CH18" i="3240"/>
  <c r="ST18" i="3240"/>
  <c r="IL18" i="3240"/>
  <c r="K18" i="3240"/>
  <c r="F18" i="3240"/>
  <c r="HY15" i="3240"/>
  <c r="AA18" i="3240"/>
  <c r="Y18" i="3240"/>
  <c r="JG18" i="3240"/>
  <c r="J18" i="3240"/>
  <c r="EF15" i="3240"/>
  <c r="EG15" i="3240"/>
  <c r="EH15" i="3240"/>
  <c r="EI15" i="3240"/>
  <c r="EJ15" i="3240"/>
  <c r="EK15" i="3240"/>
  <c r="EE18" i="3240"/>
  <c r="AC18" i="3240"/>
  <c r="G18" i="3240"/>
  <c r="H18" i="3240"/>
  <c r="I18" i="3240"/>
  <c r="L18" i="3240"/>
  <c r="NZ15" i="3240"/>
  <c r="M18" i="3240"/>
  <c r="N18" i="3240"/>
  <c r="O18" i="3240"/>
  <c r="Z18" i="3240"/>
  <c r="AD18" i="3240"/>
  <c r="N11" i="3247"/>
  <c r="N12" i="3247" s="1"/>
  <c r="AQ18" i="3240"/>
  <c r="NR15" i="3240"/>
  <c r="NR18" i="3240" s="1"/>
  <c r="AS18" i="3240"/>
  <c r="AT18" i="3240"/>
  <c r="F33" i="3247"/>
  <c r="AD73" i="3247"/>
  <c r="AD74" i="3247" s="1"/>
  <c r="AC81" i="3247"/>
  <c r="AD80" i="3247"/>
  <c r="AD81" i="3247" s="1"/>
  <c r="G21" i="3247"/>
  <c r="H19" i="3247"/>
  <c r="L73" i="3247"/>
  <c r="U88" i="3247"/>
  <c r="E88" i="3247"/>
  <c r="YZ15" i="3240"/>
  <c r="SH18" i="3240"/>
  <c r="L75" i="3254"/>
  <c r="AA39" i="3247"/>
  <c r="AB41" i="3247"/>
  <c r="L77" i="3254" s="1"/>
  <c r="AB42" i="3247"/>
  <c r="L78" i="3254" s="1"/>
  <c r="H85" i="3247"/>
  <c r="I86" i="3247"/>
  <c r="H84" i="3247"/>
  <c r="H74" i="3247" s="1"/>
  <c r="H76" i="3247" s="1"/>
  <c r="H78" i="3247" s="1"/>
  <c r="H87" i="3247" s="1"/>
  <c r="K80" i="3247"/>
  <c r="J81" i="3247"/>
  <c r="W85" i="3247"/>
  <c r="W84" i="3247" s="1"/>
  <c r="W74" i="3247" s="1"/>
  <c r="X86" i="3247"/>
  <c r="F24" i="3247"/>
  <c r="V78" i="3247"/>
  <c r="V87" i="3247" s="1"/>
  <c r="W72" i="3247"/>
  <c r="C35" i="3247"/>
  <c r="Q90" i="3247"/>
  <c r="E18" i="3240"/>
  <c r="E30" i="3247"/>
  <c r="E35" i="3247" s="1"/>
  <c r="E27" i="3247"/>
  <c r="E66" i="3247"/>
  <c r="D67" i="3247"/>
  <c r="C32" i="3247"/>
  <c r="D30" i="3247"/>
  <c r="D35" i="3247" s="1"/>
  <c r="LH15" i="3240" l="1"/>
  <c r="LF15" i="3240"/>
  <c r="LM15" i="3240"/>
  <c r="LM18" i="3240" s="1"/>
  <c r="LG15" i="3240"/>
  <c r="LO15" i="3240" s="1"/>
  <c r="LO18" i="3240" s="1"/>
  <c r="LL15" i="3240"/>
  <c r="LL18" i="3240" s="1"/>
  <c r="LK15" i="3240"/>
  <c r="IF15" i="3240"/>
  <c r="IF18" i="3240" s="1"/>
  <c r="ABX15" i="3240"/>
  <c r="ABX18" i="3240" s="1"/>
  <c r="CK18" i="3240"/>
  <c r="CL18" i="3240"/>
  <c r="CM18" i="3240"/>
  <c r="CN18" i="3240"/>
  <c r="CO18" i="3240"/>
  <c r="CP18" i="3240"/>
  <c r="CQ18" i="3240"/>
  <c r="CR18" i="3240"/>
  <c r="CS18" i="3240"/>
  <c r="CT18" i="3240"/>
  <c r="HW15" i="3240"/>
  <c r="HW18" i="3240" s="1"/>
  <c r="ER18" i="3240"/>
  <c r="FO18" i="3240"/>
  <c r="HV15" i="3240"/>
  <c r="IR15" i="3240"/>
  <c r="IR18" i="3240" s="1"/>
  <c r="EQ18" i="3240"/>
  <c r="AGD18" i="3240"/>
  <c r="FN18" i="3240"/>
  <c r="HU15" i="3240"/>
  <c r="IQ15" i="3240"/>
  <c r="IQ18" i="3240" s="1"/>
  <c r="EP18" i="3240"/>
  <c r="AGC18" i="3240"/>
  <c r="FM18" i="3240"/>
  <c r="HT15" i="3240"/>
  <c r="IP15" i="3240"/>
  <c r="IP18" i="3240" s="1"/>
  <c r="EO18" i="3240"/>
  <c r="AGB18" i="3240"/>
  <c r="FL18" i="3240"/>
  <c r="HS15" i="3240"/>
  <c r="IO15" i="3240"/>
  <c r="IO18" i="3240" s="1"/>
  <c r="EN18" i="3240"/>
  <c r="AGA18" i="3240"/>
  <c r="FK18" i="3240"/>
  <c r="AAH15" i="3240"/>
  <c r="IN15" i="3240"/>
  <c r="EM18" i="3240"/>
  <c r="V88" i="3247"/>
  <c r="F88" i="3247"/>
  <c r="G33" i="3247"/>
  <c r="NU18" i="3240"/>
  <c r="KE18" i="3240"/>
  <c r="J86" i="3247"/>
  <c r="I85" i="3247"/>
  <c r="I84" i="3247"/>
  <c r="I74" i="3247" s="1"/>
  <c r="I76" i="3247" s="1"/>
  <c r="I78" i="3247" s="1"/>
  <c r="I87" i="3247" s="1"/>
  <c r="H21" i="3247"/>
  <c r="I19" i="3247"/>
  <c r="HH18" i="3240"/>
  <c r="HD18" i="3240"/>
  <c r="KD18" i="3240"/>
  <c r="LJ18" i="3240"/>
  <c r="LF18" i="3240"/>
  <c r="G24" i="3247"/>
  <c r="G26" i="3247"/>
  <c r="G28" i="3247"/>
  <c r="G29" i="3247" s="1"/>
  <c r="HI18" i="3240"/>
  <c r="HE18" i="3240"/>
  <c r="AAL15" i="3240"/>
  <c r="AAJ18" i="3240"/>
  <c r="F26" i="3247"/>
  <c r="K75" i="3254"/>
  <c r="Z39" i="3247"/>
  <c r="AA42" i="3247"/>
  <c r="K78" i="3254" s="1"/>
  <c r="ZI18" i="3240"/>
  <c r="ZE18" i="3240"/>
  <c r="HN18" i="3240"/>
  <c r="KC18" i="3240"/>
  <c r="F28" i="3247"/>
  <c r="SJ18" i="3240"/>
  <c r="SK18" i="3240"/>
  <c r="SL18" i="3240"/>
  <c r="SM18" i="3240"/>
  <c r="SN18" i="3240"/>
  <c r="SS18" i="3240"/>
  <c r="UF18" i="3240"/>
  <c r="VG18" i="3240"/>
  <c r="VF18" i="3240"/>
  <c r="TW18" i="3240"/>
  <c r="DH18" i="3240"/>
  <c r="DI18" i="3240"/>
  <c r="DJ18" i="3240"/>
  <c r="DK18" i="3240"/>
  <c r="DL18" i="3240"/>
  <c r="DM18" i="3240"/>
  <c r="DN18" i="3240"/>
  <c r="DO18" i="3240"/>
  <c r="DP18" i="3240"/>
  <c r="DQ18" i="3240"/>
  <c r="AHC18" i="3240"/>
  <c r="AGS18" i="3240"/>
  <c r="AGT18" i="3240"/>
  <c r="AGU18" i="3240"/>
  <c r="AGV18" i="3240"/>
  <c r="NT18" i="3240"/>
  <c r="UB18" i="3240"/>
  <c r="NY18" i="3240"/>
  <c r="UE18" i="3240"/>
  <c r="UC18" i="3240"/>
  <c r="UA18" i="3240"/>
  <c r="UD18" i="3240"/>
  <c r="TZ18" i="3240"/>
  <c r="TX18" i="3240"/>
  <c r="LA18" i="3240"/>
  <c r="TY18" i="3240"/>
  <c r="TV18" i="3240"/>
  <c r="TI18" i="3240"/>
  <c r="UG18" i="3240"/>
  <c r="ZY18" i="3240"/>
  <c r="AAA18" i="3240"/>
  <c r="ZZ18" i="3240"/>
  <c r="AAB18" i="3240"/>
  <c r="AAC18" i="3240"/>
  <c r="AAD18" i="3240"/>
  <c r="AAF18" i="3240"/>
  <c r="AAG18" i="3240"/>
  <c r="AAE18" i="3240"/>
  <c r="YZ18" i="3240"/>
  <c r="UI15" i="3240"/>
  <c r="UI18" i="3240" s="1"/>
  <c r="SV18" i="3240"/>
  <c r="HJ18" i="3240"/>
  <c r="HF18" i="3240"/>
  <c r="CV18" i="3240"/>
  <c r="LV18" i="3240"/>
  <c r="LI18" i="3240"/>
  <c r="LE18" i="3240"/>
  <c r="F66" i="3247"/>
  <c r="E67" i="3247"/>
  <c r="D32" i="3247"/>
  <c r="L80" i="3247"/>
  <c r="K81" i="3247"/>
  <c r="EK18" i="3240"/>
  <c r="HY18" i="3240"/>
  <c r="HK18" i="3240"/>
  <c r="KF18" i="3240"/>
  <c r="GU15" i="3240"/>
  <c r="GU18" i="3240" s="1"/>
  <c r="JI15" i="3240"/>
  <c r="JI18" i="3240" s="1"/>
  <c r="GJ18" i="3240"/>
  <c r="KK18" i="3240"/>
  <c r="KJ18" i="3240"/>
  <c r="KI18" i="3240"/>
  <c r="KH18" i="3240"/>
  <c r="EJ18" i="3240"/>
  <c r="IY18" i="3240"/>
  <c r="M73" i="3247"/>
  <c r="EI18" i="3240"/>
  <c r="KG18" i="3240"/>
  <c r="LH18" i="3240"/>
  <c r="X85" i="3247"/>
  <c r="Y86" i="3247"/>
  <c r="X84" i="3247"/>
  <c r="X74" i="3247" s="1"/>
  <c r="EH18" i="3240"/>
  <c r="LN15" i="3240"/>
  <c r="LN18" i="3240" s="1"/>
  <c r="EC18" i="3240"/>
  <c r="HG18" i="3240"/>
  <c r="ACC15" i="3240"/>
  <c r="ACB15" i="3240"/>
  <c r="ACJ15" i="3240"/>
  <c r="ACJ18" i="3240" s="1"/>
  <c r="ACI15" i="3240"/>
  <c r="ACI18" i="3240" s="1"/>
  <c r="ABK18" i="3240"/>
  <c r="HB18" i="3240"/>
  <c r="N9" i="3247"/>
  <c r="AW18" i="3240"/>
  <c r="LD18" i="3240"/>
  <c r="EG18" i="3240"/>
  <c r="DF15" i="3240"/>
  <c r="DF18" i="3240" s="1"/>
  <c r="W78" i="3247"/>
  <c r="W87" i="3247" s="1"/>
  <c r="X72" i="3247"/>
  <c r="NZ18" i="3240"/>
  <c r="EF18" i="3240"/>
  <c r="OA18" i="3240"/>
  <c r="ABV15" i="3240"/>
  <c r="ABV18" i="3240" s="1"/>
  <c r="ABP18" i="3240"/>
  <c r="HC18" i="3240"/>
  <c r="LK18" i="3240"/>
  <c r="LG18" i="3240"/>
  <c r="JS15" i="3240" l="1"/>
  <c r="JU15" i="3240"/>
  <c r="JQ15" i="3240"/>
  <c r="KP15" i="3240" s="1"/>
  <c r="KP18" i="3240" s="1"/>
  <c r="JR15" i="3240"/>
  <c r="JR18" i="3240" s="1"/>
  <c r="JP15" i="3240"/>
  <c r="JV15" i="3240"/>
  <c r="JW15" i="3240"/>
  <c r="JT15" i="3240"/>
  <c r="KS15" i="3240" s="1"/>
  <c r="KS18" i="3240" s="1"/>
  <c r="JX15" i="3240"/>
  <c r="JX18" i="3240" s="1"/>
  <c r="ADE18" i="3240"/>
  <c r="ADD18" i="3240"/>
  <c r="ADI18" i="3240"/>
  <c r="ADC18" i="3240"/>
  <c r="ADJ18" i="3240"/>
  <c r="ADB18" i="3240"/>
  <c r="ADG18" i="3240"/>
  <c r="ADH18" i="3240"/>
  <c r="MK18" i="3240"/>
  <c r="IU15" i="3240"/>
  <c r="IU18" i="3240" s="1"/>
  <c r="IV15" i="3240"/>
  <c r="ZU15" i="3240" s="1"/>
  <c r="IX15" i="3240"/>
  <c r="JJ18" i="3240" s="1"/>
  <c r="OB18" i="3240"/>
  <c r="OC18" i="3240"/>
  <c r="LZ18" i="3240"/>
  <c r="OD15" i="3240"/>
  <c r="OD18" i="3240" s="1"/>
  <c r="MX15" i="3240"/>
  <c r="LY18" i="3240"/>
  <c r="UY18" i="3240"/>
  <c r="X78" i="3247"/>
  <c r="X87" i="3247" s="1"/>
  <c r="Y72" i="3247"/>
  <c r="HT18" i="3240"/>
  <c r="W88" i="3247"/>
  <c r="G88" i="3247"/>
  <c r="KR15" i="3240"/>
  <c r="KR18" i="3240" s="1"/>
  <c r="JS18" i="3240"/>
  <c r="JC15" i="3240"/>
  <c r="JC18" i="3240" s="1"/>
  <c r="TL18" i="3240"/>
  <c r="ACE15" i="3240"/>
  <c r="ACC18" i="3240"/>
  <c r="Y84" i="3247"/>
  <c r="Y74" i="3247" s="1"/>
  <c r="Y85" i="3247"/>
  <c r="Z86" i="3247"/>
  <c r="KT15" i="3240"/>
  <c r="KT18" i="3240" s="1"/>
  <c r="JU18" i="3240"/>
  <c r="KQ15" i="3240"/>
  <c r="KQ18" i="3240" s="1"/>
  <c r="F30" i="3247"/>
  <c r="F27" i="3247"/>
  <c r="MC18" i="3240"/>
  <c r="MO15" i="3240"/>
  <c r="JB18" i="3240"/>
  <c r="ADO18" i="3240"/>
  <c r="ABY18" i="3240"/>
  <c r="MA18" i="3240"/>
  <c r="KU15" i="3240"/>
  <c r="KU18" i="3240" s="1"/>
  <c r="IA15" i="3240"/>
  <c r="HS18" i="3240"/>
  <c r="F29" i="3247"/>
  <c r="HU18" i="3240"/>
  <c r="ZA18" i="3240"/>
  <c r="YS18" i="3240"/>
  <c r="J75" i="3254"/>
  <c r="Y39" i="3247"/>
  <c r="Z42" i="3247"/>
  <c r="J78" i="3254" s="1"/>
  <c r="AAN15" i="3240"/>
  <c r="AAN18" i="3240" s="1"/>
  <c r="AAL18" i="3240"/>
  <c r="AAM15" i="3240"/>
  <c r="AAM18" i="3240" s="1"/>
  <c r="AAO15" i="3240"/>
  <c r="AAO18" i="3240" s="1"/>
  <c r="H33" i="3247"/>
  <c r="SO18" i="3240"/>
  <c r="K86" i="3247"/>
  <c r="J85" i="3247"/>
  <c r="J84" i="3247"/>
  <c r="J74" i="3247" s="1"/>
  <c r="J76" i="3247" s="1"/>
  <c r="J78" i="3247" s="1"/>
  <c r="J87" i="3247" s="1"/>
  <c r="LX18" i="3240"/>
  <c r="ADA18" i="3240"/>
  <c r="H24" i="3247"/>
  <c r="H28" i="3247" s="1"/>
  <c r="ABW15" i="3240"/>
  <c r="ABW18" i="3240" s="1"/>
  <c r="ACB18" i="3240"/>
  <c r="M80" i="3247"/>
  <c r="L81" i="3247"/>
  <c r="OF15" i="3240"/>
  <c r="OF18" i="3240" s="1"/>
  <c r="OE18" i="3240"/>
  <c r="G30" i="3247"/>
  <c r="G35" i="3247" s="1"/>
  <c r="G27" i="3247"/>
  <c r="SW15" i="3240"/>
  <c r="VI18" i="3240"/>
  <c r="ADF18" i="3240"/>
  <c r="JT18" i="3240"/>
  <c r="LQ18" i="3240"/>
  <c r="LT18" i="3240"/>
  <c r="N73" i="3247"/>
  <c r="JW18" i="3240"/>
  <c r="LS18" i="3240"/>
  <c r="G66" i="3247"/>
  <c r="F67" i="3247"/>
  <c r="E32" i="3247"/>
  <c r="LU18" i="3240"/>
  <c r="LR18" i="3240"/>
  <c r="ZV15" i="3240"/>
  <c r="ZV18" i="3240" s="1"/>
  <c r="ZX18" i="3240"/>
  <c r="LW18" i="3240"/>
  <c r="J19" i="3247"/>
  <c r="I21" i="3247"/>
  <c r="IN18" i="3240"/>
  <c r="IT15" i="3240"/>
  <c r="HV18" i="3240"/>
  <c r="JO15" i="3240"/>
  <c r="KL15" i="3240"/>
  <c r="KL18" i="3240" s="1"/>
  <c r="KB18" i="3240"/>
  <c r="IV18" i="3240" l="1"/>
  <c r="IX18" i="3240"/>
  <c r="KO15" i="3240"/>
  <c r="KO18" i="3240" s="1"/>
  <c r="KW15" i="3240"/>
  <c r="KW18" i="3240" s="1"/>
  <c r="JP18" i="3240"/>
  <c r="JQ18" i="3240"/>
  <c r="KV15" i="3240"/>
  <c r="KV18" i="3240" s="1"/>
  <c r="JV18" i="3240"/>
  <c r="ADL15" i="3240"/>
  <c r="ADL18" i="3240" s="1"/>
  <c r="MW15" i="3240"/>
  <c r="MW18" i="3240" s="1"/>
  <c r="ADM15" i="3240"/>
  <c r="ADM18" i="3240" s="1"/>
  <c r="ADS15" i="3240"/>
  <c r="ADR15" i="3240"/>
  <c r="ADR18" i="3240" s="1"/>
  <c r="ADZ15" i="3240"/>
  <c r="ADZ18" i="3240" s="1"/>
  <c r="ADN15" i="3240"/>
  <c r="ADY15" i="3240"/>
  <c r="ADY18" i="3240" s="1"/>
  <c r="ML18" i="3240"/>
  <c r="UX18" i="3240"/>
  <c r="H29" i="3247"/>
  <c r="TK18" i="3240"/>
  <c r="X88" i="3247"/>
  <c r="H88" i="3247"/>
  <c r="K19" i="3247"/>
  <c r="J21" i="3247"/>
  <c r="MH18" i="3240"/>
  <c r="MT15" i="3240"/>
  <c r="I33" i="3247"/>
  <c r="H66" i="3247"/>
  <c r="G67" i="3247"/>
  <c r="F32" i="3247"/>
  <c r="K85" i="3247"/>
  <c r="K84" i="3247"/>
  <c r="K74" i="3247" s="1"/>
  <c r="K76" i="3247" s="1"/>
  <c r="K78" i="3247" s="1"/>
  <c r="K87" i="3247" s="1"/>
  <c r="L86" i="3247"/>
  <c r="ADN18" i="3240"/>
  <c r="I75" i="3254"/>
  <c r="X39" i="3247"/>
  <c r="Y42" i="3247"/>
  <c r="I78" i="3254" s="1"/>
  <c r="MI18" i="3240"/>
  <c r="MU15" i="3240"/>
  <c r="MF18" i="3240"/>
  <c r="MR15" i="3240"/>
  <c r="ABZ18" i="3240"/>
  <c r="MO18" i="3240"/>
  <c r="AA86" i="3247"/>
  <c r="Z85" i="3247"/>
  <c r="Z84" i="3247" s="1"/>
  <c r="Z74" i="3247" s="1"/>
  <c r="MD18" i="3240"/>
  <c r="MP15" i="3240"/>
  <c r="MG18" i="3240"/>
  <c r="MS15" i="3240"/>
  <c r="H26" i="3247"/>
  <c r="ADS18" i="3240"/>
  <c r="ACG15" i="3240"/>
  <c r="ACG18" i="3240" s="1"/>
  <c r="ACE18" i="3240"/>
  <c r="ACF15" i="3240"/>
  <c r="ACF18" i="3240" s="1"/>
  <c r="ACH15" i="3240"/>
  <c r="ACH18" i="3240" s="1"/>
  <c r="SX15" i="3240"/>
  <c r="SW18" i="3240"/>
  <c r="F35" i="3247"/>
  <c r="KN15" i="3240"/>
  <c r="KN18" i="3240" s="1"/>
  <c r="JY15" i="3240"/>
  <c r="KX18" i="3240" s="1"/>
  <c r="JZ15" i="3240"/>
  <c r="JZ18" i="3240" s="1"/>
  <c r="JO18" i="3240"/>
  <c r="ZU18" i="3240"/>
  <c r="IG15" i="3240"/>
  <c r="IG18" i="3240" s="1"/>
  <c r="IA18" i="3240"/>
  <c r="N80" i="3247"/>
  <c r="N81" i="3247" s="1"/>
  <c r="M81" i="3247"/>
  <c r="IT18" i="3240"/>
  <c r="UJ15" i="3240"/>
  <c r="ADK18" i="3240"/>
  <c r="AGW18" i="3240"/>
  <c r="I26" i="3247"/>
  <c r="I28" i="3247"/>
  <c r="I29" i="3247" s="1"/>
  <c r="I24" i="3247"/>
  <c r="MJ18" i="3240"/>
  <c r="MV15" i="3240"/>
  <c r="MX18" i="3240"/>
  <c r="IB15" i="3240"/>
  <c r="ME18" i="3240"/>
  <c r="MQ15" i="3240"/>
  <c r="MM18" i="3240"/>
  <c r="Y78" i="3247"/>
  <c r="Y87" i="3247" s="1"/>
  <c r="Z72" i="3247"/>
  <c r="ADU15" i="3240" l="1"/>
  <c r="ADV15" i="3240" s="1"/>
  <c r="ADV18" i="3240" s="1"/>
  <c r="UW18" i="3240"/>
  <c r="AA84" i="3247"/>
  <c r="AA74" i="3247" s="1"/>
  <c r="AB86" i="3247"/>
  <c r="AA85" i="3247"/>
  <c r="AGX18" i="3240"/>
  <c r="H30" i="3247"/>
  <c r="H27" i="3247"/>
  <c r="L85" i="3247"/>
  <c r="L84" i="3247" s="1"/>
  <c r="L74" i="3247" s="1"/>
  <c r="L76" i="3247" s="1"/>
  <c r="L78" i="3247" s="1"/>
  <c r="L87" i="3247" s="1"/>
  <c r="M86" i="3247"/>
  <c r="MQ18" i="3240"/>
  <c r="J33" i="3247"/>
  <c r="H75" i="3254"/>
  <c r="W39" i="3247"/>
  <c r="X42" i="3247"/>
  <c r="H78" i="3254" s="1"/>
  <c r="Y88" i="3247"/>
  <c r="I88" i="3247"/>
  <c r="JY18" i="3240"/>
  <c r="L19" i="3247"/>
  <c r="K21" i="3247"/>
  <c r="MS18" i="3240"/>
  <c r="VJ15" i="3240"/>
  <c r="UJ18" i="3240"/>
  <c r="SY15" i="3240"/>
  <c r="UK15" i="3240"/>
  <c r="SX18" i="3240"/>
  <c r="MT18" i="3240"/>
  <c r="IH15" i="3240"/>
  <c r="IH18" i="3240" s="1"/>
  <c r="IB18" i="3240"/>
  <c r="IC15" i="3240"/>
  <c r="AA72" i="3247"/>
  <c r="Z78" i="3247"/>
  <c r="Z87" i="3247" s="1"/>
  <c r="MV18" i="3240"/>
  <c r="MR18" i="3240"/>
  <c r="JD15" i="3240"/>
  <c r="JD18" i="3240" s="1"/>
  <c r="ZW18" i="3240"/>
  <c r="TT18" i="3240"/>
  <c r="I66" i="3247"/>
  <c r="H67" i="3247"/>
  <c r="G32" i="3247"/>
  <c r="SP18" i="3240"/>
  <c r="I30" i="3247"/>
  <c r="I35" i="3247" s="1"/>
  <c r="I27" i="3247"/>
  <c r="ADW15" i="3240"/>
  <c r="ADU18" i="3240"/>
  <c r="MU18" i="3240"/>
  <c r="MY15" i="3240"/>
  <c r="MZ15" i="3240" s="1"/>
  <c r="NG15" i="3240" s="1"/>
  <c r="NG18" i="3240" s="1"/>
  <c r="KZ18" i="3240"/>
  <c r="LB18" i="3240"/>
  <c r="MP18" i="3240"/>
  <c r="J26" i="3247"/>
  <c r="J24" i="3247"/>
  <c r="J28" i="3247" s="1"/>
  <c r="J29" i="3247" s="1"/>
  <c r="TJ18" i="3240"/>
  <c r="ADX15" i="3240"/>
  <c r="ADX18" i="3240" s="1"/>
  <c r="ADW18" i="3240" l="1"/>
  <c r="ADP18" i="3240"/>
  <c r="AGF18" i="3240"/>
  <c r="WV15" i="3240"/>
  <c r="K33" i="3247"/>
  <c r="NC15" i="3240"/>
  <c r="NC18" i="3240" s="1"/>
  <c r="ND15" i="3240"/>
  <c r="ND18" i="3240" s="1"/>
  <c r="NL15" i="3240"/>
  <c r="NL18" i="3240" s="1"/>
  <c r="MY18" i="3240"/>
  <c r="SQ18" i="3240"/>
  <c r="SR18" i="3240"/>
  <c r="II15" i="3240"/>
  <c r="II18" i="3240" s="1"/>
  <c r="IC18" i="3240"/>
  <c r="ID15" i="3240"/>
  <c r="K24" i="3247"/>
  <c r="K26" i="3247"/>
  <c r="K28" i="3247"/>
  <c r="M85" i="3247"/>
  <c r="M84" i="3247"/>
  <c r="M74" i="3247" s="1"/>
  <c r="M76" i="3247" s="1"/>
  <c r="NE15" i="3240"/>
  <c r="NE18" i="3240" s="1"/>
  <c r="AGY18" i="3240"/>
  <c r="VJ18" i="3240"/>
  <c r="L21" i="3247"/>
  <c r="K29" i="3247"/>
  <c r="M19" i="3247"/>
  <c r="N19" i="3247"/>
  <c r="G75" i="3254"/>
  <c r="V39" i="3247"/>
  <c r="W42" i="3247"/>
  <c r="G78" i="3254" s="1"/>
  <c r="NI15" i="3240"/>
  <c r="NI18" i="3240" s="1"/>
  <c r="J66" i="3247"/>
  <c r="I67" i="3247"/>
  <c r="H32" i="3247"/>
  <c r="TS18" i="3240"/>
  <c r="H35" i="3247"/>
  <c r="NF15" i="3240"/>
  <c r="NF18" i="3240" s="1"/>
  <c r="J30" i="3247"/>
  <c r="J35" i="3247" s="1"/>
  <c r="J27" i="3247"/>
  <c r="Z88" i="3247"/>
  <c r="J88" i="3247"/>
  <c r="VK15" i="3240"/>
  <c r="UK18" i="3240"/>
  <c r="MZ18" i="3240"/>
  <c r="NK15" i="3240"/>
  <c r="NK18" i="3240" s="1"/>
  <c r="NJ15" i="3240"/>
  <c r="NJ18" i="3240" s="1"/>
  <c r="NB15" i="3240"/>
  <c r="NH15" i="3240"/>
  <c r="NH18" i="3240" s="1"/>
  <c r="AA78" i="3247"/>
  <c r="AA87" i="3247" s="1"/>
  <c r="AB72" i="3247"/>
  <c r="SZ15" i="3240"/>
  <c r="UL15" i="3240"/>
  <c r="SY18" i="3240"/>
  <c r="AC86" i="3247"/>
  <c r="AB85" i="3247"/>
  <c r="AB84" i="3247" s="1"/>
  <c r="AB74" i="3247" s="1"/>
  <c r="Q92" i="3247"/>
  <c r="S92" i="3247"/>
  <c r="U92" i="3247"/>
  <c r="V92" i="3247"/>
  <c r="AGG18" i="3240" l="1"/>
  <c r="WW15" i="3240"/>
  <c r="IJ15" i="3240"/>
  <c r="IJ18" i="3240" s="1"/>
  <c r="ID18" i="3240"/>
  <c r="TM18" i="3240"/>
  <c r="UZ18" i="3240"/>
  <c r="N78" i="3247"/>
  <c r="N87" i="3247" s="1"/>
  <c r="M78" i="3247"/>
  <c r="M87" i="3247" s="1"/>
  <c r="VK18" i="3240"/>
  <c r="L24" i="3247"/>
  <c r="N24" i="3247" s="1"/>
  <c r="L26" i="3247"/>
  <c r="N21" i="3247"/>
  <c r="VL15" i="3240"/>
  <c r="UL18" i="3240"/>
  <c r="AC72" i="3247"/>
  <c r="AB78" i="3247"/>
  <c r="AB87" i="3247" s="1"/>
  <c r="AC83" i="3247"/>
  <c r="AC85" i="3247"/>
  <c r="AC84" i="3247"/>
  <c r="AC74" i="3247" s="1"/>
  <c r="AA88" i="3247"/>
  <c r="K88" i="3247"/>
  <c r="M21" i="3247"/>
  <c r="K66" i="3247"/>
  <c r="J67" i="3247"/>
  <c r="I32" i="3247"/>
  <c r="NM15" i="3240"/>
  <c r="NM18" i="3240" s="1"/>
  <c r="NB18" i="3240"/>
  <c r="NO15" i="3240"/>
  <c r="K30" i="3247"/>
  <c r="K27" i="3247"/>
  <c r="WV18" i="3240"/>
  <c r="AGZ18" i="3240"/>
  <c r="TA15" i="3240"/>
  <c r="UM15" i="3240"/>
  <c r="SZ18" i="3240"/>
  <c r="F75" i="3254"/>
  <c r="V42" i="3247"/>
  <c r="F78" i="3254" s="1"/>
  <c r="U39" i="3247"/>
  <c r="VW15" i="3240"/>
  <c r="WI18" i="3240"/>
  <c r="AGH18" i="3240" l="1"/>
  <c r="WX15" i="3240"/>
  <c r="VM15" i="3240"/>
  <c r="UM18" i="3240"/>
  <c r="TB15" i="3240"/>
  <c r="UN15" i="3240"/>
  <c r="TA18" i="3240"/>
  <c r="VL18" i="3240"/>
  <c r="L33" i="3247"/>
  <c r="N33" i="3247" s="1"/>
  <c r="AHA18" i="3240"/>
  <c r="AHB18" i="3240"/>
  <c r="M33" i="3247"/>
  <c r="E75" i="3254"/>
  <c r="U42" i="3247"/>
  <c r="E78" i="3254" s="1"/>
  <c r="T39" i="3247"/>
  <c r="AC78" i="3247"/>
  <c r="AC87" i="3247" s="1"/>
  <c r="AD72" i="3247"/>
  <c r="AD78" i="3247" s="1"/>
  <c r="AD87" i="3247" s="1"/>
  <c r="AD88" i="3247" s="1"/>
  <c r="K35" i="3247"/>
  <c r="M24" i="3247"/>
  <c r="M26" i="3247" s="1"/>
  <c r="L27" i="3247"/>
  <c r="N27" i="3247" s="1"/>
  <c r="N26" i="3247"/>
  <c r="VW18" i="3240"/>
  <c r="L28" i="3247"/>
  <c r="TN18" i="3240"/>
  <c r="VA18" i="3240"/>
  <c r="L66" i="3247"/>
  <c r="K67" i="3247"/>
  <c r="J32" i="3247"/>
  <c r="AB88" i="3247"/>
  <c r="L88" i="3247"/>
  <c r="WW18" i="3240"/>
  <c r="AHE18" i="3240"/>
  <c r="NO18" i="3240"/>
  <c r="VX15" i="3240"/>
  <c r="VX18" i="3240" s="1"/>
  <c r="WJ18" i="3240"/>
  <c r="AGI18" i="3240" l="1"/>
  <c r="M27" i="3247"/>
  <c r="M30" i="3247"/>
  <c r="L34" i="3247" s="1"/>
  <c r="M66" i="3247"/>
  <c r="L67" i="3247"/>
  <c r="K32" i="3247"/>
  <c r="N88" i="3247"/>
  <c r="AHJ18" i="3240"/>
  <c r="N28" i="3247"/>
  <c r="L29" i="3247"/>
  <c r="N29" i="3247" s="1"/>
  <c r="VN15" i="3240"/>
  <c r="UN18" i="3240"/>
  <c r="AHH18" i="3240"/>
  <c r="AC88" i="3247"/>
  <c r="AA41" i="3247"/>
  <c r="Z41" i="3247"/>
  <c r="Y41" i="3247"/>
  <c r="X41" i="3247"/>
  <c r="W41" i="3247"/>
  <c r="V41" i="3247"/>
  <c r="L30" i="3247"/>
  <c r="D75" i="3254"/>
  <c r="S39" i="3247"/>
  <c r="T41" i="3247"/>
  <c r="T42" i="3247"/>
  <c r="D78" i="3254" s="1"/>
  <c r="U41" i="3247"/>
  <c r="VM18" i="3240"/>
  <c r="AHI18" i="3240"/>
  <c r="WX18" i="3240"/>
  <c r="TC15" i="3240"/>
  <c r="UO15" i="3240"/>
  <c r="TB18" i="3240"/>
  <c r="VY15" i="3240"/>
  <c r="WK18" i="3240"/>
  <c r="M88" i="3247"/>
  <c r="NQ18" i="3240"/>
  <c r="TO18" i="3240"/>
  <c r="VB18" i="3240"/>
  <c r="M28" i="3247"/>
  <c r="M29" i="3247" s="1"/>
  <c r="AHG18" i="3240"/>
  <c r="AHF18" i="3240"/>
  <c r="Q1186" i="3247"/>
  <c r="Q1185" i="3247"/>
  <c r="Q1184" i="3247" s="1"/>
  <c r="Q1183" i="3247" s="1"/>
  <c r="Q1182" i="3247"/>
  <c r="Q1181" i="3247"/>
  <c r="Q1180" i="3247" s="1"/>
  <c r="Q1179" i="3247" s="1"/>
  <c r="Q1178" i="3247" s="1"/>
  <c r="Q1177" i="3247" s="1"/>
  <c r="Q1176" i="3247" s="1"/>
  <c r="Q1175" i="3247" s="1"/>
  <c r="Q1174" i="3247" s="1"/>
  <c r="Q1173" i="3247" s="1"/>
  <c r="Q1172" i="3247" s="1"/>
  <c r="Q1171" i="3247" s="1"/>
  <c r="Q1170" i="3247" s="1"/>
  <c r="Q1169" i="3247" s="1"/>
  <c r="Q1168" i="3247" s="1"/>
  <c r="Q1167" i="3247" s="1"/>
  <c r="Q1166" i="3247" s="1"/>
  <c r="Q1165" i="3247" s="1"/>
  <c r="Q1164" i="3247" s="1"/>
  <c r="Q1163" i="3247" s="1"/>
  <c r="Q1162" i="3247" s="1"/>
  <c r="Q1161" i="3247" s="1"/>
  <c r="Q1160" i="3247" s="1"/>
  <c r="Q1159" i="3247" s="1"/>
  <c r="Q1158" i="3247" s="1"/>
  <c r="Q1157" i="3247" s="1"/>
  <c r="Q1156" i="3247" s="1"/>
  <c r="Q1155" i="3247" s="1"/>
  <c r="Q1154" i="3247" s="1"/>
  <c r="Q1153" i="3247" s="1"/>
  <c r="Q1152" i="3247" s="1"/>
  <c r="Q1151" i="3247" s="1"/>
  <c r="Q1150" i="3247" s="1"/>
  <c r="Q1149" i="3247" s="1"/>
  <c r="Q1148" i="3247" s="1"/>
  <c r="Q1147" i="3247" s="1"/>
  <c r="Q1146" i="3247" s="1"/>
  <c r="Q1145" i="3247" s="1"/>
  <c r="Q1144" i="3247" s="1"/>
  <c r="Q1143" i="3247" s="1"/>
  <c r="Q1142" i="3247" s="1"/>
  <c r="Q1141" i="3247" s="1"/>
  <c r="Q1140" i="3247" s="1"/>
  <c r="Q1139" i="3247" s="1"/>
  <c r="Q1138" i="3247" s="1"/>
  <c r="Q1137" i="3247" s="1"/>
  <c r="Q1136" i="3247" s="1"/>
  <c r="Q1135" i="3247" s="1"/>
  <c r="Q1134" i="3247" s="1"/>
  <c r="Q1133" i="3247" s="1"/>
  <c r="Q1132" i="3247" s="1"/>
  <c r="Q1131" i="3247" s="1"/>
  <c r="Q1130" i="3247" s="1"/>
  <c r="Q1129" i="3247" s="1"/>
  <c r="Q1128" i="3247" s="1"/>
  <c r="Q1127" i="3247" s="1"/>
  <c r="Q1126" i="3247" s="1"/>
  <c r="Q1125" i="3247" s="1"/>
  <c r="Q1124" i="3247" s="1"/>
  <c r="Q1123" i="3247" s="1"/>
  <c r="Q1122" i="3247" s="1"/>
  <c r="Q1121" i="3247" s="1"/>
  <c r="Q1120" i="3247" s="1"/>
  <c r="Q1119" i="3247" s="1"/>
  <c r="Q1118" i="3247" s="1"/>
  <c r="Q1117" i="3247" s="1"/>
  <c r="Q1116" i="3247" s="1"/>
  <c r="Q1115" i="3247" s="1"/>
  <c r="Q1114" i="3247" s="1"/>
  <c r="Q1113" i="3247" s="1"/>
  <c r="Q1112" i="3247" s="1"/>
  <c r="Q1111" i="3247" s="1"/>
  <c r="Q1110" i="3247" s="1"/>
  <c r="Q1109" i="3247" s="1"/>
  <c r="Q1108" i="3247" s="1"/>
  <c r="Q1107" i="3247" s="1"/>
  <c r="Q1106" i="3247" s="1"/>
  <c r="Q1105" i="3247" s="1"/>
  <c r="Q1104" i="3247" s="1"/>
  <c r="Q1103" i="3247" s="1"/>
  <c r="Q1102" i="3247" s="1"/>
  <c r="Q1101" i="3247" s="1"/>
  <c r="Q1100" i="3247" s="1"/>
  <c r="Q1099" i="3247" s="1"/>
  <c r="Q1098" i="3247" s="1"/>
  <c r="Q1097" i="3247" s="1"/>
  <c r="Q1096" i="3247" s="1"/>
  <c r="Q1095" i="3247" s="1"/>
  <c r="Q1094" i="3247" s="1"/>
  <c r="Q1093" i="3247" s="1"/>
  <c r="Q1092" i="3247" s="1"/>
  <c r="Q1091" i="3247" s="1"/>
  <c r="Q1090" i="3247" s="1"/>
  <c r="Q1089" i="3247" s="1"/>
  <c r="Q1088" i="3247" s="1"/>
  <c r="Q1087" i="3247" s="1"/>
  <c r="Q1086" i="3247" s="1"/>
  <c r="Q1085" i="3247" s="1"/>
  <c r="Q1084" i="3247" s="1"/>
  <c r="Q1083" i="3247" s="1"/>
  <c r="Q1082" i="3247" s="1"/>
  <c r="Q1081" i="3247" s="1"/>
  <c r="Q1080" i="3247" s="1"/>
  <c r="Q1079" i="3247" s="1"/>
  <c r="Q1078" i="3247" s="1"/>
  <c r="Q1077" i="3247" s="1"/>
  <c r="Q1076" i="3247" s="1"/>
  <c r="Q1075" i="3247" s="1"/>
  <c r="Q1074" i="3247" s="1"/>
  <c r="Q1073" i="3247" s="1"/>
  <c r="Q1072" i="3247" s="1"/>
  <c r="Q1071" i="3247" s="1"/>
  <c r="Q1070" i="3247" s="1"/>
  <c r="Q1069" i="3247" s="1"/>
  <c r="Q1068" i="3247" s="1"/>
  <c r="Q1067" i="3247" s="1"/>
  <c r="Q1066" i="3247" s="1"/>
  <c r="Q1065" i="3247" s="1"/>
  <c r="Q1064" i="3247" s="1"/>
  <c r="Q1063" i="3247" s="1"/>
  <c r="Q1062" i="3247" s="1"/>
  <c r="Q1061" i="3247" s="1"/>
  <c r="Q1060" i="3247" s="1"/>
  <c r="Q1059" i="3247" s="1"/>
  <c r="Q1058" i="3247" s="1"/>
  <c r="Q1057" i="3247" s="1"/>
  <c r="Q1056" i="3247" s="1"/>
  <c r="Q1055" i="3247" s="1"/>
  <c r="Q1054" i="3247" s="1"/>
  <c r="Q1053" i="3247" s="1"/>
  <c r="Q1052" i="3247" s="1"/>
  <c r="Q1051" i="3247" s="1"/>
  <c r="Q1050" i="3247" s="1"/>
  <c r="Q1049" i="3247" s="1"/>
  <c r="Q1048" i="3247" s="1"/>
  <c r="Q1047" i="3247" s="1"/>
  <c r="Q1046" i="3247" s="1"/>
  <c r="Q1045" i="3247" s="1"/>
  <c r="Q1044" i="3247" s="1"/>
  <c r="Q1043" i="3247" s="1"/>
  <c r="Q1042" i="3247" s="1"/>
  <c r="Q1041" i="3247" s="1"/>
  <c r="Q1040" i="3247" s="1"/>
  <c r="Q1039" i="3247" s="1"/>
  <c r="Q1038" i="3247" s="1"/>
  <c r="Q1037" i="3247" s="1"/>
  <c r="Q1036" i="3247" s="1"/>
  <c r="Q1035" i="3247" s="1"/>
  <c r="Q1034" i="3247" s="1"/>
  <c r="Q1033" i="3247" s="1"/>
  <c r="Q1032" i="3247" s="1"/>
  <c r="Q1031" i="3247" s="1"/>
  <c r="Q1030" i="3247" s="1"/>
  <c r="Q1029" i="3247" s="1"/>
  <c r="Q1028" i="3247" s="1"/>
  <c r="Q1027" i="3247" s="1"/>
  <c r="Q1026" i="3247" s="1"/>
  <c r="Q1025" i="3247" s="1"/>
  <c r="Q1024" i="3247" s="1"/>
  <c r="Q1023" i="3247" s="1"/>
  <c r="Q1022" i="3247" s="1"/>
  <c r="Q1021" i="3247" s="1"/>
  <c r="Q1020" i="3247" s="1"/>
  <c r="Q1019" i="3247" s="1"/>
  <c r="Q1018" i="3247" s="1"/>
  <c r="Q1017" i="3247" s="1"/>
  <c r="Q1016" i="3247" s="1"/>
  <c r="Q1015" i="3247" s="1"/>
  <c r="Q1014" i="3247" s="1"/>
  <c r="Q1013" i="3247" s="1"/>
  <c r="Q1012" i="3247" s="1"/>
  <c r="Q1011" i="3247" s="1"/>
  <c r="Q1010" i="3247" s="1"/>
  <c r="Q1009" i="3247" s="1"/>
  <c r="Q1008" i="3247" s="1"/>
  <c r="Q1007" i="3247" s="1"/>
  <c r="Q1006" i="3247" s="1"/>
  <c r="Q1005" i="3247" s="1"/>
  <c r="Q1004" i="3247" s="1"/>
  <c r="Q1003" i="3247" s="1"/>
  <c r="Q1002" i="3247" s="1"/>
  <c r="Q1001" i="3247" s="1"/>
  <c r="Q1000" i="3247" s="1"/>
  <c r="Q999" i="3247" s="1"/>
  <c r="Q998" i="3247" s="1"/>
  <c r="Q997" i="3247" s="1"/>
  <c r="Q996" i="3247" s="1"/>
  <c r="Q995" i="3247" s="1"/>
  <c r="Q994" i="3247" s="1"/>
  <c r="Q993" i="3247" s="1"/>
  <c r="Q992" i="3247" s="1"/>
  <c r="Q991" i="3247" s="1"/>
  <c r="Q990" i="3247" s="1"/>
  <c r="Q989" i="3247" s="1"/>
  <c r="Q988" i="3247" s="1"/>
  <c r="Q987" i="3247" s="1"/>
  <c r="Q986" i="3247" s="1"/>
  <c r="Q985" i="3247" s="1"/>
  <c r="Q984" i="3247" s="1"/>
  <c r="Q983" i="3247" s="1"/>
  <c r="Q982" i="3247" s="1"/>
  <c r="Q981" i="3247" s="1"/>
  <c r="Q980" i="3247" s="1"/>
  <c r="Q979" i="3247" s="1"/>
  <c r="Q978" i="3247" s="1"/>
  <c r="Q977" i="3247" s="1"/>
  <c r="Q976" i="3247" s="1"/>
  <c r="Q975" i="3247" s="1"/>
  <c r="Q974" i="3247" s="1"/>
  <c r="Q973" i="3247" s="1"/>
  <c r="Q972" i="3247" s="1"/>
  <c r="Q971" i="3247" s="1"/>
  <c r="Q970" i="3247" s="1"/>
  <c r="Q969" i="3247" s="1"/>
  <c r="Q968" i="3247" s="1"/>
  <c r="Q967" i="3247" s="1"/>
  <c r="Q966" i="3247" s="1"/>
  <c r="Q965" i="3247" s="1"/>
  <c r="Q964" i="3247" s="1"/>
  <c r="Q963" i="3247" s="1"/>
  <c r="Q962" i="3247" s="1"/>
  <c r="Q961" i="3247" s="1"/>
  <c r="Q960" i="3247" s="1"/>
  <c r="Q959" i="3247" s="1"/>
  <c r="Q958" i="3247" s="1"/>
  <c r="Q957" i="3247" s="1"/>
  <c r="Q956" i="3247" s="1"/>
  <c r="Q955" i="3247" s="1"/>
  <c r="Q954" i="3247" s="1"/>
  <c r="Q953" i="3247" s="1"/>
  <c r="Q952" i="3247" s="1"/>
  <c r="Q951" i="3247" s="1"/>
  <c r="Q950" i="3247" s="1"/>
  <c r="Q949" i="3247" s="1"/>
  <c r="Q948" i="3247" s="1"/>
  <c r="Q947" i="3247" s="1"/>
  <c r="Q946" i="3247" s="1"/>
  <c r="Q945" i="3247" s="1"/>
  <c r="Q944" i="3247" s="1"/>
  <c r="Q943" i="3247" s="1"/>
  <c r="Q942" i="3247" s="1"/>
  <c r="Q941" i="3247" s="1"/>
  <c r="Q940" i="3247" s="1"/>
  <c r="Q939" i="3247" s="1"/>
  <c r="Q938" i="3247" s="1"/>
  <c r="Q937" i="3247" s="1"/>
  <c r="Q936" i="3247" s="1"/>
  <c r="Q935" i="3247" s="1"/>
  <c r="Q934" i="3247" s="1"/>
  <c r="Q933" i="3247" s="1"/>
  <c r="Q932" i="3247" s="1"/>
  <c r="Q931" i="3247" s="1"/>
  <c r="Q930" i="3247" s="1"/>
  <c r="Q929" i="3247" s="1"/>
  <c r="Q928" i="3247" s="1"/>
  <c r="Q927" i="3247" s="1"/>
  <c r="Q926" i="3247" s="1"/>
  <c r="Q925" i="3247" s="1"/>
  <c r="Q924" i="3247" s="1"/>
  <c r="Q923" i="3247" s="1"/>
  <c r="Q922" i="3247" s="1"/>
  <c r="Q921" i="3247" s="1"/>
  <c r="Q920" i="3247" s="1"/>
  <c r="Q919" i="3247" s="1"/>
  <c r="Q918" i="3247" s="1"/>
  <c r="Q917" i="3247" s="1"/>
  <c r="Q916" i="3247" s="1"/>
  <c r="Q915" i="3247" s="1"/>
  <c r="Q914" i="3247" s="1"/>
  <c r="Q913" i="3247" s="1"/>
  <c r="Q912" i="3247" s="1"/>
  <c r="Q911" i="3247" s="1"/>
  <c r="Q910" i="3247" s="1"/>
  <c r="Q909" i="3247" s="1"/>
  <c r="Q908" i="3247" s="1"/>
  <c r="Q907" i="3247" s="1"/>
  <c r="Q906" i="3247" s="1"/>
  <c r="Q905" i="3247" s="1"/>
  <c r="Q904" i="3247" s="1"/>
  <c r="Q903" i="3247" s="1"/>
  <c r="Q902" i="3247" s="1"/>
  <c r="Q901" i="3247" s="1"/>
  <c r="Q900" i="3247" s="1"/>
  <c r="Q899" i="3247" s="1"/>
  <c r="Q898" i="3247" s="1"/>
  <c r="Q897" i="3247" s="1"/>
  <c r="Q896" i="3247" s="1"/>
  <c r="Q895" i="3247" s="1"/>
  <c r="Q894" i="3247" s="1"/>
  <c r="Q893" i="3247" s="1"/>
  <c r="Q892" i="3247" s="1"/>
  <c r="Q891" i="3247" s="1"/>
  <c r="Q890" i="3247" s="1"/>
  <c r="Q889" i="3247" s="1"/>
  <c r="Q888" i="3247" s="1"/>
  <c r="Q887" i="3247" s="1"/>
  <c r="Q886" i="3247" s="1"/>
  <c r="Q885" i="3247" s="1"/>
  <c r="Q884" i="3247" s="1"/>
  <c r="Q883" i="3247" s="1"/>
  <c r="Q882" i="3247" s="1"/>
  <c r="Q881" i="3247" s="1"/>
  <c r="Q880" i="3247" s="1"/>
  <c r="Q879" i="3247" s="1"/>
  <c r="Q878" i="3247" s="1"/>
  <c r="Q877" i="3247" s="1"/>
  <c r="Q876" i="3247" s="1"/>
  <c r="Q875" i="3247" s="1"/>
  <c r="Q874" i="3247" s="1"/>
  <c r="Q873" i="3247" s="1"/>
  <c r="Q872" i="3247" s="1"/>
  <c r="Q871" i="3247" s="1"/>
  <c r="Q870" i="3247" s="1"/>
  <c r="Q869" i="3247" s="1"/>
  <c r="Q868" i="3247" s="1"/>
  <c r="Q867" i="3247" s="1"/>
  <c r="Q866" i="3247" s="1"/>
  <c r="Q865" i="3247" s="1"/>
  <c r="Q864" i="3247" s="1"/>
  <c r="Q863" i="3247" s="1"/>
  <c r="Q862" i="3247" s="1"/>
  <c r="Q861" i="3247" s="1"/>
  <c r="Q860" i="3247" s="1"/>
  <c r="Q859" i="3247" s="1"/>
  <c r="Q858" i="3247" s="1"/>
  <c r="Q857" i="3247" s="1"/>
  <c r="Q856" i="3247" s="1"/>
  <c r="Q855" i="3247" s="1"/>
  <c r="Q854" i="3247" s="1"/>
  <c r="Q853" i="3247" s="1"/>
  <c r="Q852" i="3247" s="1"/>
  <c r="Q851" i="3247" s="1"/>
  <c r="Q850" i="3247" s="1"/>
  <c r="Q849" i="3247" s="1"/>
  <c r="Q848" i="3247" s="1"/>
  <c r="Q847" i="3247" s="1"/>
  <c r="Q846" i="3247" s="1"/>
  <c r="Q845" i="3247" s="1"/>
  <c r="Q844" i="3247" s="1"/>
  <c r="Q843" i="3247" s="1"/>
  <c r="Q842" i="3247" s="1"/>
  <c r="Q841" i="3247" s="1"/>
  <c r="Q840" i="3247" s="1"/>
  <c r="Q839" i="3247" s="1"/>
  <c r="Q838" i="3247" s="1"/>
  <c r="Q837" i="3247" s="1"/>
  <c r="Q836" i="3247" s="1"/>
  <c r="Q835" i="3247" s="1"/>
  <c r="Q834" i="3247" s="1"/>
  <c r="Q833" i="3247" s="1"/>
  <c r="Q832" i="3247" s="1"/>
  <c r="Q831" i="3247" s="1"/>
  <c r="Q830" i="3247" s="1"/>
  <c r="Q829" i="3247" s="1"/>
  <c r="Q828" i="3247" s="1"/>
  <c r="Q827" i="3247" s="1"/>
  <c r="Q826" i="3247" s="1"/>
  <c r="Q825" i="3247" s="1"/>
  <c r="Q824" i="3247" s="1"/>
  <c r="Q823" i="3247" s="1"/>
  <c r="Q822" i="3247" s="1"/>
  <c r="Q821" i="3247" s="1"/>
  <c r="Q820" i="3247" s="1"/>
  <c r="Q819" i="3247" s="1"/>
  <c r="Q818" i="3247" s="1"/>
  <c r="Q817" i="3247" s="1"/>
  <c r="Q816" i="3247" s="1"/>
  <c r="Q815" i="3247" s="1"/>
  <c r="Q814" i="3247" s="1"/>
  <c r="Q813" i="3247" s="1"/>
  <c r="Q812" i="3247" s="1"/>
  <c r="Q811" i="3247" s="1"/>
  <c r="Q810" i="3247" s="1"/>
  <c r="Q809" i="3247" s="1"/>
  <c r="Q808" i="3247" s="1"/>
  <c r="Q807" i="3247" s="1"/>
  <c r="Q806" i="3247" s="1"/>
  <c r="Q805" i="3247" s="1"/>
  <c r="Q804" i="3247" s="1"/>
  <c r="Q803" i="3247" s="1"/>
  <c r="Q802" i="3247" s="1"/>
  <c r="Q801" i="3247" s="1"/>
  <c r="Q800" i="3247" s="1"/>
  <c r="Q799" i="3247" s="1"/>
  <c r="Q798" i="3247" s="1"/>
  <c r="Q797" i="3247" s="1"/>
  <c r="Q796" i="3247" s="1"/>
  <c r="Q795" i="3247" s="1"/>
  <c r="Q794" i="3247" s="1"/>
  <c r="Q793" i="3247" s="1"/>
  <c r="Q792" i="3247" s="1"/>
  <c r="Q791" i="3247" s="1"/>
  <c r="Q790" i="3247" s="1"/>
  <c r="Q789" i="3247" s="1"/>
  <c r="Q788" i="3247" s="1"/>
  <c r="Q787" i="3247" s="1"/>
  <c r="Q786" i="3247" s="1"/>
  <c r="Q785" i="3247" s="1"/>
  <c r="Q784" i="3247" s="1"/>
  <c r="Q783" i="3247" s="1"/>
  <c r="Q782" i="3247" s="1"/>
  <c r="Q781" i="3247" s="1"/>
  <c r="Q780" i="3247" s="1"/>
  <c r="Q779" i="3247" s="1"/>
  <c r="Q778" i="3247" s="1"/>
  <c r="Q777" i="3247" s="1"/>
  <c r="Q776" i="3247" s="1"/>
  <c r="Q775" i="3247" s="1"/>
  <c r="Q774" i="3247" s="1"/>
  <c r="Q773" i="3247" s="1"/>
  <c r="Q772" i="3247" s="1"/>
  <c r="Q771" i="3247" s="1"/>
  <c r="Q770" i="3247" s="1"/>
  <c r="Q769" i="3247" s="1"/>
  <c r="Q768" i="3247" s="1"/>
  <c r="Q767" i="3247" s="1"/>
  <c r="Q766" i="3247" s="1"/>
  <c r="Q765" i="3247" s="1"/>
  <c r="Q764" i="3247" s="1"/>
  <c r="Q763" i="3247" s="1"/>
  <c r="Q762" i="3247" s="1"/>
  <c r="Q761" i="3247" s="1"/>
  <c r="Q760" i="3247" s="1"/>
  <c r="Q759" i="3247" s="1"/>
  <c r="Q758" i="3247" s="1"/>
  <c r="Q757" i="3247" s="1"/>
  <c r="Q756" i="3247" s="1"/>
  <c r="Q755" i="3247" s="1"/>
  <c r="Q754" i="3247" s="1"/>
  <c r="Q753" i="3247" s="1"/>
  <c r="Q752" i="3247" s="1"/>
  <c r="Q751" i="3247" s="1"/>
  <c r="Q750" i="3247" s="1"/>
  <c r="Q749" i="3247" s="1"/>
  <c r="Q748" i="3247" s="1"/>
  <c r="Q747" i="3247" s="1"/>
  <c r="Q746" i="3247" s="1"/>
  <c r="Q745" i="3247" s="1"/>
  <c r="Q744" i="3247" s="1"/>
  <c r="Q743" i="3247" s="1"/>
  <c r="Q742" i="3247" s="1"/>
  <c r="Q741" i="3247" s="1"/>
  <c r="Q740" i="3247" s="1"/>
  <c r="Q739" i="3247" s="1"/>
  <c r="Q738" i="3247" s="1"/>
  <c r="Q737" i="3247" s="1"/>
  <c r="Q736" i="3247" s="1"/>
  <c r="Q735" i="3247" s="1"/>
  <c r="Q734" i="3247" s="1"/>
  <c r="Q733" i="3247" s="1"/>
  <c r="Q732" i="3247" s="1"/>
  <c r="Q731" i="3247" s="1"/>
  <c r="Q730" i="3247" s="1"/>
  <c r="Q729" i="3247" s="1"/>
  <c r="Q728" i="3247" s="1"/>
  <c r="Q727" i="3247" s="1"/>
  <c r="Q726" i="3247" s="1"/>
  <c r="Q725" i="3247" s="1"/>
  <c r="Q724" i="3247" s="1"/>
  <c r="Q723" i="3247" s="1"/>
  <c r="Q722" i="3247" s="1"/>
  <c r="Q721" i="3247" s="1"/>
  <c r="Q720" i="3247" s="1"/>
  <c r="Q719" i="3247" s="1"/>
  <c r="Q718" i="3247" s="1"/>
  <c r="Q717" i="3247" s="1"/>
  <c r="Q716" i="3247" s="1"/>
  <c r="Q715" i="3247" s="1"/>
  <c r="Q714" i="3247" s="1"/>
  <c r="Q713" i="3247" s="1"/>
  <c r="Q712" i="3247" s="1"/>
  <c r="Q711" i="3247" s="1"/>
  <c r="Q710" i="3247" s="1"/>
  <c r="Q709" i="3247" s="1"/>
  <c r="Q708" i="3247" s="1"/>
  <c r="Q707" i="3247" s="1"/>
  <c r="Q706" i="3247" s="1"/>
  <c r="Q705" i="3247" s="1"/>
  <c r="Q704" i="3247" s="1"/>
  <c r="Q703" i="3247" s="1"/>
  <c r="Q702" i="3247" s="1"/>
  <c r="Q701" i="3247" s="1"/>
  <c r="Q700" i="3247" s="1"/>
  <c r="Q699" i="3247" s="1"/>
  <c r="Q698" i="3247" s="1"/>
  <c r="Q697" i="3247" s="1"/>
  <c r="Q696" i="3247" s="1"/>
  <c r="Q695" i="3247" s="1"/>
  <c r="Q694" i="3247" s="1"/>
  <c r="Q693" i="3247" s="1"/>
  <c r="Q692" i="3247" s="1"/>
  <c r="Q691" i="3247" s="1"/>
  <c r="Q690" i="3247" s="1"/>
  <c r="Q689" i="3247" s="1"/>
  <c r="Q688" i="3247" s="1"/>
  <c r="Q687" i="3247" s="1"/>
  <c r="Q686" i="3247" s="1"/>
  <c r="Q685" i="3247" s="1"/>
  <c r="Q684" i="3247" s="1"/>
  <c r="Q683" i="3247" s="1"/>
  <c r="Q682" i="3247" s="1"/>
  <c r="Q681" i="3247" s="1"/>
  <c r="Q680" i="3247" s="1"/>
  <c r="Q679" i="3247" s="1"/>
  <c r="Q678" i="3247" s="1"/>
  <c r="Q677" i="3247" s="1"/>
  <c r="Q676" i="3247" s="1"/>
  <c r="Q675" i="3247" s="1"/>
  <c r="Q674" i="3247" s="1"/>
  <c r="Q673" i="3247" s="1"/>
  <c r="Q672" i="3247" s="1"/>
  <c r="Q671" i="3247" s="1"/>
  <c r="Q670" i="3247" s="1"/>
  <c r="Q669" i="3247" s="1"/>
  <c r="Q668" i="3247" s="1"/>
  <c r="Q667" i="3247" s="1"/>
  <c r="Q666" i="3247" s="1"/>
  <c r="Q665" i="3247" s="1"/>
  <c r="Q664" i="3247" s="1"/>
  <c r="Q663" i="3247" s="1"/>
  <c r="Q662" i="3247" s="1"/>
  <c r="Q661" i="3247" s="1"/>
  <c r="Q660" i="3247" s="1"/>
  <c r="Q659" i="3247" s="1"/>
  <c r="Q658" i="3247" s="1"/>
  <c r="Q657" i="3247" s="1"/>
  <c r="Q656" i="3247" s="1"/>
  <c r="Q655" i="3247" s="1"/>
  <c r="Q654" i="3247" s="1"/>
  <c r="Q653" i="3247" s="1"/>
  <c r="Q652" i="3247" s="1"/>
  <c r="Q651" i="3247" s="1"/>
  <c r="Q650" i="3247" s="1"/>
  <c r="Q649" i="3247" s="1"/>
  <c r="Q648" i="3247" s="1"/>
  <c r="Q647" i="3247" s="1"/>
  <c r="Q646" i="3247" s="1"/>
  <c r="Q645" i="3247" s="1"/>
  <c r="Q644" i="3247" s="1"/>
  <c r="Q643" i="3247" s="1"/>
  <c r="Q642" i="3247" s="1"/>
  <c r="Q641" i="3247" s="1"/>
  <c r="Q640" i="3247" s="1"/>
  <c r="Q639" i="3247" s="1"/>
  <c r="Q638" i="3247" s="1"/>
  <c r="Q637" i="3247" s="1"/>
  <c r="Q636" i="3247" s="1"/>
  <c r="Q635" i="3247" s="1"/>
  <c r="Q634" i="3247" s="1"/>
  <c r="Q633" i="3247" s="1"/>
  <c r="Q632" i="3247" s="1"/>
  <c r="Q631" i="3247" s="1"/>
  <c r="Q630" i="3247" s="1"/>
  <c r="Q629" i="3247" s="1"/>
  <c r="Q628" i="3247" s="1"/>
  <c r="Q627" i="3247" s="1"/>
  <c r="Q626" i="3247" s="1"/>
  <c r="Q625" i="3247" s="1"/>
  <c r="Q624" i="3247" s="1"/>
  <c r="Q623" i="3247" s="1"/>
  <c r="Q622" i="3247" s="1"/>
  <c r="Q621" i="3247" s="1"/>
  <c r="Q620" i="3247" s="1"/>
  <c r="Q619" i="3247" s="1"/>
  <c r="Q618" i="3247" s="1"/>
  <c r="Q617" i="3247" s="1"/>
  <c r="Q616" i="3247" s="1"/>
  <c r="Q615" i="3247" s="1"/>
  <c r="Q614" i="3247" s="1"/>
  <c r="Q613" i="3247" s="1"/>
  <c r="Q612" i="3247" s="1"/>
  <c r="Q611" i="3247" s="1"/>
  <c r="Q610" i="3247" s="1"/>
  <c r="Q609" i="3247" s="1"/>
  <c r="Q608" i="3247" s="1"/>
  <c r="Q607" i="3247" s="1"/>
  <c r="Q606" i="3247" s="1"/>
  <c r="Q605" i="3247" s="1"/>
  <c r="Q604" i="3247" s="1"/>
  <c r="Q603" i="3247" s="1"/>
  <c r="Q602" i="3247" s="1"/>
  <c r="Q601" i="3247" s="1"/>
  <c r="Q600" i="3247" s="1"/>
  <c r="Q599" i="3247" s="1"/>
  <c r="Q598" i="3247" s="1"/>
  <c r="Q597" i="3247" s="1"/>
  <c r="Q596" i="3247" s="1"/>
  <c r="Q595" i="3247" s="1"/>
  <c r="Q594" i="3247" s="1"/>
  <c r="Q593" i="3247" s="1"/>
  <c r="Q592" i="3247" s="1"/>
  <c r="Q591" i="3247" s="1"/>
  <c r="Q590" i="3247" s="1"/>
  <c r="Q589" i="3247" s="1"/>
  <c r="Q588" i="3247" s="1"/>
  <c r="Q587" i="3247" s="1"/>
  <c r="Q586" i="3247" s="1"/>
  <c r="Q585" i="3247" s="1"/>
  <c r="Q584" i="3247" s="1"/>
  <c r="Q583" i="3247" s="1"/>
  <c r="Q582" i="3247" s="1"/>
  <c r="Q581" i="3247" s="1"/>
  <c r="Q580" i="3247" s="1"/>
  <c r="Q579" i="3247" s="1"/>
  <c r="Q578" i="3247" s="1"/>
  <c r="Q577" i="3247" s="1"/>
  <c r="Q576" i="3247" s="1"/>
  <c r="Q575" i="3247" s="1"/>
  <c r="Q574" i="3247" s="1"/>
  <c r="Q573" i="3247" s="1"/>
  <c r="Q572" i="3247" s="1"/>
  <c r="Q571" i="3247" s="1"/>
  <c r="Q570" i="3247" s="1"/>
  <c r="Q569" i="3247" s="1"/>
  <c r="Q568" i="3247" s="1"/>
  <c r="Q567" i="3247" s="1"/>
  <c r="Q566" i="3247" s="1"/>
  <c r="Q565" i="3247" s="1"/>
  <c r="Q564" i="3247" s="1"/>
  <c r="Q563" i="3247" s="1"/>
  <c r="Q562" i="3247" s="1"/>
  <c r="Q561" i="3247" s="1"/>
  <c r="Q560" i="3247" s="1"/>
  <c r="Q559" i="3247" s="1"/>
  <c r="Q558" i="3247" s="1"/>
  <c r="Q557" i="3247" s="1"/>
  <c r="Q556" i="3247" s="1"/>
  <c r="Q555" i="3247" s="1"/>
  <c r="Q554" i="3247" s="1"/>
  <c r="Q553" i="3247" s="1"/>
  <c r="Q552" i="3247" s="1"/>
  <c r="Q551" i="3247" s="1"/>
  <c r="Q550" i="3247" s="1"/>
  <c r="Q549" i="3247" s="1"/>
  <c r="Q548" i="3247" s="1"/>
  <c r="Q547" i="3247" s="1"/>
  <c r="Q546" i="3247" s="1"/>
  <c r="Q545" i="3247" s="1"/>
  <c r="Q544" i="3247" s="1"/>
  <c r="Q543" i="3247" s="1"/>
  <c r="Q542" i="3247" s="1"/>
  <c r="Q541" i="3247" s="1"/>
  <c r="Q540" i="3247" s="1"/>
  <c r="Q539" i="3247" s="1"/>
  <c r="Q538" i="3247" s="1"/>
  <c r="Q537" i="3247" s="1"/>
  <c r="Q536" i="3247" s="1"/>
  <c r="Q535" i="3247" s="1"/>
  <c r="Q534" i="3247" s="1"/>
  <c r="Q533" i="3247" s="1"/>
  <c r="Q532" i="3247" s="1"/>
  <c r="Q531" i="3247" s="1"/>
  <c r="Q530" i="3247" s="1"/>
  <c r="Q529" i="3247" s="1"/>
  <c r="Q528" i="3247" s="1"/>
  <c r="Q527" i="3247" s="1"/>
  <c r="Q526" i="3247" s="1"/>
  <c r="Q525" i="3247" s="1"/>
  <c r="Q524" i="3247" s="1"/>
  <c r="Q523" i="3247" s="1"/>
  <c r="Q522" i="3247" s="1"/>
  <c r="Q521" i="3247" s="1"/>
  <c r="Q520" i="3247" s="1"/>
  <c r="Q519" i="3247" s="1"/>
  <c r="Q518" i="3247" s="1"/>
  <c r="Q517" i="3247" s="1"/>
  <c r="Q516" i="3247" s="1"/>
  <c r="Q515" i="3247" s="1"/>
  <c r="Q514" i="3247" s="1"/>
  <c r="Q513" i="3247" s="1"/>
  <c r="Q512" i="3247" s="1"/>
  <c r="Q511" i="3247" s="1"/>
  <c r="Q510" i="3247" s="1"/>
  <c r="Q509" i="3247" s="1"/>
  <c r="Q508" i="3247" s="1"/>
  <c r="Q507" i="3247" s="1"/>
  <c r="Q506" i="3247" s="1"/>
  <c r="Q505" i="3247" s="1"/>
  <c r="Q504" i="3247" s="1"/>
  <c r="Q503" i="3247" s="1"/>
  <c r="Q502" i="3247" s="1"/>
  <c r="Q501" i="3247" s="1"/>
  <c r="Q500" i="3247" s="1"/>
  <c r="Q499" i="3247" s="1"/>
  <c r="Q498" i="3247" s="1"/>
  <c r="Q497" i="3247" s="1"/>
  <c r="Q496" i="3247" s="1"/>
  <c r="Q495" i="3247" s="1"/>
  <c r="Q494" i="3247" s="1"/>
  <c r="Q493" i="3247" s="1"/>
  <c r="Q492" i="3247" s="1"/>
  <c r="Q491" i="3247" s="1"/>
  <c r="Q490" i="3247" s="1"/>
  <c r="Q489" i="3247" s="1"/>
  <c r="Q488" i="3247" s="1"/>
  <c r="Q487" i="3247" s="1"/>
  <c r="Q486" i="3247" s="1"/>
  <c r="Q485" i="3247" s="1"/>
  <c r="Q484" i="3247" s="1"/>
  <c r="Q483" i="3247" s="1"/>
  <c r="Q482" i="3247" s="1"/>
  <c r="Q481" i="3247" s="1"/>
  <c r="Q480" i="3247" s="1"/>
  <c r="Q479" i="3247" s="1"/>
  <c r="Q478" i="3247" s="1"/>
  <c r="Q477" i="3247" s="1"/>
  <c r="Q476" i="3247" s="1"/>
  <c r="Q475" i="3247" s="1"/>
  <c r="Q474" i="3247" s="1"/>
  <c r="Q473" i="3247" s="1"/>
  <c r="Q472" i="3247" s="1"/>
  <c r="Q471" i="3247" s="1"/>
  <c r="Q470" i="3247" s="1"/>
  <c r="Q469" i="3247" s="1"/>
  <c r="Q468" i="3247" s="1"/>
  <c r="Q467" i="3247" s="1"/>
  <c r="Q466" i="3247" s="1"/>
  <c r="Q465" i="3247" s="1"/>
  <c r="Q464" i="3247" s="1"/>
  <c r="Q463" i="3247" s="1"/>
  <c r="Q462" i="3247" s="1"/>
  <c r="Q461" i="3247" s="1"/>
  <c r="Q460" i="3247" s="1"/>
  <c r="Q459" i="3247" s="1"/>
  <c r="Q458" i="3247" s="1"/>
  <c r="Q457" i="3247" s="1"/>
  <c r="Q456" i="3247" s="1"/>
  <c r="Q455" i="3247" s="1"/>
  <c r="Q454" i="3247" s="1"/>
  <c r="Q453" i="3247" s="1"/>
  <c r="Q452" i="3247" s="1"/>
  <c r="Q451" i="3247" s="1"/>
  <c r="Q450" i="3247" s="1"/>
  <c r="Q449" i="3247" s="1"/>
  <c r="Q448" i="3247" s="1"/>
  <c r="Q447" i="3247" s="1"/>
  <c r="Q446" i="3247" s="1"/>
  <c r="Q445" i="3247" s="1"/>
  <c r="Q444" i="3247" s="1"/>
  <c r="Q443" i="3247" s="1"/>
  <c r="Q442" i="3247" s="1"/>
  <c r="Q441" i="3247" s="1"/>
  <c r="Q440" i="3247" s="1"/>
  <c r="Q439" i="3247" s="1"/>
  <c r="Q438" i="3247" s="1"/>
  <c r="Q437" i="3247" s="1"/>
  <c r="Q436" i="3247" s="1"/>
  <c r="Q435" i="3247" s="1"/>
  <c r="Q434" i="3247" s="1"/>
  <c r="Q433" i="3247" s="1"/>
  <c r="Q432" i="3247" s="1"/>
  <c r="Q431" i="3247" s="1"/>
  <c r="Q430" i="3247" s="1"/>
  <c r="Q429" i="3247" s="1"/>
  <c r="Q428" i="3247" s="1"/>
  <c r="Q427" i="3247" s="1"/>
  <c r="Q426" i="3247" s="1"/>
  <c r="Q425" i="3247" s="1"/>
  <c r="Q424" i="3247" s="1"/>
  <c r="Q423" i="3247" s="1"/>
  <c r="Q422" i="3247" s="1"/>
  <c r="Q421" i="3247" s="1"/>
  <c r="Q420" i="3247" s="1"/>
  <c r="Q419" i="3247" s="1"/>
  <c r="Q418" i="3247" s="1"/>
  <c r="Q417" i="3247" s="1"/>
  <c r="Q416" i="3247" s="1"/>
  <c r="Q415" i="3247" s="1"/>
  <c r="Q414" i="3247" s="1"/>
  <c r="Q413" i="3247" s="1"/>
  <c r="Q412" i="3247" s="1"/>
  <c r="Q411" i="3247" s="1"/>
  <c r="Q410" i="3247" s="1"/>
  <c r="Q409" i="3247" s="1"/>
  <c r="Q408" i="3247" s="1"/>
  <c r="Q407" i="3247" s="1"/>
  <c r="Q406" i="3247" s="1"/>
  <c r="Q405" i="3247" s="1"/>
  <c r="Q404" i="3247" s="1"/>
  <c r="Q403" i="3247" s="1"/>
  <c r="Q402" i="3247" s="1"/>
  <c r="Q401" i="3247" s="1"/>
  <c r="Q400" i="3247" s="1"/>
  <c r="Q399" i="3247" s="1"/>
  <c r="Q398" i="3247" s="1"/>
  <c r="Q397" i="3247" s="1"/>
  <c r="Q396" i="3247" s="1"/>
  <c r="Q395" i="3247" s="1"/>
  <c r="Q394" i="3247" s="1"/>
  <c r="Q393" i="3247" s="1"/>
  <c r="Q392" i="3247" s="1"/>
  <c r="Q391" i="3247" s="1"/>
  <c r="Q390" i="3247" s="1"/>
  <c r="Q389" i="3247" s="1"/>
  <c r="Q388" i="3247" s="1"/>
  <c r="Q387" i="3247" s="1"/>
  <c r="Q386" i="3247" s="1"/>
  <c r="Q385" i="3247" s="1"/>
  <c r="Q384" i="3247" s="1"/>
  <c r="Q383" i="3247" s="1"/>
  <c r="Q382" i="3247" s="1"/>
  <c r="Q381" i="3247" s="1"/>
  <c r="Q380" i="3247" s="1"/>
  <c r="Q379" i="3247" s="1"/>
  <c r="Q378" i="3247" s="1"/>
  <c r="Q377" i="3247" s="1"/>
  <c r="Q376" i="3247" s="1"/>
  <c r="Q375" i="3247" s="1"/>
  <c r="Q374" i="3247" s="1"/>
  <c r="Q373" i="3247" s="1"/>
  <c r="Q372" i="3247" s="1"/>
  <c r="Q371" i="3247" s="1"/>
  <c r="Q370" i="3247" s="1"/>
  <c r="Q369" i="3247" s="1"/>
  <c r="Q368" i="3247" s="1"/>
  <c r="Q367" i="3247" s="1"/>
  <c r="Q366" i="3247" s="1"/>
  <c r="Q365" i="3247" s="1"/>
  <c r="Q364" i="3247" s="1"/>
  <c r="Q363" i="3247" s="1"/>
  <c r="Q362" i="3247" s="1"/>
  <c r="Q361" i="3247" s="1"/>
  <c r="Q360" i="3247" s="1"/>
  <c r="Q359" i="3247" s="1"/>
  <c r="Q358" i="3247" s="1"/>
  <c r="Q357" i="3247" s="1"/>
  <c r="Q356" i="3247" s="1"/>
  <c r="Q355" i="3247" s="1"/>
  <c r="Q354" i="3247" s="1"/>
  <c r="Q353" i="3247" s="1"/>
  <c r="Q352" i="3247" s="1"/>
  <c r="Q351" i="3247" s="1"/>
  <c r="Q350" i="3247" s="1"/>
  <c r="Q349" i="3247" s="1"/>
  <c r="Q348" i="3247" s="1"/>
  <c r="Q347" i="3247" s="1"/>
  <c r="Q346" i="3247" s="1"/>
  <c r="Q345" i="3247" s="1"/>
  <c r="Q344" i="3247" s="1"/>
  <c r="Q343" i="3247" s="1"/>
  <c r="Q342" i="3247" s="1"/>
  <c r="Q341" i="3247" s="1"/>
  <c r="Q340" i="3247" s="1"/>
  <c r="Q339" i="3247" s="1"/>
  <c r="Q338" i="3247" s="1"/>
  <c r="Q337" i="3247" s="1"/>
  <c r="Q336" i="3247" s="1"/>
  <c r="Q335" i="3247" s="1"/>
  <c r="Q334" i="3247" s="1"/>
  <c r="Q333" i="3247" s="1"/>
  <c r="Q332" i="3247" s="1"/>
  <c r="Q331" i="3247" s="1"/>
  <c r="Q330" i="3247" s="1"/>
  <c r="Q329" i="3247" s="1"/>
  <c r="Q328" i="3247" s="1"/>
  <c r="Q327" i="3247" s="1"/>
  <c r="Q326" i="3247" s="1"/>
  <c r="Q325" i="3247" s="1"/>
  <c r="Q324" i="3247" s="1"/>
  <c r="Q323" i="3247" s="1"/>
  <c r="Q322" i="3247" s="1"/>
  <c r="Q321" i="3247" s="1"/>
  <c r="Q320" i="3247" s="1"/>
  <c r="Q319" i="3247" s="1"/>
  <c r="Q318" i="3247" s="1"/>
  <c r="Q317" i="3247" s="1"/>
  <c r="Q316" i="3247" s="1"/>
  <c r="Q315" i="3247" s="1"/>
  <c r="Q314" i="3247" s="1"/>
  <c r="Q313" i="3247" s="1"/>
  <c r="Q312" i="3247" s="1"/>
  <c r="Q311" i="3247" s="1"/>
  <c r="Q310" i="3247" s="1"/>
  <c r="Q309" i="3247" s="1"/>
  <c r="Q308" i="3247" s="1"/>
  <c r="Q307" i="3247" s="1"/>
  <c r="Q306" i="3247" s="1"/>
  <c r="Q305" i="3247" s="1"/>
  <c r="Q304" i="3247" s="1"/>
  <c r="Q303" i="3247" s="1"/>
  <c r="Q302" i="3247" s="1"/>
  <c r="Q301" i="3247" s="1"/>
  <c r="Q300" i="3247" s="1"/>
  <c r="Q299" i="3247" s="1"/>
  <c r="Q298" i="3247" s="1"/>
  <c r="Q297" i="3247" s="1"/>
  <c r="Q296" i="3247" s="1"/>
  <c r="Q295" i="3247" s="1"/>
  <c r="Q294" i="3247" s="1"/>
  <c r="Q293" i="3247" s="1"/>
  <c r="Q292" i="3247" s="1"/>
  <c r="Q291" i="3247" s="1"/>
  <c r="Q290" i="3247" s="1"/>
  <c r="Q289" i="3247" s="1"/>
  <c r="Q288" i="3247" s="1"/>
  <c r="Q287" i="3247" s="1"/>
  <c r="Q286" i="3247" s="1"/>
  <c r="Q285" i="3247" s="1"/>
  <c r="Q284" i="3247" s="1"/>
  <c r="Q283" i="3247" s="1"/>
  <c r="Q282" i="3247" s="1"/>
  <c r="Q281" i="3247" s="1"/>
  <c r="Q280" i="3247" s="1"/>
  <c r="Q279" i="3247" s="1"/>
  <c r="Q278" i="3247" s="1"/>
  <c r="Q277" i="3247" s="1"/>
  <c r="Q276" i="3247" s="1"/>
  <c r="Q275" i="3247" s="1"/>
  <c r="Q274" i="3247" s="1"/>
  <c r="Q273" i="3247" s="1"/>
  <c r="Q272" i="3247" s="1"/>
  <c r="Q271" i="3247" s="1"/>
  <c r="Q270" i="3247" s="1"/>
  <c r="Q269" i="3247" s="1"/>
  <c r="Q268" i="3247" s="1"/>
  <c r="Q267" i="3247" s="1"/>
  <c r="Q266" i="3247" s="1"/>
  <c r="Q265" i="3247" s="1"/>
  <c r="Q264" i="3247" s="1"/>
  <c r="Q263" i="3247" s="1"/>
  <c r="Q262" i="3247" s="1"/>
  <c r="Q261" i="3247" s="1"/>
  <c r="Q260" i="3247" s="1"/>
  <c r="Q259" i="3247" s="1"/>
  <c r="Q258" i="3247" s="1"/>
  <c r="Q257" i="3247" s="1"/>
  <c r="Q256" i="3247" s="1"/>
  <c r="Q255" i="3247" s="1"/>
  <c r="Q254" i="3247" s="1"/>
  <c r="Q253" i="3247" s="1"/>
  <c r="Q252" i="3247" s="1"/>
  <c r="Q251" i="3247" s="1"/>
  <c r="Q250" i="3247" s="1"/>
  <c r="Q249" i="3247" s="1"/>
  <c r="Q248" i="3247" s="1"/>
  <c r="Q247" i="3247" s="1"/>
  <c r="Q246" i="3247" s="1"/>
  <c r="Q245" i="3247" s="1"/>
  <c r="Q244" i="3247" s="1"/>
  <c r="Q243" i="3247" s="1"/>
  <c r="Q242" i="3247" s="1"/>
  <c r="Q241" i="3247" s="1"/>
  <c r="Q240" i="3247" s="1"/>
  <c r="Q239" i="3247" s="1"/>
  <c r="Q238" i="3247" s="1"/>
  <c r="Q237" i="3247" s="1"/>
  <c r="Q236" i="3247" s="1"/>
  <c r="Q235" i="3247" s="1"/>
  <c r="Q234" i="3247" s="1"/>
  <c r="Q233" i="3247" s="1"/>
  <c r="Q232" i="3247" s="1"/>
  <c r="Q231" i="3247" s="1"/>
  <c r="Q230" i="3247" s="1"/>
  <c r="Q229" i="3247" s="1"/>
  <c r="Q228" i="3247" s="1"/>
  <c r="Q227" i="3247" s="1"/>
  <c r="Q226" i="3247" s="1"/>
  <c r="Q225" i="3247" s="1"/>
  <c r="Q224" i="3247" s="1"/>
  <c r="Q223" i="3247" s="1"/>
  <c r="Q222" i="3247" s="1"/>
  <c r="Q221" i="3247" s="1"/>
  <c r="Q220" i="3247" s="1"/>
  <c r="Q219" i="3247" s="1"/>
  <c r="Q218" i="3247" s="1"/>
  <c r="Q217" i="3247" s="1"/>
  <c r="Q216" i="3247" s="1"/>
  <c r="Q215" i="3247" s="1"/>
  <c r="Q214" i="3247" s="1"/>
  <c r="Q213" i="3247" s="1"/>
  <c r="Q212" i="3247" s="1"/>
  <c r="Q211" i="3247" s="1"/>
  <c r="Q210" i="3247" s="1"/>
  <c r="Q209" i="3247" s="1"/>
  <c r="Q208" i="3247" s="1"/>
  <c r="Q207" i="3247" s="1"/>
  <c r="Q206" i="3247" s="1"/>
  <c r="Q205" i="3247" s="1"/>
  <c r="Q204" i="3247" s="1"/>
  <c r="Q203" i="3247" s="1"/>
  <c r="Q202" i="3247" s="1"/>
  <c r="Q201" i="3247" s="1"/>
  <c r="Q200" i="3247" s="1"/>
  <c r="Q199" i="3247" s="1"/>
  <c r="Q198" i="3247" s="1"/>
  <c r="Q197" i="3247" s="1"/>
  <c r="Q196" i="3247" s="1"/>
  <c r="Q195" i="3247" s="1"/>
  <c r="Q194" i="3247" s="1"/>
  <c r="Q193" i="3247" s="1"/>
  <c r="Q192" i="3247" s="1"/>
  <c r="Q191" i="3247" s="1"/>
  <c r="Q190" i="3247" s="1"/>
  <c r="Q189" i="3247" s="1"/>
  <c r="Q188" i="3247" s="1"/>
  <c r="Q187" i="3247" s="1"/>
  <c r="Q186" i="3247" s="1"/>
  <c r="Q185" i="3247" s="1"/>
  <c r="Q184" i="3247" s="1"/>
  <c r="Q183" i="3247" s="1"/>
  <c r="Q182" i="3247" s="1"/>
  <c r="Q181" i="3247" s="1"/>
  <c r="Q180" i="3247" s="1"/>
  <c r="Q179" i="3247" s="1"/>
  <c r="Q178" i="3247" s="1"/>
  <c r="Q177" i="3247" s="1"/>
  <c r="Q176" i="3247" s="1"/>
  <c r="Q175" i="3247" s="1"/>
  <c r="Q174" i="3247" s="1"/>
  <c r="Q173" i="3247" s="1"/>
  <c r="Q172" i="3247" s="1"/>
  <c r="Q171" i="3247" s="1"/>
  <c r="Q170" i="3247" s="1"/>
  <c r="Q169" i="3247" s="1"/>
  <c r="Q168" i="3247" s="1"/>
  <c r="Q167" i="3247" s="1"/>
  <c r="Q166" i="3247" s="1"/>
  <c r="Q165" i="3247" s="1"/>
  <c r="Q164" i="3247" s="1"/>
  <c r="Q163" i="3247" s="1"/>
  <c r="Q162" i="3247" s="1"/>
  <c r="Q161" i="3247" s="1"/>
  <c r="Q160" i="3247" s="1"/>
  <c r="Q159" i="3247" s="1"/>
  <c r="Q158" i="3247" s="1"/>
  <c r="Q157" i="3247" s="1"/>
  <c r="Q156" i="3247" s="1"/>
  <c r="Q155" i="3247" s="1"/>
  <c r="Q154" i="3247" s="1"/>
  <c r="Q153" i="3247" s="1"/>
  <c r="Q152" i="3247" s="1"/>
  <c r="Q151" i="3247" s="1"/>
  <c r="Q150" i="3247" s="1"/>
  <c r="Q149" i="3247" s="1"/>
  <c r="Q148" i="3247" s="1"/>
  <c r="Q147" i="3247" s="1"/>
  <c r="Q146" i="3247" s="1"/>
  <c r="Q145" i="3247" s="1"/>
  <c r="Q144" i="3247" s="1"/>
  <c r="Q143" i="3247" s="1"/>
  <c r="Q142" i="3247" s="1"/>
  <c r="Q141" i="3247" s="1"/>
  <c r="Q140" i="3247" s="1"/>
  <c r="Q139" i="3247" s="1"/>
  <c r="Q138" i="3247" s="1"/>
  <c r="Q137" i="3247" s="1"/>
  <c r="Q136" i="3247" s="1"/>
  <c r="Q135" i="3247" s="1"/>
  <c r="Q134" i="3247" s="1"/>
  <c r="Q133" i="3247" s="1"/>
  <c r="Q132" i="3247" s="1"/>
  <c r="Q131" i="3247" s="1"/>
  <c r="Q130" i="3247" s="1"/>
  <c r="Q129" i="3247" s="1"/>
  <c r="Q128" i="3247" s="1"/>
  <c r="Q127" i="3247" s="1"/>
  <c r="Q126" i="3247" s="1"/>
  <c r="Q125" i="3247" s="1"/>
  <c r="Q124" i="3247" s="1"/>
  <c r="Q123" i="3247" s="1"/>
  <c r="Q122" i="3247" s="1"/>
  <c r="Q121" i="3247" s="1"/>
  <c r="Q120" i="3247" s="1"/>
  <c r="Q119" i="3247" s="1"/>
  <c r="Q118" i="3247" s="1"/>
  <c r="Q117" i="3247" s="1"/>
  <c r="Q116" i="3247" s="1"/>
  <c r="Q115" i="3247" s="1"/>
  <c r="Q114" i="3247" s="1"/>
  <c r="Q113" i="3247" s="1"/>
  <c r="Q112" i="3247" s="1"/>
  <c r="Q111" i="3247" s="1"/>
  <c r="Q110" i="3247" s="1"/>
  <c r="Q109" i="3247" s="1"/>
  <c r="Q108" i="3247" s="1"/>
  <c r="Q107" i="3247" s="1"/>
  <c r="Q106" i="3247" s="1"/>
  <c r="Q105" i="3247" s="1"/>
  <c r="Q104" i="3247" s="1"/>
  <c r="Q103" i="3247" s="1"/>
  <c r="Q102" i="3247" s="1"/>
  <c r="Q101" i="3247" s="1"/>
  <c r="Q100" i="3247" s="1"/>
  <c r="Q99" i="3247" s="1"/>
  <c r="Q98" i="3247" s="1"/>
  <c r="Q97" i="3247" s="1"/>
  <c r="Q96" i="3247" s="1"/>
  <c r="Q95" i="3247" s="1"/>
  <c r="Q94" i="3247" s="1"/>
  <c r="Q93" i="3247" s="1"/>
  <c r="R1187" i="3247"/>
  <c r="R1186" i="3247" s="1"/>
  <c r="R1185" i="3247"/>
  <c r="R1184" i="3247"/>
  <c r="R1183" i="3247"/>
  <c r="R1182" i="3247"/>
  <c r="R1181" i="3247"/>
  <c r="R1180" i="3247"/>
  <c r="R1179" i="3247" s="1"/>
  <c r="R1178" i="3247" s="1"/>
  <c r="R1177" i="3247" s="1"/>
  <c r="R1176" i="3247" s="1"/>
  <c r="R1175" i="3247" s="1"/>
  <c r="R1174" i="3247" s="1"/>
  <c r="R1173" i="3247" s="1"/>
  <c r="R1172" i="3247" s="1"/>
  <c r="R1171" i="3247" s="1"/>
  <c r="R1170" i="3247" s="1"/>
  <c r="R1169" i="3247" s="1"/>
  <c r="R1168" i="3247" s="1"/>
  <c r="R1167" i="3247" s="1"/>
  <c r="R1166" i="3247" s="1"/>
  <c r="R1165" i="3247" s="1"/>
  <c r="R1164" i="3247" s="1"/>
  <c r="R1163" i="3247" s="1"/>
  <c r="R1162" i="3247" s="1"/>
  <c r="R1161" i="3247" s="1"/>
  <c r="R1160" i="3247" s="1"/>
  <c r="R1159" i="3247" s="1"/>
  <c r="R1158" i="3247" s="1"/>
  <c r="R1157" i="3247" s="1"/>
  <c r="R1156" i="3247" s="1"/>
  <c r="R1155" i="3247" s="1"/>
  <c r="R1154" i="3247" s="1"/>
  <c r="R1153" i="3247" s="1"/>
  <c r="R1152" i="3247" s="1"/>
  <c r="R1151" i="3247" s="1"/>
  <c r="R1150" i="3247" s="1"/>
  <c r="R1149" i="3247" s="1"/>
  <c r="R1148" i="3247" s="1"/>
  <c r="R1147" i="3247" s="1"/>
  <c r="R1146" i="3247" s="1"/>
  <c r="R1145" i="3247" s="1"/>
  <c r="R1144" i="3247" s="1"/>
  <c r="R1143" i="3247" s="1"/>
  <c r="R1142" i="3247" s="1"/>
  <c r="R1141" i="3247" s="1"/>
  <c r="R1140" i="3247" s="1"/>
  <c r="R1139" i="3247" s="1"/>
  <c r="R1138" i="3247" s="1"/>
  <c r="R1137" i="3247" s="1"/>
  <c r="R1136" i="3247" s="1"/>
  <c r="R1135" i="3247" s="1"/>
  <c r="R1134" i="3247" s="1"/>
  <c r="R1133" i="3247" s="1"/>
  <c r="R1132" i="3247" s="1"/>
  <c r="R1131" i="3247" s="1"/>
  <c r="R1130" i="3247" s="1"/>
  <c r="R1129" i="3247" s="1"/>
  <c r="R1128" i="3247" s="1"/>
  <c r="R1127" i="3247" s="1"/>
  <c r="R1126" i="3247" s="1"/>
  <c r="R1125" i="3247" s="1"/>
  <c r="R1124" i="3247" s="1"/>
  <c r="R1123" i="3247" s="1"/>
  <c r="R1122" i="3247" s="1"/>
  <c r="R1121" i="3247" s="1"/>
  <c r="R1120" i="3247" s="1"/>
  <c r="R1119" i="3247" s="1"/>
  <c r="R1118" i="3247" s="1"/>
  <c r="R1117" i="3247" s="1"/>
  <c r="R1116" i="3247" s="1"/>
  <c r="R1115" i="3247" s="1"/>
  <c r="R1114" i="3247" s="1"/>
  <c r="R1113" i="3247" s="1"/>
  <c r="R1112" i="3247" s="1"/>
  <c r="R1111" i="3247" s="1"/>
  <c r="R1110" i="3247" s="1"/>
  <c r="R1109" i="3247" s="1"/>
  <c r="R1108" i="3247" s="1"/>
  <c r="R1107" i="3247" s="1"/>
  <c r="R1106" i="3247" s="1"/>
  <c r="R1105" i="3247" s="1"/>
  <c r="R1104" i="3247" s="1"/>
  <c r="R1103" i="3247" s="1"/>
  <c r="R1102" i="3247" s="1"/>
  <c r="R1101" i="3247" s="1"/>
  <c r="R1100" i="3247" s="1"/>
  <c r="R1099" i="3247" s="1"/>
  <c r="R1098" i="3247" s="1"/>
  <c r="R1097" i="3247" s="1"/>
  <c r="R1096" i="3247" s="1"/>
  <c r="R1095" i="3247" s="1"/>
  <c r="R1094" i="3247" s="1"/>
  <c r="R1093" i="3247" s="1"/>
  <c r="R1092" i="3247" s="1"/>
  <c r="R1091" i="3247" s="1"/>
  <c r="R1090" i="3247" s="1"/>
  <c r="R1089" i="3247" s="1"/>
  <c r="R1088" i="3247" s="1"/>
  <c r="R1087" i="3247" s="1"/>
  <c r="R1086" i="3247" s="1"/>
  <c r="R1085" i="3247" s="1"/>
  <c r="R1084" i="3247" s="1"/>
  <c r="R1083" i="3247" s="1"/>
  <c r="R1082" i="3247" s="1"/>
  <c r="R1081" i="3247" s="1"/>
  <c r="R1080" i="3247" s="1"/>
  <c r="R1079" i="3247" s="1"/>
  <c r="R1078" i="3247" s="1"/>
  <c r="R1077" i="3247" s="1"/>
  <c r="R1076" i="3247" s="1"/>
  <c r="R1075" i="3247" s="1"/>
  <c r="R1074" i="3247" s="1"/>
  <c r="R1073" i="3247" s="1"/>
  <c r="R1072" i="3247" s="1"/>
  <c r="R1071" i="3247" s="1"/>
  <c r="R1070" i="3247" s="1"/>
  <c r="R1069" i="3247" s="1"/>
  <c r="R1068" i="3247" s="1"/>
  <c r="R1067" i="3247" s="1"/>
  <c r="R1066" i="3247" s="1"/>
  <c r="R1065" i="3247" s="1"/>
  <c r="R1064" i="3247" s="1"/>
  <c r="R1063" i="3247" s="1"/>
  <c r="R1062" i="3247" s="1"/>
  <c r="R1061" i="3247" s="1"/>
  <c r="R1060" i="3247" s="1"/>
  <c r="R1059" i="3247" s="1"/>
  <c r="R1058" i="3247" s="1"/>
  <c r="R1057" i="3247" s="1"/>
  <c r="R1056" i="3247" s="1"/>
  <c r="R1055" i="3247" s="1"/>
  <c r="R1054" i="3247" s="1"/>
  <c r="R1053" i="3247" s="1"/>
  <c r="R1052" i="3247" s="1"/>
  <c r="R1051" i="3247" s="1"/>
  <c r="R1050" i="3247" s="1"/>
  <c r="R1049" i="3247" s="1"/>
  <c r="R1048" i="3247" s="1"/>
  <c r="R1047" i="3247" s="1"/>
  <c r="R1046" i="3247" s="1"/>
  <c r="R1045" i="3247" s="1"/>
  <c r="R1044" i="3247" s="1"/>
  <c r="R1043" i="3247" s="1"/>
  <c r="R1042" i="3247" s="1"/>
  <c r="R1041" i="3247" s="1"/>
  <c r="R1040" i="3247" s="1"/>
  <c r="R1039" i="3247" s="1"/>
  <c r="R1038" i="3247" s="1"/>
  <c r="R1037" i="3247" s="1"/>
  <c r="R1036" i="3247" s="1"/>
  <c r="R1035" i="3247" s="1"/>
  <c r="R1034" i="3247" s="1"/>
  <c r="R1033" i="3247" s="1"/>
  <c r="R1032" i="3247" s="1"/>
  <c r="R1031" i="3247" s="1"/>
  <c r="R1030" i="3247" s="1"/>
  <c r="R1029" i="3247" s="1"/>
  <c r="R1028" i="3247" s="1"/>
  <c r="R1027" i="3247" s="1"/>
  <c r="R1026" i="3247" s="1"/>
  <c r="R1025" i="3247" s="1"/>
  <c r="R1024" i="3247" s="1"/>
  <c r="R1023" i="3247" s="1"/>
  <c r="R1022" i="3247" s="1"/>
  <c r="R1021" i="3247" s="1"/>
  <c r="R1020" i="3247" s="1"/>
  <c r="R1019" i="3247" s="1"/>
  <c r="R1018" i="3247" s="1"/>
  <c r="R1017" i="3247" s="1"/>
  <c r="R1016" i="3247" s="1"/>
  <c r="R1015" i="3247" s="1"/>
  <c r="R1014" i="3247" s="1"/>
  <c r="R1013" i="3247" s="1"/>
  <c r="R1012" i="3247" s="1"/>
  <c r="R1011" i="3247" s="1"/>
  <c r="R1010" i="3247" s="1"/>
  <c r="R1009" i="3247" s="1"/>
  <c r="R1008" i="3247" s="1"/>
  <c r="R1007" i="3247" s="1"/>
  <c r="R1006" i="3247" s="1"/>
  <c r="R1005" i="3247" s="1"/>
  <c r="R1004" i="3247" s="1"/>
  <c r="R1003" i="3247" s="1"/>
  <c r="R1002" i="3247" s="1"/>
  <c r="R1001" i="3247" s="1"/>
  <c r="R1000" i="3247" s="1"/>
  <c r="R999" i="3247" s="1"/>
  <c r="R998" i="3247" s="1"/>
  <c r="R997" i="3247" s="1"/>
  <c r="R996" i="3247" s="1"/>
  <c r="R995" i="3247" s="1"/>
  <c r="R994" i="3247" s="1"/>
  <c r="R993" i="3247" s="1"/>
  <c r="R992" i="3247" s="1"/>
  <c r="R991" i="3247" s="1"/>
  <c r="R990" i="3247" s="1"/>
  <c r="R989" i="3247" s="1"/>
  <c r="R988" i="3247" s="1"/>
  <c r="R987" i="3247" s="1"/>
  <c r="R986" i="3247" s="1"/>
  <c r="R985" i="3247" s="1"/>
  <c r="R984" i="3247" s="1"/>
  <c r="R983" i="3247" s="1"/>
  <c r="R982" i="3247" s="1"/>
  <c r="R981" i="3247" s="1"/>
  <c r="R980" i="3247" s="1"/>
  <c r="R979" i="3247" s="1"/>
  <c r="R978" i="3247" s="1"/>
  <c r="R977" i="3247" s="1"/>
  <c r="R976" i="3247" s="1"/>
  <c r="R975" i="3247" s="1"/>
  <c r="R974" i="3247" s="1"/>
  <c r="R973" i="3247" s="1"/>
  <c r="R972" i="3247" s="1"/>
  <c r="R971" i="3247" s="1"/>
  <c r="R970" i="3247" s="1"/>
  <c r="R969" i="3247" s="1"/>
  <c r="R968" i="3247" s="1"/>
  <c r="R967" i="3247" s="1"/>
  <c r="R966" i="3247" s="1"/>
  <c r="R965" i="3247" s="1"/>
  <c r="R964" i="3247" s="1"/>
  <c r="R963" i="3247" s="1"/>
  <c r="R962" i="3247" s="1"/>
  <c r="R961" i="3247" s="1"/>
  <c r="R960" i="3247" s="1"/>
  <c r="R959" i="3247" s="1"/>
  <c r="R958" i="3247" s="1"/>
  <c r="R957" i="3247" s="1"/>
  <c r="R956" i="3247" s="1"/>
  <c r="R955" i="3247" s="1"/>
  <c r="R954" i="3247" s="1"/>
  <c r="R953" i="3247" s="1"/>
  <c r="R952" i="3247" s="1"/>
  <c r="R951" i="3247" s="1"/>
  <c r="R950" i="3247" s="1"/>
  <c r="R949" i="3247" s="1"/>
  <c r="R948" i="3247" s="1"/>
  <c r="R947" i="3247" s="1"/>
  <c r="R946" i="3247" s="1"/>
  <c r="R945" i="3247" s="1"/>
  <c r="R944" i="3247" s="1"/>
  <c r="R943" i="3247" s="1"/>
  <c r="R942" i="3247" s="1"/>
  <c r="R941" i="3247" s="1"/>
  <c r="R940" i="3247" s="1"/>
  <c r="R939" i="3247" s="1"/>
  <c r="R938" i="3247" s="1"/>
  <c r="R937" i="3247" s="1"/>
  <c r="R936" i="3247" s="1"/>
  <c r="R935" i="3247" s="1"/>
  <c r="R934" i="3247" s="1"/>
  <c r="R933" i="3247" s="1"/>
  <c r="R932" i="3247" s="1"/>
  <c r="R931" i="3247" s="1"/>
  <c r="R930" i="3247" s="1"/>
  <c r="R929" i="3247" s="1"/>
  <c r="R928" i="3247" s="1"/>
  <c r="R927" i="3247" s="1"/>
  <c r="R926" i="3247" s="1"/>
  <c r="R925" i="3247" s="1"/>
  <c r="R924" i="3247" s="1"/>
  <c r="R923" i="3247" s="1"/>
  <c r="R922" i="3247" s="1"/>
  <c r="R921" i="3247" s="1"/>
  <c r="R920" i="3247" s="1"/>
  <c r="R919" i="3247" s="1"/>
  <c r="R918" i="3247" s="1"/>
  <c r="R917" i="3247" s="1"/>
  <c r="R916" i="3247" s="1"/>
  <c r="R915" i="3247" s="1"/>
  <c r="R914" i="3247" s="1"/>
  <c r="R913" i="3247" s="1"/>
  <c r="R912" i="3247" s="1"/>
  <c r="R911" i="3247" s="1"/>
  <c r="R910" i="3247" s="1"/>
  <c r="R909" i="3247" s="1"/>
  <c r="R908" i="3247" s="1"/>
  <c r="R907" i="3247" s="1"/>
  <c r="R906" i="3247" s="1"/>
  <c r="R905" i="3247" s="1"/>
  <c r="R904" i="3247" s="1"/>
  <c r="R903" i="3247" s="1"/>
  <c r="R902" i="3247" s="1"/>
  <c r="R901" i="3247" s="1"/>
  <c r="R900" i="3247" s="1"/>
  <c r="R899" i="3247" s="1"/>
  <c r="R898" i="3247" s="1"/>
  <c r="R897" i="3247" s="1"/>
  <c r="R896" i="3247" s="1"/>
  <c r="R895" i="3247" s="1"/>
  <c r="R894" i="3247" s="1"/>
  <c r="R893" i="3247" s="1"/>
  <c r="R892" i="3247" s="1"/>
  <c r="R891" i="3247" s="1"/>
  <c r="R890" i="3247" s="1"/>
  <c r="R889" i="3247" s="1"/>
  <c r="R888" i="3247" s="1"/>
  <c r="R887" i="3247" s="1"/>
  <c r="R886" i="3247" s="1"/>
  <c r="R885" i="3247" s="1"/>
  <c r="R884" i="3247" s="1"/>
  <c r="R883" i="3247" s="1"/>
  <c r="R882" i="3247" s="1"/>
  <c r="R881" i="3247" s="1"/>
  <c r="R880" i="3247" s="1"/>
  <c r="R879" i="3247" s="1"/>
  <c r="R878" i="3247" s="1"/>
  <c r="R877" i="3247" s="1"/>
  <c r="R876" i="3247" s="1"/>
  <c r="R875" i="3247" s="1"/>
  <c r="R874" i="3247" s="1"/>
  <c r="R873" i="3247" s="1"/>
  <c r="R872" i="3247" s="1"/>
  <c r="R871" i="3247" s="1"/>
  <c r="R870" i="3247" s="1"/>
  <c r="R869" i="3247" s="1"/>
  <c r="R868" i="3247" s="1"/>
  <c r="R867" i="3247" s="1"/>
  <c r="R866" i="3247" s="1"/>
  <c r="R865" i="3247" s="1"/>
  <c r="R864" i="3247" s="1"/>
  <c r="R863" i="3247" s="1"/>
  <c r="R862" i="3247" s="1"/>
  <c r="R861" i="3247" s="1"/>
  <c r="R860" i="3247" s="1"/>
  <c r="R859" i="3247" s="1"/>
  <c r="R858" i="3247" s="1"/>
  <c r="R857" i="3247" s="1"/>
  <c r="R856" i="3247" s="1"/>
  <c r="R855" i="3247" s="1"/>
  <c r="R854" i="3247" s="1"/>
  <c r="R853" i="3247" s="1"/>
  <c r="R852" i="3247" s="1"/>
  <c r="R851" i="3247" s="1"/>
  <c r="R850" i="3247" s="1"/>
  <c r="R849" i="3247" s="1"/>
  <c r="R848" i="3247" s="1"/>
  <c r="R847" i="3247" s="1"/>
  <c r="R846" i="3247" s="1"/>
  <c r="R845" i="3247" s="1"/>
  <c r="R844" i="3247" s="1"/>
  <c r="R843" i="3247" s="1"/>
  <c r="R842" i="3247" s="1"/>
  <c r="R841" i="3247" s="1"/>
  <c r="R840" i="3247" s="1"/>
  <c r="R839" i="3247" s="1"/>
  <c r="R838" i="3247" s="1"/>
  <c r="R837" i="3247" s="1"/>
  <c r="R836" i="3247" s="1"/>
  <c r="R835" i="3247" s="1"/>
  <c r="R834" i="3247" s="1"/>
  <c r="R833" i="3247" s="1"/>
  <c r="R832" i="3247" s="1"/>
  <c r="R831" i="3247" s="1"/>
  <c r="R830" i="3247" s="1"/>
  <c r="R829" i="3247" s="1"/>
  <c r="R828" i="3247" s="1"/>
  <c r="R827" i="3247" s="1"/>
  <c r="R826" i="3247" s="1"/>
  <c r="R825" i="3247" s="1"/>
  <c r="R824" i="3247" s="1"/>
  <c r="R823" i="3247" s="1"/>
  <c r="R822" i="3247" s="1"/>
  <c r="R821" i="3247" s="1"/>
  <c r="R820" i="3247" s="1"/>
  <c r="R819" i="3247" s="1"/>
  <c r="R818" i="3247" s="1"/>
  <c r="R817" i="3247" s="1"/>
  <c r="R816" i="3247" s="1"/>
  <c r="R815" i="3247" s="1"/>
  <c r="R814" i="3247" s="1"/>
  <c r="R813" i="3247" s="1"/>
  <c r="R812" i="3247" s="1"/>
  <c r="R811" i="3247" s="1"/>
  <c r="R810" i="3247" s="1"/>
  <c r="R809" i="3247" s="1"/>
  <c r="R808" i="3247" s="1"/>
  <c r="R807" i="3247" s="1"/>
  <c r="R806" i="3247" s="1"/>
  <c r="R805" i="3247" s="1"/>
  <c r="R804" i="3247" s="1"/>
  <c r="R803" i="3247" s="1"/>
  <c r="R802" i="3247" s="1"/>
  <c r="R801" i="3247" s="1"/>
  <c r="R800" i="3247" s="1"/>
  <c r="R799" i="3247" s="1"/>
  <c r="R798" i="3247" s="1"/>
  <c r="R797" i="3247" s="1"/>
  <c r="R796" i="3247" s="1"/>
  <c r="R795" i="3247" s="1"/>
  <c r="R794" i="3247" s="1"/>
  <c r="R793" i="3247" s="1"/>
  <c r="R792" i="3247" s="1"/>
  <c r="R791" i="3247" s="1"/>
  <c r="R790" i="3247" s="1"/>
  <c r="R789" i="3247" s="1"/>
  <c r="R788" i="3247" s="1"/>
  <c r="R787" i="3247" s="1"/>
  <c r="R786" i="3247" s="1"/>
  <c r="R785" i="3247" s="1"/>
  <c r="R784" i="3247" s="1"/>
  <c r="R783" i="3247" s="1"/>
  <c r="R782" i="3247" s="1"/>
  <c r="R781" i="3247" s="1"/>
  <c r="R780" i="3247" s="1"/>
  <c r="R779" i="3247" s="1"/>
  <c r="R778" i="3247" s="1"/>
  <c r="R777" i="3247" s="1"/>
  <c r="R776" i="3247" s="1"/>
  <c r="R775" i="3247" s="1"/>
  <c r="R774" i="3247" s="1"/>
  <c r="R773" i="3247" s="1"/>
  <c r="R772" i="3247" s="1"/>
  <c r="R771" i="3247" s="1"/>
  <c r="R770" i="3247" s="1"/>
  <c r="R769" i="3247" s="1"/>
  <c r="R768" i="3247" s="1"/>
  <c r="R767" i="3247" s="1"/>
  <c r="R766" i="3247" s="1"/>
  <c r="R765" i="3247" s="1"/>
  <c r="R764" i="3247" s="1"/>
  <c r="R763" i="3247" s="1"/>
  <c r="R762" i="3247" s="1"/>
  <c r="R761" i="3247" s="1"/>
  <c r="R760" i="3247" s="1"/>
  <c r="R759" i="3247" s="1"/>
  <c r="R758" i="3247" s="1"/>
  <c r="R757" i="3247" s="1"/>
  <c r="R756" i="3247" s="1"/>
  <c r="R755" i="3247" s="1"/>
  <c r="R754" i="3247" s="1"/>
  <c r="R753" i="3247" s="1"/>
  <c r="R752" i="3247" s="1"/>
  <c r="R751" i="3247" s="1"/>
  <c r="R750" i="3247" s="1"/>
  <c r="R749" i="3247" s="1"/>
  <c r="R748" i="3247" s="1"/>
  <c r="R747" i="3247" s="1"/>
  <c r="R746" i="3247" s="1"/>
  <c r="R745" i="3247" s="1"/>
  <c r="R744" i="3247" s="1"/>
  <c r="R743" i="3247" s="1"/>
  <c r="R742" i="3247" s="1"/>
  <c r="R741" i="3247" s="1"/>
  <c r="R740" i="3247" s="1"/>
  <c r="R739" i="3247" s="1"/>
  <c r="R738" i="3247" s="1"/>
  <c r="R737" i="3247" s="1"/>
  <c r="R736" i="3247" s="1"/>
  <c r="R735" i="3247" s="1"/>
  <c r="R734" i="3247" s="1"/>
  <c r="R733" i="3247" s="1"/>
  <c r="R732" i="3247" s="1"/>
  <c r="R731" i="3247" s="1"/>
  <c r="R730" i="3247" s="1"/>
  <c r="R729" i="3247" s="1"/>
  <c r="R728" i="3247" s="1"/>
  <c r="R727" i="3247" s="1"/>
  <c r="R726" i="3247" s="1"/>
  <c r="R725" i="3247" s="1"/>
  <c r="R724" i="3247" s="1"/>
  <c r="R723" i="3247" s="1"/>
  <c r="R722" i="3247" s="1"/>
  <c r="R721" i="3247" s="1"/>
  <c r="R720" i="3247" s="1"/>
  <c r="R719" i="3247" s="1"/>
  <c r="R718" i="3247" s="1"/>
  <c r="R717" i="3247" s="1"/>
  <c r="R716" i="3247" s="1"/>
  <c r="R715" i="3247" s="1"/>
  <c r="R714" i="3247" s="1"/>
  <c r="R713" i="3247" s="1"/>
  <c r="R712" i="3247" s="1"/>
  <c r="R711" i="3247" s="1"/>
  <c r="R710" i="3247" s="1"/>
  <c r="R709" i="3247" s="1"/>
  <c r="R708" i="3247" s="1"/>
  <c r="R707" i="3247" s="1"/>
  <c r="R706" i="3247" s="1"/>
  <c r="R705" i="3247" s="1"/>
  <c r="R704" i="3247" s="1"/>
  <c r="R703" i="3247" s="1"/>
  <c r="R702" i="3247" s="1"/>
  <c r="R701" i="3247" s="1"/>
  <c r="R700" i="3247" s="1"/>
  <c r="R699" i="3247" s="1"/>
  <c r="R698" i="3247" s="1"/>
  <c r="R697" i="3247" s="1"/>
  <c r="R696" i="3247" s="1"/>
  <c r="R695" i="3247" s="1"/>
  <c r="R694" i="3247" s="1"/>
  <c r="R693" i="3247" s="1"/>
  <c r="R692" i="3247" s="1"/>
  <c r="R691" i="3247" s="1"/>
  <c r="R690" i="3247" s="1"/>
  <c r="R689" i="3247" s="1"/>
  <c r="R688" i="3247" s="1"/>
  <c r="R687" i="3247" s="1"/>
  <c r="R686" i="3247" s="1"/>
  <c r="R685" i="3247" s="1"/>
  <c r="R684" i="3247" s="1"/>
  <c r="R683" i="3247" s="1"/>
  <c r="R682" i="3247" s="1"/>
  <c r="R681" i="3247" s="1"/>
  <c r="R680" i="3247" s="1"/>
  <c r="R679" i="3247" s="1"/>
  <c r="R678" i="3247" s="1"/>
  <c r="R677" i="3247" s="1"/>
  <c r="R676" i="3247" s="1"/>
  <c r="R675" i="3247" s="1"/>
  <c r="R674" i="3247" s="1"/>
  <c r="R673" i="3247" s="1"/>
  <c r="R672" i="3247" s="1"/>
  <c r="R671" i="3247" s="1"/>
  <c r="R670" i="3247" s="1"/>
  <c r="R669" i="3247" s="1"/>
  <c r="R668" i="3247" s="1"/>
  <c r="R667" i="3247" s="1"/>
  <c r="R666" i="3247" s="1"/>
  <c r="R665" i="3247" s="1"/>
  <c r="R664" i="3247" s="1"/>
  <c r="R663" i="3247" s="1"/>
  <c r="R662" i="3247" s="1"/>
  <c r="R661" i="3247" s="1"/>
  <c r="R660" i="3247" s="1"/>
  <c r="R659" i="3247" s="1"/>
  <c r="R658" i="3247" s="1"/>
  <c r="R657" i="3247" s="1"/>
  <c r="R656" i="3247" s="1"/>
  <c r="R655" i="3247" s="1"/>
  <c r="R654" i="3247" s="1"/>
  <c r="R653" i="3247" s="1"/>
  <c r="R652" i="3247" s="1"/>
  <c r="R651" i="3247" s="1"/>
  <c r="R650" i="3247" s="1"/>
  <c r="R649" i="3247" s="1"/>
  <c r="R648" i="3247" s="1"/>
  <c r="R647" i="3247" s="1"/>
  <c r="R646" i="3247" s="1"/>
  <c r="R645" i="3247" s="1"/>
  <c r="R644" i="3247" s="1"/>
  <c r="R643" i="3247" s="1"/>
  <c r="R642" i="3247" s="1"/>
  <c r="R641" i="3247" s="1"/>
  <c r="R640" i="3247" s="1"/>
  <c r="R639" i="3247" s="1"/>
  <c r="R638" i="3247" s="1"/>
  <c r="R637" i="3247" s="1"/>
  <c r="R636" i="3247" s="1"/>
  <c r="R635" i="3247" s="1"/>
  <c r="R634" i="3247" s="1"/>
  <c r="R633" i="3247" s="1"/>
  <c r="R632" i="3247" s="1"/>
  <c r="R631" i="3247" s="1"/>
  <c r="R630" i="3247" s="1"/>
  <c r="R629" i="3247" s="1"/>
  <c r="R628" i="3247" s="1"/>
  <c r="R627" i="3247" s="1"/>
  <c r="R626" i="3247" s="1"/>
  <c r="R625" i="3247" s="1"/>
  <c r="R624" i="3247" s="1"/>
  <c r="R623" i="3247" s="1"/>
  <c r="R622" i="3247" s="1"/>
  <c r="R621" i="3247" s="1"/>
  <c r="R620" i="3247" s="1"/>
  <c r="R619" i="3247" s="1"/>
  <c r="R618" i="3247" s="1"/>
  <c r="R617" i="3247" s="1"/>
  <c r="R616" i="3247" s="1"/>
  <c r="R615" i="3247" s="1"/>
  <c r="R614" i="3247" s="1"/>
  <c r="R613" i="3247" s="1"/>
  <c r="R612" i="3247" s="1"/>
  <c r="R611" i="3247" s="1"/>
  <c r="R610" i="3247" s="1"/>
  <c r="R609" i="3247" s="1"/>
  <c r="R608" i="3247" s="1"/>
  <c r="R607" i="3247" s="1"/>
  <c r="R606" i="3247" s="1"/>
  <c r="R605" i="3247" s="1"/>
  <c r="R604" i="3247" s="1"/>
  <c r="R603" i="3247" s="1"/>
  <c r="R602" i="3247" s="1"/>
  <c r="R601" i="3247" s="1"/>
  <c r="R600" i="3247" s="1"/>
  <c r="R599" i="3247" s="1"/>
  <c r="R598" i="3247" s="1"/>
  <c r="R597" i="3247" s="1"/>
  <c r="R596" i="3247" s="1"/>
  <c r="R595" i="3247" s="1"/>
  <c r="R594" i="3247" s="1"/>
  <c r="R593" i="3247" s="1"/>
  <c r="R592" i="3247" s="1"/>
  <c r="R591" i="3247" s="1"/>
  <c r="R590" i="3247" s="1"/>
  <c r="R589" i="3247" s="1"/>
  <c r="R588" i="3247" s="1"/>
  <c r="R587" i="3247" s="1"/>
  <c r="R586" i="3247" s="1"/>
  <c r="R585" i="3247" s="1"/>
  <c r="R584" i="3247" s="1"/>
  <c r="R583" i="3247" s="1"/>
  <c r="R582" i="3247" s="1"/>
  <c r="R581" i="3247" s="1"/>
  <c r="R580" i="3247" s="1"/>
  <c r="R579" i="3247" s="1"/>
  <c r="R578" i="3247" s="1"/>
  <c r="R577" i="3247" s="1"/>
  <c r="R576" i="3247" s="1"/>
  <c r="R575" i="3247" s="1"/>
  <c r="R574" i="3247" s="1"/>
  <c r="R573" i="3247" s="1"/>
  <c r="R572" i="3247" s="1"/>
  <c r="R571" i="3247" s="1"/>
  <c r="R570" i="3247" s="1"/>
  <c r="R569" i="3247" s="1"/>
  <c r="R568" i="3247" s="1"/>
  <c r="R567" i="3247" s="1"/>
  <c r="R566" i="3247" s="1"/>
  <c r="R565" i="3247" s="1"/>
  <c r="R564" i="3247" s="1"/>
  <c r="R563" i="3247" s="1"/>
  <c r="R562" i="3247" s="1"/>
  <c r="R561" i="3247" s="1"/>
  <c r="R560" i="3247" s="1"/>
  <c r="R559" i="3247" s="1"/>
  <c r="R558" i="3247" s="1"/>
  <c r="R557" i="3247" s="1"/>
  <c r="R556" i="3247" s="1"/>
  <c r="R555" i="3247" s="1"/>
  <c r="R554" i="3247" s="1"/>
  <c r="R553" i="3247" s="1"/>
  <c r="R552" i="3247" s="1"/>
  <c r="R551" i="3247" s="1"/>
  <c r="R550" i="3247" s="1"/>
  <c r="R549" i="3247" s="1"/>
  <c r="R548" i="3247" s="1"/>
  <c r="R547" i="3247" s="1"/>
  <c r="R546" i="3247" s="1"/>
  <c r="R545" i="3247" s="1"/>
  <c r="R544" i="3247" s="1"/>
  <c r="R543" i="3247" s="1"/>
  <c r="R542" i="3247" s="1"/>
  <c r="R541" i="3247" s="1"/>
  <c r="R540" i="3247" s="1"/>
  <c r="R539" i="3247" s="1"/>
  <c r="R538" i="3247" s="1"/>
  <c r="R537" i="3247" s="1"/>
  <c r="R536" i="3247" s="1"/>
  <c r="R535" i="3247" s="1"/>
  <c r="R534" i="3247" s="1"/>
  <c r="R533" i="3247" s="1"/>
  <c r="R532" i="3247" s="1"/>
  <c r="R531" i="3247" s="1"/>
  <c r="R530" i="3247" s="1"/>
  <c r="R529" i="3247" s="1"/>
  <c r="R528" i="3247" s="1"/>
  <c r="R527" i="3247" s="1"/>
  <c r="R526" i="3247" s="1"/>
  <c r="R525" i="3247" s="1"/>
  <c r="R524" i="3247" s="1"/>
  <c r="R523" i="3247" s="1"/>
  <c r="R522" i="3247" s="1"/>
  <c r="R521" i="3247" s="1"/>
  <c r="R520" i="3247" s="1"/>
  <c r="R519" i="3247" s="1"/>
  <c r="R518" i="3247" s="1"/>
  <c r="R517" i="3247" s="1"/>
  <c r="R516" i="3247" s="1"/>
  <c r="R515" i="3247" s="1"/>
  <c r="R514" i="3247" s="1"/>
  <c r="R513" i="3247" s="1"/>
  <c r="R512" i="3247" s="1"/>
  <c r="R511" i="3247" s="1"/>
  <c r="R510" i="3247" s="1"/>
  <c r="R509" i="3247" s="1"/>
  <c r="R508" i="3247" s="1"/>
  <c r="R507" i="3247" s="1"/>
  <c r="R506" i="3247" s="1"/>
  <c r="R505" i="3247" s="1"/>
  <c r="R504" i="3247" s="1"/>
  <c r="R503" i="3247" s="1"/>
  <c r="R502" i="3247" s="1"/>
  <c r="R501" i="3247" s="1"/>
  <c r="R500" i="3247" s="1"/>
  <c r="R499" i="3247" s="1"/>
  <c r="R498" i="3247" s="1"/>
  <c r="R497" i="3247" s="1"/>
  <c r="R496" i="3247" s="1"/>
  <c r="R495" i="3247" s="1"/>
  <c r="R494" i="3247" s="1"/>
  <c r="R493" i="3247" s="1"/>
  <c r="R492" i="3247" s="1"/>
  <c r="R491" i="3247" s="1"/>
  <c r="R490" i="3247" s="1"/>
  <c r="R489" i="3247" s="1"/>
  <c r="R488" i="3247" s="1"/>
  <c r="R487" i="3247" s="1"/>
  <c r="R486" i="3247" s="1"/>
  <c r="R485" i="3247" s="1"/>
  <c r="R484" i="3247" s="1"/>
  <c r="R483" i="3247" s="1"/>
  <c r="R482" i="3247" s="1"/>
  <c r="R481" i="3247" s="1"/>
  <c r="R480" i="3247" s="1"/>
  <c r="R479" i="3247" s="1"/>
  <c r="R478" i="3247" s="1"/>
  <c r="R477" i="3247" s="1"/>
  <c r="R476" i="3247" s="1"/>
  <c r="R475" i="3247" s="1"/>
  <c r="R474" i="3247" s="1"/>
  <c r="R473" i="3247" s="1"/>
  <c r="R472" i="3247" s="1"/>
  <c r="R471" i="3247" s="1"/>
  <c r="R470" i="3247" s="1"/>
  <c r="R469" i="3247" s="1"/>
  <c r="R468" i="3247" s="1"/>
  <c r="R467" i="3247" s="1"/>
  <c r="R466" i="3247" s="1"/>
  <c r="R465" i="3247" s="1"/>
  <c r="R464" i="3247" s="1"/>
  <c r="R463" i="3247" s="1"/>
  <c r="R462" i="3247" s="1"/>
  <c r="R461" i="3247" s="1"/>
  <c r="R460" i="3247" s="1"/>
  <c r="R459" i="3247" s="1"/>
  <c r="R458" i="3247" s="1"/>
  <c r="R457" i="3247" s="1"/>
  <c r="R456" i="3247" s="1"/>
  <c r="R455" i="3247" s="1"/>
  <c r="R454" i="3247" s="1"/>
  <c r="R453" i="3247" s="1"/>
  <c r="R452" i="3247" s="1"/>
  <c r="R451" i="3247" s="1"/>
  <c r="R450" i="3247" s="1"/>
  <c r="R449" i="3247" s="1"/>
  <c r="R448" i="3247" s="1"/>
  <c r="R447" i="3247" s="1"/>
  <c r="R446" i="3247" s="1"/>
  <c r="R445" i="3247" s="1"/>
  <c r="R444" i="3247" s="1"/>
  <c r="R443" i="3247" s="1"/>
  <c r="R442" i="3247" s="1"/>
  <c r="R441" i="3247" s="1"/>
  <c r="R440" i="3247" s="1"/>
  <c r="R439" i="3247" s="1"/>
  <c r="R438" i="3247" s="1"/>
  <c r="R437" i="3247" s="1"/>
  <c r="R436" i="3247" s="1"/>
  <c r="R435" i="3247" s="1"/>
  <c r="R434" i="3247" s="1"/>
  <c r="R433" i="3247" s="1"/>
  <c r="R432" i="3247" s="1"/>
  <c r="R431" i="3247" s="1"/>
  <c r="R430" i="3247" s="1"/>
  <c r="R429" i="3247" s="1"/>
  <c r="R428" i="3247" s="1"/>
  <c r="R427" i="3247" s="1"/>
  <c r="R426" i="3247" s="1"/>
  <c r="R425" i="3247" s="1"/>
  <c r="R424" i="3247" s="1"/>
  <c r="R423" i="3247" s="1"/>
  <c r="R422" i="3247" s="1"/>
  <c r="R421" i="3247" s="1"/>
  <c r="R420" i="3247" s="1"/>
  <c r="R419" i="3247" s="1"/>
  <c r="R418" i="3247" s="1"/>
  <c r="R417" i="3247" s="1"/>
  <c r="R416" i="3247" s="1"/>
  <c r="R415" i="3247" s="1"/>
  <c r="R414" i="3247" s="1"/>
  <c r="R413" i="3247" s="1"/>
  <c r="R412" i="3247" s="1"/>
  <c r="R411" i="3247" s="1"/>
  <c r="R410" i="3247" s="1"/>
  <c r="R409" i="3247" s="1"/>
  <c r="R408" i="3247" s="1"/>
  <c r="R407" i="3247" s="1"/>
  <c r="R406" i="3247" s="1"/>
  <c r="R405" i="3247" s="1"/>
  <c r="R404" i="3247" s="1"/>
  <c r="R403" i="3247" s="1"/>
  <c r="R402" i="3247" s="1"/>
  <c r="R401" i="3247" s="1"/>
  <c r="R400" i="3247" s="1"/>
  <c r="R399" i="3247" s="1"/>
  <c r="R398" i="3247" s="1"/>
  <c r="R397" i="3247" s="1"/>
  <c r="R396" i="3247" s="1"/>
  <c r="R395" i="3247" s="1"/>
  <c r="R394" i="3247" s="1"/>
  <c r="R393" i="3247" s="1"/>
  <c r="R392" i="3247" s="1"/>
  <c r="R391" i="3247" s="1"/>
  <c r="R390" i="3247" s="1"/>
  <c r="R389" i="3247" s="1"/>
  <c r="R388" i="3247" s="1"/>
  <c r="R387" i="3247" s="1"/>
  <c r="R386" i="3247" s="1"/>
  <c r="R385" i="3247" s="1"/>
  <c r="R384" i="3247" s="1"/>
  <c r="R383" i="3247" s="1"/>
  <c r="R382" i="3247" s="1"/>
  <c r="R381" i="3247" s="1"/>
  <c r="R380" i="3247" s="1"/>
  <c r="R379" i="3247" s="1"/>
  <c r="R378" i="3247" s="1"/>
  <c r="R377" i="3247" s="1"/>
  <c r="R376" i="3247" s="1"/>
  <c r="R375" i="3247" s="1"/>
  <c r="R374" i="3247" s="1"/>
  <c r="R373" i="3247" s="1"/>
  <c r="R372" i="3247" s="1"/>
  <c r="R371" i="3247" s="1"/>
  <c r="R370" i="3247" s="1"/>
  <c r="R369" i="3247" s="1"/>
  <c r="R368" i="3247" s="1"/>
  <c r="R367" i="3247" s="1"/>
  <c r="R366" i="3247" s="1"/>
  <c r="R365" i="3247" s="1"/>
  <c r="R364" i="3247" s="1"/>
  <c r="R363" i="3247" s="1"/>
  <c r="R362" i="3247" s="1"/>
  <c r="R361" i="3247" s="1"/>
  <c r="R360" i="3247" s="1"/>
  <c r="R359" i="3247" s="1"/>
  <c r="R358" i="3247" s="1"/>
  <c r="R357" i="3247" s="1"/>
  <c r="R356" i="3247" s="1"/>
  <c r="R355" i="3247" s="1"/>
  <c r="R354" i="3247" s="1"/>
  <c r="R353" i="3247" s="1"/>
  <c r="R352" i="3247" s="1"/>
  <c r="R351" i="3247" s="1"/>
  <c r="R350" i="3247" s="1"/>
  <c r="R349" i="3247" s="1"/>
  <c r="R348" i="3247" s="1"/>
  <c r="R347" i="3247" s="1"/>
  <c r="R346" i="3247" s="1"/>
  <c r="R345" i="3247" s="1"/>
  <c r="R344" i="3247" s="1"/>
  <c r="R343" i="3247" s="1"/>
  <c r="R342" i="3247" s="1"/>
  <c r="R341" i="3247" s="1"/>
  <c r="R340" i="3247" s="1"/>
  <c r="R339" i="3247" s="1"/>
  <c r="R338" i="3247" s="1"/>
  <c r="R337" i="3247" s="1"/>
  <c r="R336" i="3247" s="1"/>
  <c r="R335" i="3247" s="1"/>
  <c r="R334" i="3247" s="1"/>
  <c r="R333" i="3247" s="1"/>
  <c r="R332" i="3247" s="1"/>
  <c r="R331" i="3247" s="1"/>
  <c r="R330" i="3247" s="1"/>
  <c r="R329" i="3247" s="1"/>
  <c r="R328" i="3247" s="1"/>
  <c r="R327" i="3247" s="1"/>
  <c r="R326" i="3247" s="1"/>
  <c r="R325" i="3247" s="1"/>
  <c r="R324" i="3247" s="1"/>
  <c r="R323" i="3247" s="1"/>
  <c r="R322" i="3247" s="1"/>
  <c r="R321" i="3247" s="1"/>
  <c r="R320" i="3247" s="1"/>
  <c r="R319" i="3247" s="1"/>
  <c r="R318" i="3247" s="1"/>
  <c r="R317" i="3247" s="1"/>
  <c r="R316" i="3247" s="1"/>
  <c r="R315" i="3247" s="1"/>
  <c r="R314" i="3247" s="1"/>
  <c r="R313" i="3247" s="1"/>
  <c r="R312" i="3247" s="1"/>
  <c r="R311" i="3247" s="1"/>
  <c r="R310" i="3247" s="1"/>
  <c r="R309" i="3247" s="1"/>
  <c r="R308" i="3247" s="1"/>
  <c r="R307" i="3247" s="1"/>
  <c r="R306" i="3247" s="1"/>
  <c r="R305" i="3247" s="1"/>
  <c r="R304" i="3247" s="1"/>
  <c r="R303" i="3247" s="1"/>
  <c r="R302" i="3247" s="1"/>
  <c r="R301" i="3247" s="1"/>
  <c r="R300" i="3247" s="1"/>
  <c r="R299" i="3247" s="1"/>
  <c r="R298" i="3247" s="1"/>
  <c r="R297" i="3247" s="1"/>
  <c r="R296" i="3247" s="1"/>
  <c r="R295" i="3247" s="1"/>
  <c r="R294" i="3247" s="1"/>
  <c r="R293" i="3247" s="1"/>
  <c r="R292" i="3247" s="1"/>
  <c r="R291" i="3247" s="1"/>
  <c r="R290" i="3247" s="1"/>
  <c r="R289" i="3247" s="1"/>
  <c r="R288" i="3247" s="1"/>
  <c r="R287" i="3247" s="1"/>
  <c r="R286" i="3247" s="1"/>
  <c r="R285" i="3247" s="1"/>
  <c r="R284" i="3247" s="1"/>
  <c r="R283" i="3247" s="1"/>
  <c r="R282" i="3247" s="1"/>
  <c r="R281" i="3247" s="1"/>
  <c r="R280" i="3247" s="1"/>
  <c r="R279" i="3247" s="1"/>
  <c r="R278" i="3247" s="1"/>
  <c r="R277" i="3247" s="1"/>
  <c r="R276" i="3247" s="1"/>
  <c r="R275" i="3247" s="1"/>
  <c r="R274" i="3247" s="1"/>
  <c r="R273" i="3247" s="1"/>
  <c r="R272" i="3247" s="1"/>
  <c r="R271" i="3247" s="1"/>
  <c r="R270" i="3247" s="1"/>
  <c r="R269" i="3247" s="1"/>
  <c r="R268" i="3247" s="1"/>
  <c r="R267" i="3247" s="1"/>
  <c r="R266" i="3247" s="1"/>
  <c r="R265" i="3247" s="1"/>
  <c r="R264" i="3247" s="1"/>
  <c r="R263" i="3247" s="1"/>
  <c r="R262" i="3247" s="1"/>
  <c r="R261" i="3247" s="1"/>
  <c r="R260" i="3247" s="1"/>
  <c r="R259" i="3247" s="1"/>
  <c r="R258" i="3247" s="1"/>
  <c r="R257" i="3247" s="1"/>
  <c r="R256" i="3247" s="1"/>
  <c r="R255" i="3247" s="1"/>
  <c r="R254" i="3247" s="1"/>
  <c r="R253" i="3247" s="1"/>
  <c r="R252" i="3247" s="1"/>
  <c r="R251" i="3247" s="1"/>
  <c r="R250" i="3247" s="1"/>
  <c r="R249" i="3247" s="1"/>
  <c r="R248" i="3247" s="1"/>
  <c r="R247" i="3247" s="1"/>
  <c r="R246" i="3247" s="1"/>
  <c r="R245" i="3247" s="1"/>
  <c r="R244" i="3247" s="1"/>
  <c r="R243" i="3247" s="1"/>
  <c r="R242" i="3247" s="1"/>
  <c r="R241" i="3247" s="1"/>
  <c r="R240" i="3247" s="1"/>
  <c r="R239" i="3247" s="1"/>
  <c r="R238" i="3247" s="1"/>
  <c r="R237" i="3247" s="1"/>
  <c r="R236" i="3247" s="1"/>
  <c r="R235" i="3247" s="1"/>
  <c r="R234" i="3247" s="1"/>
  <c r="R233" i="3247" s="1"/>
  <c r="R232" i="3247" s="1"/>
  <c r="R231" i="3247" s="1"/>
  <c r="R230" i="3247" s="1"/>
  <c r="R229" i="3247" s="1"/>
  <c r="R228" i="3247" s="1"/>
  <c r="R227" i="3247" s="1"/>
  <c r="R226" i="3247" s="1"/>
  <c r="R225" i="3247" s="1"/>
  <c r="R224" i="3247" s="1"/>
  <c r="R223" i="3247" s="1"/>
  <c r="R222" i="3247" s="1"/>
  <c r="R221" i="3247" s="1"/>
  <c r="R220" i="3247" s="1"/>
  <c r="R219" i="3247" s="1"/>
  <c r="R218" i="3247" s="1"/>
  <c r="R217" i="3247" s="1"/>
  <c r="R216" i="3247" s="1"/>
  <c r="R215" i="3247" s="1"/>
  <c r="R214" i="3247" s="1"/>
  <c r="R213" i="3247" s="1"/>
  <c r="R212" i="3247" s="1"/>
  <c r="R211" i="3247" s="1"/>
  <c r="R210" i="3247" s="1"/>
  <c r="R209" i="3247" s="1"/>
  <c r="R208" i="3247" s="1"/>
  <c r="R207" i="3247" s="1"/>
  <c r="R206" i="3247" s="1"/>
  <c r="R205" i="3247" s="1"/>
  <c r="R204" i="3247" s="1"/>
  <c r="R203" i="3247" s="1"/>
  <c r="R202" i="3247" s="1"/>
  <c r="R201" i="3247" s="1"/>
  <c r="R200" i="3247" s="1"/>
  <c r="R199" i="3247" s="1"/>
  <c r="R198" i="3247" s="1"/>
  <c r="R197" i="3247" s="1"/>
  <c r="R196" i="3247" s="1"/>
  <c r="R195" i="3247" s="1"/>
  <c r="R194" i="3247" s="1"/>
  <c r="R193" i="3247" s="1"/>
  <c r="R192" i="3247" s="1"/>
  <c r="R191" i="3247" s="1"/>
  <c r="R190" i="3247" s="1"/>
  <c r="R189" i="3247" s="1"/>
  <c r="R188" i="3247" s="1"/>
  <c r="R187" i="3247" s="1"/>
  <c r="R186" i="3247" s="1"/>
  <c r="R185" i="3247" s="1"/>
  <c r="R184" i="3247" s="1"/>
  <c r="R183" i="3247" s="1"/>
  <c r="R182" i="3247" s="1"/>
  <c r="R181" i="3247" s="1"/>
  <c r="R180" i="3247" s="1"/>
  <c r="R179" i="3247" s="1"/>
  <c r="R178" i="3247" s="1"/>
  <c r="R177" i="3247" s="1"/>
  <c r="R176" i="3247" s="1"/>
  <c r="R175" i="3247" s="1"/>
  <c r="R174" i="3247" s="1"/>
  <c r="R173" i="3247" s="1"/>
  <c r="R172" i="3247" s="1"/>
  <c r="R171" i="3247" s="1"/>
  <c r="R170" i="3247" s="1"/>
  <c r="R169" i="3247" s="1"/>
  <c r="R168" i="3247" s="1"/>
  <c r="R167" i="3247" s="1"/>
  <c r="R166" i="3247" s="1"/>
  <c r="R165" i="3247" s="1"/>
  <c r="R164" i="3247" s="1"/>
  <c r="R163" i="3247" s="1"/>
  <c r="R162" i="3247" s="1"/>
  <c r="R161" i="3247" s="1"/>
  <c r="R160" i="3247" s="1"/>
  <c r="R159" i="3247" s="1"/>
  <c r="R158" i="3247" s="1"/>
  <c r="R157" i="3247" s="1"/>
  <c r="R156" i="3247" s="1"/>
  <c r="R155" i="3247" s="1"/>
  <c r="R154" i="3247" s="1"/>
  <c r="R153" i="3247" s="1"/>
  <c r="R152" i="3247" s="1"/>
  <c r="R151" i="3247" s="1"/>
  <c r="R150" i="3247" s="1"/>
  <c r="R149" i="3247" s="1"/>
  <c r="R148" i="3247" s="1"/>
  <c r="R147" i="3247" s="1"/>
  <c r="R146" i="3247" s="1"/>
  <c r="R145" i="3247" s="1"/>
  <c r="R144" i="3247" s="1"/>
  <c r="R143" i="3247" s="1"/>
  <c r="R142" i="3247" s="1"/>
  <c r="R141" i="3247" s="1"/>
  <c r="R140" i="3247" s="1"/>
  <c r="R139" i="3247" s="1"/>
  <c r="R138" i="3247" s="1"/>
  <c r="R137" i="3247" s="1"/>
  <c r="R136" i="3247" s="1"/>
  <c r="R135" i="3247" s="1"/>
  <c r="R134" i="3247" s="1"/>
  <c r="R133" i="3247" s="1"/>
  <c r="R132" i="3247" s="1"/>
  <c r="R131" i="3247" s="1"/>
  <c r="R130" i="3247" s="1"/>
  <c r="R129" i="3247" s="1"/>
  <c r="R128" i="3247" s="1"/>
  <c r="R127" i="3247" s="1"/>
  <c r="R126" i="3247" s="1"/>
  <c r="R125" i="3247" s="1"/>
  <c r="R124" i="3247" s="1"/>
  <c r="R123" i="3247" s="1"/>
  <c r="R122" i="3247" s="1"/>
  <c r="R121" i="3247" s="1"/>
  <c r="R120" i="3247" s="1"/>
  <c r="R119" i="3247" s="1"/>
  <c r="R118" i="3247" s="1"/>
  <c r="R117" i="3247" s="1"/>
  <c r="R116" i="3247" s="1"/>
  <c r="R115" i="3247" s="1"/>
  <c r="R114" i="3247" s="1"/>
  <c r="R113" i="3247" s="1"/>
  <c r="R112" i="3247" s="1"/>
  <c r="R111" i="3247" s="1"/>
  <c r="R110" i="3247" s="1"/>
  <c r="R109" i="3247" s="1"/>
  <c r="R108" i="3247" s="1"/>
  <c r="R107" i="3247" s="1"/>
  <c r="R106" i="3247" s="1"/>
  <c r="R105" i="3247" s="1"/>
  <c r="R104" i="3247" s="1"/>
  <c r="R103" i="3247" s="1"/>
  <c r="R102" i="3247" s="1"/>
  <c r="R101" i="3247" s="1"/>
  <c r="R100" i="3247" s="1"/>
  <c r="R99" i="3247" s="1"/>
  <c r="R98" i="3247" s="1"/>
  <c r="R97" i="3247" s="1"/>
  <c r="R96" i="3247" s="1"/>
  <c r="R95" i="3247" s="1"/>
  <c r="R94" i="3247" s="1"/>
  <c r="R93" i="3247" s="1"/>
  <c r="WY15" i="3240" l="1"/>
  <c r="WY18" i="3240" s="1"/>
  <c r="AGJ18" i="3240"/>
  <c r="WZ15" i="3240"/>
  <c r="D77" i="3254"/>
  <c r="U83" i="3247"/>
  <c r="I77" i="3254"/>
  <c r="Z83" i="3247"/>
  <c r="VO15" i="3240"/>
  <c r="UO18" i="3240"/>
  <c r="XJ15" i="3240"/>
  <c r="AHT18" i="3240"/>
  <c r="C93" i="3247"/>
  <c r="D93" i="3247" s="1"/>
  <c r="H77" i="3254"/>
  <c r="Y83" i="3247"/>
  <c r="C75" i="3254"/>
  <c r="S41" i="3247"/>
  <c r="S42" i="3247"/>
  <c r="C78" i="3254" s="1"/>
  <c r="R39" i="3247"/>
  <c r="TD15" i="3240"/>
  <c r="UP15" i="3240"/>
  <c r="TC18" i="3240"/>
  <c r="XK15" i="3240"/>
  <c r="XK18" i="3240" s="1"/>
  <c r="AHU18" i="3240"/>
  <c r="XI15" i="3240"/>
  <c r="AHS18" i="3240"/>
  <c r="XL15" i="3240"/>
  <c r="XL18" i="3240" s="1"/>
  <c r="AHV18" i="3240"/>
  <c r="L35" i="3247"/>
  <c r="B35" i="3247" s="1"/>
  <c r="N30" i="3247"/>
  <c r="TP18" i="3240"/>
  <c r="VC18" i="3240"/>
  <c r="E77" i="3254"/>
  <c r="V83" i="3247"/>
  <c r="XH15" i="3240"/>
  <c r="AHR18" i="3240"/>
  <c r="F77" i="3254"/>
  <c r="W83" i="3247"/>
  <c r="K34" i="3247"/>
  <c r="L36" i="3247"/>
  <c r="M83" i="3247" s="1"/>
  <c r="L37" i="3247"/>
  <c r="G77" i="3254"/>
  <c r="X83" i="3247"/>
  <c r="J77" i="3254"/>
  <c r="AA83" i="3247"/>
  <c r="K77" i="3254"/>
  <c r="AB83" i="3247"/>
  <c r="OH15" i="3240"/>
  <c r="OH18" i="3240" s="1"/>
  <c r="NV18" i="3240"/>
  <c r="VY18" i="3240"/>
  <c r="VN18" i="3240"/>
  <c r="N66" i="3247"/>
  <c r="M67" i="3247"/>
  <c r="L32" i="3247"/>
  <c r="N32" i="3247" s="1"/>
  <c r="VZ15" i="3240"/>
  <c r="VZ18" i="3240" s="1"/>
  <c r="WL18" i="3240"/>
  <c r="S93" i="3247"/>
  <c r="T93" i="3247" l="1"/>
  <c r="B75" i="3254"/>
  <c r="R41" i="3247"/>
  <c r="AD8" i="3247"/>
  <c r="N49" i="3254" s="1"/>
  <c r="R42" i="3247"/>
  <c r="B78" i="3254" s="1"/>
  <c r="AHK18" i="3240"/>
  <c r="VP15" i="3240"/>
  <c r="UP18" i="3240"/>
  <c r="XH18" i="3240"/>
  <c r="YG15" i="3240"/>
  <c r="XJ18" i="3240"/>
  <c r="YI15" i="3240"/>
  <c r="YI18" i="3240" s="1"/>
  <c r="YJ15" i="3240"/>
  <c r="YJ18" i="3240" s="1"/>
  <c r="TQ18" i="3240"/>
  <c r="VD18" i="3240"/>
  <c r="C77" i="3254"/>
  <c r="T83" i="3247"/>
  <c r="WA15" i="3240"/>
  <c r="WA18" i="3240" s="1"/>
  <c r="WM18" i="3240"/>
  <c r="TE15" i="3240"/>
  <c r="UQ15" i="3240"/>
  <c r="TD18" i="3240"/>
  <c r="YK15" i="3240"/>
  <c r="YK18" i="3240" s="1"/>
  <c r="WZ18" i="3240"/>
  <c r="XI18" i="3240"/>
  <c r="YH15" i="3240"/>
  <c r="YH18" i="3240" s="1"/>
  <c r="N67" i="3247"/>
  <c r="M32" i="3247"/>
  <c r="K36" i="3247"/>
  <c r="L83" i="3247" s="1"/>
  <c r="J34" i="3247"/>
  <c r="K37" i="3247"/>
  <c r="VO18" i="3240"/>
  <c r="B77" i="3254" l="1"/>
  <c r="T43" i="3247"/>
  <c r="XM15" i="3240"/>
  <c r="XM18" i="3240" s="1"/>
  <c r="AHW18" i="3240"/>
  <c r="AHL18" i="3240"/>
  <c r="YG18" i="3240"/>
  <c r="J37" i="3247"/>
  <c r="I34" i="3247"/>
  <c r="J36" i="3247"/>
  <c r="K83" i="3247" s="1"/>
  <c r="VQ15" i="3240"/>
  <c r="UQ18" i="3240"/>
  <c r="TF15" i="3240"/>
  <c r="UR15" i="3240"/>
  <c r="TE18" i="3240"/>
  <c r="TR18" i="3240"/>
  <c r="VE18" i="3240"/>
  <c r="VP18" i="3240"/>
  <c r="H34" i="3247" l="1"/>
  <c r="I36" i="3247"/>
  <c r="J83" i="3247" s="1"/>
  <c r="I37" i="3247"/>
  <c r="XN15" i="3240"/>
  <c r="XN18" i="3240" s="1"/>
  <c r="AHX18" i="3240"/>
  <c r="VR15" i="3240"/>
  <c r="UR18" i="3240"/>
  <c r="TG15" i="3240"/>
  <c r="US15" i="3240"/>
  <c r="ABH15" i="3240"/>
  <c r="TF18" i="3240"/>
  <c r="D79" i="3254"/>
  <c r="T54" i="3247"/>
  <c r="AHM18" i="3240"/>
  <c r="VQ18" i="3240"/>
  <c r="C94" i="3247"/>
  <c r="D94" i="3247" s="1"/>
  <c r="UT15" i="3240" l="1"/>
  <c r="TG18" i="3240"/>
  <c r="AHN18" i="3240"/>
  <c r="VR18" i="3240"/>
  <c r="D90" i="3254"/>
  <c r="AD4" i="3247"/>
  <c r="VS15" i="3240"/>
  <c r="US18" i="3240"/>
  <c r="G34" i="3247"/>
  <c r="H36" i="3247"/>
  <c r="I83" i="3247" s="1"/>
  <c r="H37" i="3247"/>
  <c r="ACL15" i="3240"/>
  <c r="ACP15" i="3240"/>
  <c r="ACP18" i="3240" s="1"/>
  <c r="ACR15" i="3240"/>
  <c r="ACR18" i="3240" s="1"/>
  <c r="ACS15" i="3240"/>
  <c r="ACS18" i="3240" s="1"/>
  <c r="ACQ15" i="3240"/>
  <c r="ACQ18" i="3240" s="1"/>
  <c r="ACN15" i="3240"/>
  <c r="ACN18" i="3240" s="1"/>
  <c r="ACO15" i="3240"/>
  <c r="ACO18" i="3240" s="1"/>
  <c r="ACT15" i="3240"/>
  <c r="ACT18" i="3240" s="1"/>
  <c r="ACU15" i="3240"/>
  <c r="ACU18" i="3240" s="1"/>
  <c r="ACM15" i="3240"/>
  <c r="ACM18" i="3240" s="1"/>
  <c r="ABH18" i="3240"/>
  <c r="XO15" i="3240"/>
  <c r="XO18" i="3240" s="1"/>
  <c r="AHY18" i="3240"/>
  <c r="S94" i="3247"/>
  <c r="T94" i="3247" l="1"/>
  <c r="VT15" i="3240"/>
  <c r="UT18" i="3240"/>
  <c r="G36" i="3247"/>
  <c r="H83" i="3247" s="1"/>
  <c r="G37" i="3247"/>
  <c r="F34" i="3247"/>
  <c r="VS18" i="3240"/>
  <c r="ACV15" i="3240"/>
  <c r="ACL18" i="3240"/>
  <c r="AEM15" i="3240"/>
  <c r="AHO18" i="3240"/>
  <c r="N45" i="3254"/>
  <c r="AD5" i="3247"/>
  <c r="N46" i="3254" s="1"/>
  <c r="XP15" i="3240"/>
  <c r="XP18" i="3240" s="1"/>
  <c r="AHZ18" i="3240"/>
  <c r="ACW15" i="3240" l="1"/>
  <c r="ACW18" i="3240" s="1"/>
  <c r="ACV18" i="3240"/>
  <c r="AHP18" i="3240"/>
  <c r="NS18" i="3240"/>
  <c r="F36" i="3247"/>
  <c r="G83" i="3247" s="1"/>
  <c r="F37" i="3247"/>
  <c r="E34" i="3247"/>
  <c r="VT18" i="3240"/>
  <c r="AEN15" i="3240"/>
  <c r="AEM18" i="3240"/>
  <c r="AEB15" i="3240"/>
  <c r="AEB18" i="3240" s="1"/>
  <c r="XQ15" i="3240"/>
  <c r="AIA18" i="3240"/>
  <c r="AEY15" i="3240"/>
  <c r="AFA15" i="3240"/>
  <c r="AFB15" i="3240"/>
  <c r="AEZ15" i="3240"/>
  <c r="AFE15" i="3240"/>
  <c r="AFC15" i="3240"/>
  <c r="AFD15" i="3240"/>
  <c r="AFG15" i="3240"/>
  <c r="AFF15" i="3240"/>
  <c r="AFH15" i="3240"/>
  <c r="AFI18" i="3240"/>
  <c r="AEY18" i="3240" l="1"/>
  <c r="AFK15" i="3240"/>
  <c r="AFF18" i="3240"/>
  <c r="AFR15" i="3240"/>
  <c r="AFR18" i="3240" s="1"/>
  <c r="AFC18" i="3240"/>
  <c r="AFO15" i="3240"/>
  <c r="AFO18" i="3240" s="1"/>
  <c r="AFA18" i="3240"/>
  <c r="AFM15" i="3240"/>
  <c r="AFM18" i="3240" s="1"/>
  <c r="AFH18" i="3240"/>
  <c r="AFT15" i="3240"/>
  <c r="AFT18" i="3240" s="1"/>
  <c r="AFG18" i="3240"/>
  <c r="AFS15" i="3240"/>
  <c r="AFS18" i="3240" s="1"/>
  <c r="AFD18" i="3240"/>
  <c r="AFP15" i="3240"/>
  <c r="AFP18" i="3240" s="1"/>
  <c r="AFE18" i="3240"/>
  <c r="AFQ15" i="3240"/>
  <c r="AFQ18" i="3240" s="1"/>
  <c r="AEZ18" i="3240"/>
  <c r="AFL15" i="3240"/>
  <c r="AFL18" i="3240" s="1"/>
  <c r="AFB18" i="3240"/>
  <c r="AFN15" i="3240"/>
  <c r="AFN18" i="3240" s="1"/>
  <c r="E36" i="3247"/>
  <c r="F83" i="3247" s="1"/>
  <c r="E37" i="3247"/>
  <c r="D34" i="3247"/>
  <c r="XR15" i="3240"/>
  <c r="NW15" i="3240"/>
  <c r="NW18" i="3240" s="1"/>
  <c r="AIB18" i="3240"/>
  <c r="XQ18" i="3240"/>
  <c r="AEO15" i="3240"/>
  <c r="AEN18" i="3240"/>
  <c r="AEC15" i="3240"/>
  <c r="AEC18" i="3240" s="1"/>
  <c r="C95" i="3247"/>
  <c r="D95" i="3247" s="1"/>
  <c r="AFU15" i="3240" l="1"/>
  <c r="AFK18" i="3240"/>
  <c r="WS15" i="3240"/>
  <c r="WF15" i="3240"/>
  <c r="WF18" i="3240" s="1"/>
  <c r="WR18" i="3240"/>
  <c r="XE15" i="3240"/>
  <c r="WE15" i="3240"/>
  <c r="WE18" i="3240" s="1"/>
  <c r="WQ18" i="3240"/>
  <c r="XD15" i="3240"/>
  <c r="OI15" i="3240"/>
  <c r="OI18" i="3240" s="1"/>
  <c r="XR18" i="3240"/>
  <c r="WD15" i="3240"/>
  <c r="WD18" i="3240" s="1"/>
  <c r="WP18" i="3240"/>
  <c r="XC15" i="3240"/>
  <c r="WC15" i="3240"/>
  <c r="WC18" i="3240" s="1"/>
  <c r="WO18" i="3240"/>
  <c r="XB15" i="3240"/>
  <c r="D36" i="3247"/>
  <c r="E83" i="3247" s="1"/>
  <c r="D37" i="3247"/>
  <c r="C34" i="3247"/>
  <c r="AEP15" i="3240"/>
  <c r="AEO18" i="3240"/>
  <c r="AED15" i="3240"/>
  <c r="AED18" i="3240" s="1"/>
  <c r="WB15" i="3240"/>
  <c r="WN18" i="3240"/>
  <c r="XA15" i="3240"/>
  <c r="S95" i="3247"/>
  <c r="AFV15" i="3240" l="1"/>
  <c r="AFU18" i="3240"/>
  <c r="T95" i="3247"/>
  <c r="JL15" i="3240"/>
  <c r="JL18" i="3240" s="1"/>
  <c r="WU15" i="3240"/>
  <c r="WS18" i="3240"/>
  <c r="YN15" i="3240"/>
  <c r="YN18" i="3240" s="1"/>
  <c r="XC18" i="3240"/>
  <c r="YL15" i="3240"/>
  <c r="XA18" i="3240"/>
  <c r="YP15" i="3240"/>
  <c r="YP18" i="3240" s="1"/>
  <c r="XE18" i="3240"/>
  <c r="AEQ15" i="3240"/>
  <c r="AEP18" i="3240"/>
  <c r="AEE15" i="3240"/>
  <c r="AEE18" i="3240" s="1"/>
  <c r="C36" i="3247"/>
  <c r="D83" i="3247" s="1"/>
  <c r="C37" i="3247"/>
  <c r="B34" i="3247"/>
  <c r="WB18" i="3240"/>
  <c r="JK15" i="3240"/>
  <c r="JK18" i="3240" s="1"/>
  <c r="YO15" i="3240"/>
  <c r="YO18" i="3240" s="1"/>
  <c r="XD18" i="3240"/>
  <c r="YM15" i="3240"/>
  <c r="YM18" i="3240" s="1"/>
  <c r="XB18" i="3240"/>
  <c r="C96" i="3247"/>
  <c r="AFX18" i="3240" l="1"/>
  <c r="AFV18" i="3240"/>
  <c r="YL18" i="3240"/>
  <c r="YF15" i="3240"/>
  <c r="YF18" i="3240" s="1"/>
  <c r="XF15" i="3240"/>
  <c r="WG15" i="3240"/>
  <c r="WG18" i="3240" s="1"/>
  <c r="WT18" i="3240"/>
  <c r="B37" i="3247"/>
  <c r="B36" i="3247"/>
  <c r="D38" i="3247" s="1"/>
  <c r="D49" i="3247" s="1"/>
  <c r="H4" i="3247" s="1"/>
  <c r="H3" i="3247" s="1"/>
  <c r="H6" i="3247" s="1"/>
  <c r="AER15" i="3240"/>
  <c r="AEQ18" i="3240"/>
  <c r="AEF15" i="3240"/>
  <c r="AEF18" i="3240" s="1"/>
  <c r="S96" i="3247"/>
  <c r="T96" i="3247" s="1"/>
  <c r="YD15" i="3240" l="1"/>
  <c r="XF18" i="3240"/>
  <c r="AES15" i="3240"/>
  <c r="AER18" i="3240"/>
  <c r="AEG15" i="3240"/>
  <c r="AEG18" i="3240" s="1"/>
  <c r="YD18" i="3240" l="1"/>
  <c r="YC15" i="3240"/>
  <c r="AET15" i="3240"/>
  <c r="AES18" i="3240"/>
  <c r="AEH15" i="3240"/>
  <c r="AEH18" i="3240" s="1"/>
  <c r="YB15" i="3240" l="1"/>
  <c r="YC18" i="3240"/>
  <c r="AEU15" i="3240"/>
  <c r="AET18" i="3240"/>
  <c r="AEI15" i="3240"/>
  <c r="AEI18" i="3240" s="1"/>
  <c r="C97" i="3247"/>
  <c r="D97" i="3247" s="1"/>
  <c r="YB18" i="3240" l="1"/>
  <c r="YA15" i="3240"/>
  <c r="AEV15" i="3240"/>
  <c r="AEW15" i="3240" s="1"/>
  <c r="AEW18" i="3240" s="1"/>
  <c r="AEU18" i="3240"/>
  <c r="AEJ15" i="3240"/>
  <c r="AEJ18" i="3240" s="1"/>
  <c r="S97" i="3247"/>
  <c r="T97" i="3247" s="1"/>
  <c r="XZ15" i="3240" l="1"/>
  <c r="YA18" i="3240"/>
  <c r="AEV18" i="3240"/>
  <c r="AEK15" i="3240"/>
  <c r="AEK18" i="3240" s="1"/>
  <c r="XY15" i="3240" l="1"/>
  <c r="XZ18" i="3240"/>
  <c r="XX15" i="3240" l="1"/>
  <c r="XY18" i="3240"/>
  <c r="C98" i="3247"/>
  <c r="D98" i="3247" s="1"/>
  <c r="XX18" i="3240" l="1"/>
  <c r="XW15" i="3240"/>
  <c r="S98" i="3247"/>
  <c r="T98" i="3247" l="1"/>
  <c r="XV15" i="3240"/>
  <c r="XW18" i="3240"/>
  <c r="XV18" i="3240" l="1"/>
  <c r="XU15" i="3240"/>
  <c r="XT15" i="3240" l="1"/>
  <c r="XU18" i="3240"/>
  <c r="C99" i="3247"/>
  <c r="D99" i="3247" s="1"/>
  <c r="YR15" i="3240" l="1"/>
  <c r="XT18" i="3240"/>
  <c r="S99" i="3247"/>
  <c r="T99" i="3247" l="1"/>
  <c r="YT15" i="3240"/>
  <c r="YR18" i="3240"/>
  <c r="C100" i="3247"/>
  <c r="YT18" i="3240" l="1"/>
  <c r="YV15" i="3240"/>
  <c r="S100" i="3247"/>
  <c r="T100" i="3247" l="1"/>
  <c r="YX6" i="3240"/>
  <c r="YV18" i="3240"/>
  <c r="YW15" i="3240"/>
  <c r="YW18" i="3240" s="1"/>
  <c r="C101" i="3247"/>
  <c r="D101" i="3247" s="1"/>
  <c r="S101" i="3247" l="1"/>
  <c r="T101" i="3247" l="1"/>
  <c r="C102" i="3247"/>
  <c r="D102" i="3247" s="1"/>
  <c r="S102" i="3247" l="1"/>
  <c r="T102" i="3247" l="1"/>
  <c r="C103" i="3247"/>
  <c r="S103" i="3247" l="1"/>
  <c r="T103" i="3247" s="1"/>
  <c r="C104" i="3247" l="1"/>
  <c r="D104" i="3247" s="1"/>
  <c r="S104" i="3247" l="1"/>
  <c r="T104" i="3247" s="1"/>
  <c r="C105" i="3247" l="1"/>
  <c r="D105" i="3247" s="1"/>
  <c r="S105" i="3247" l="1"/>
  <c r="T105" i="3247" l="1"/>
  <c r="S106" i="3247"/>
  <c r="T106" i="3247" l="1"/>
  <c r="E107" i="3247"/>
  <c r="F107" i="3247"/>
  <c r="G107" i="3247"/>
  <c r="H107" i="3247"/>
  <c r="I107" i="3247"/>
  <c r="J107" i="3247"/>
  <c r="K107" i="3247"/>
  <c r="L107" i="3247"/>
  <c r="M107" i="3247"/>
  <c r="N107" i="3247"/>
  <c r="S107" i="3247" l="1"/>
  <c r="T107" i="3247" l="1"/>
  <c r="C108" i="3247"/>
  <c r="D108" i="3247"/>
  <c r="S108" i="3247" l="1"/>
  <c r="T108" i="3247" l="1"/>
  <c r="B109" i="3247"/>
  <c r="C109" i="3247"/>
  <c r="D109" i="3247" s="1"/>
  <c r="S109" i="3247" l="1"/>
  <c r="T109" i="3247" l="1"/>
  <c r="C110" i="3247"/>
  <c r="D110" i="3247" s="1"/>
  <c r="S110" i="3247" l="1"/>
  <c r="T110" i="3247" s="1"/>
  <c r="C111" i="3247" l="1"/>
  <c r="D111" i="3247" s="1"/>
  <c r="S111" i="3247" l="1"/>
  <c r="T111" i="3247" s="1"/>
  <c r="C112" i="3247" l="1"/>
  <c r="D112" i="3247"/>
  <c r="S112" i="3247" l="1"/>
  <c r="T112" i="3247" l="1"/>
  <c r="B113" i="3247"/>
  <c r="C113" i="3247"/>
  <c r="D113" i="3247" s="1"/>
  <c r="S113" i="3247" l="1"/>
  <c r="T113" i="3247" l="1"/>
  <c r="B114" i="3247"/>
  <c r="C114" i="3247"/>
  <c r="D114" i="3247" s="1"/>
  <c r="S114" i="3247" l="1"/>
  <c r="T114" i="3247" l="1"/>
  <c r="S115" i="3247"/>
  <c r="T115" i="3247" l="1"/>
  <c r="S116" i="3247"/>
  <c r="T116" i="3247" l="1"/>
  <c r="S117" i="3247"/>
  <c r="T117" i="3247" s="1"/>
  <c r="S118" i="3247" l="1"/>
  <c r="T118" i="3247"/>
  <c r="E119" i="3247" l="1"/>
  <c r="F119" i="3247"/>
  <c r="G119" i="3247"/>
  <c r="H119" i="3247"/>
  <c r="S119" i="3247" l="1"/>
  <c r="T119" i="3247" l="1"/>
  <c r="J120" i="3247"/>
  <c r="K120" i="3247"/>
  <c r="M120" i="3247"/>
  <c r="N120" i="3247"/>
  <c r="S120" i="3247" l="1"/>
  <c r="T120" i="3247" l="1"/>
  <c r="C121" i="3247"/>
  <c r="D121" i="3247"/>
  <c r="E121" i="3247"/>
  <c r="F121" i="3247"/>
  <c r="G121" i="3247"/>
  <c r="H121" i="3247"/>
  <c r="S121" i="3247" l="1"/>
  <c r="T121" i="3247" l="1"/>
  <c r="S122" i="3247"/>
  <c r="T122" i="3247" l="1"/>
  <c r="S123" i="3247"/>
  <c r="T123" i="3247" l="1"/>
  <c r="E124" i="3247"/>
  <c r="F124" i="3247"/>
  <c r="G124" i="3247"/>
  <c r="H124" i="3247"/>
  <c r="S124" i="3247" l="1"/>
  <c r="T124" i="3247" s="1"/>
  <c r="J125" i="3247" l="1"/>
  <c r="K125" i="3247"/>
  <c r="M125" i="3247"/>
  <c r="N125" i="3247"/>
  <c r="S125" i="3247" l="1"/>
  <c r="T125" i="3247" s="1"/>
  <c r="C126" i="3247" l="1"/>
  <c r="D126" i="3247"/>
  <c r="E126" i="3247"/>
  <c r="F126" i="3247"/>
  <c r="G126" i="3247"/>
  <c r="H126" i="3247"/>
  <c r="S126" i="3247" l="1"/>
  <c r="T126" i="3247" l="1"/>
  <c r="D127" i="3247"/>
  <c r="S127" i="3247" l="1"/>
  <c r="T127" i="3247" l="1"/>
  <c r="D128" i="3247"/>
  <c r="M128" i="3247"/>
  <c r="N128" i="3247"/>
  <c r="S128" i="3247" l="1"/>
  <c r="T128" i="3247" l="1"/>
  <c r="S129" i="3247"/>
  <c r="T129" i="3247" l="1"/>
  <c r="I130" i="3247"/>
  <c r="H130" i="3247" s="1"/>
  <c r="G130" i="3247" s="1"/>
  <c r="F130" i="3247" s="1"/>
  <c r="E130" i="3247" s="1"/>
  <c r="D130" i="3247" s="1"/>
  <c r="C130" i="3247" s="1"/>
  <c r="B130" i="3247" s="1"/>
  <c r="A130" i="3247" s="1"/>
  <c r="S130" i="3247" l="1"/>
  <c r="T130" i="3247" l="1"/>
  <c r="S131" i="3247" l="1"/>
  <c r="T131" i="3247" s="1"/>
  <c r="S132" i="3247" l="1"/>
  <c r="T132" i="3247" s="1"/>
  <c r="A133" i="3247" l="1"/>
  <c r="B133" i="3247"/>
  <c r="C133" i="3247"/>
  <c r="D133" i="3247"/>
  <c r="E133" i="3247"/>
  <c r="F133" i="3247"/>
  <c r="G133" i="3247"/>
  <c r="H133" i="3247"/>
  <c r="I133" i="3247"/>
  <c r="J133" i="3247"/>
  <c r="S133" i="3247" l="1"/>
  <c r="T133" i="3247"/>
  <c r="A134" i="3247" l="1"/>
  <c r="B134" i="3247"/>
  <c r="M134" i="3247" s="1"/>
  <c r="C134" i="3247"/>
  <c r="D134" i="3247"/>
  <c r="E134" i="3247"/>
  <c r="F134" i="3247"/>
  <c r="G134" i="3247"/>
  <c r="H134" i="3247"/>
  <c r="I134" i="3247"/>
  <c r="J134" i="3247"/>
  <c r="K134" i="3247"/>
  <c r="L134" i="3247"/>
  <c r="N134" i="3247"/>
  <c r="S134" i="3247" l="1"/>
  <c r="T134" i="3247" l="1"/>
  <c r="S135" i="3247"/>
  <c r="T135" i="3247" l="1"/>
  <c r="S136" i="3247"/>
  <c r="T136" i="3247" l="1"/>
  <c r="S137" i="3247"/>
  <c r="T137" i="3247" s="1"/>
  <c r="S138" i="3247" l="1"/>
  <c r="T138" i="3247" s="1"/>
  <c r="S139" i="3247" l="1"/>
  <c r="T139" i="3247"/>
  <c r="D140" i="3247" l="1"/>
  <c r="S140" i="3247" l="1"/>
  <c r="T140" i="3247" l="1"/>
  <c r="D141" i="3247"/>
  <c r="S141" i="3247" l="1"/>
  <c r="T141" i="3247" l="1"/>
  <c r="D142" i="3247"/>
  <c r="S142" i="3247" l="1"/>
  <c r="T142" i="3247" l="1"/>
  <c r="D143" i="3247"/>
  <c r="S143" i="3247" l="1"/>
  <c r="T143" i="3247" l="1"/>
  <c r="S144" i="3247"/>
  <c r="T144" i="3247" l="1"/>
  <c r="K145" i="3247"/>
  <c r="L145" i="3247" l="1"/>
  <c r="S145" i="3247"/>
  <c r="T145" i="3247" s="1"/>
  <c r="S146" i="3247" l="1"/>
  <c r="T146" i="3247"/>
  <c r="A147" i="3247" l="1"/>
  <c r="J147" i="3247"/>
  <c r="S147" i="3247" l="1"/>
  <c r="T147" i="3247" l="1"/>
  <c r="A148" i="3247"/>
  <c r="J148" i="3247"/>
  <c r="S148" i="3247" l="1"/>
  <c r="T148" i="3247" l="1"/>
  <c r="A149" i="3247"/>
  <c r="J149" i="3247"/>
  <c r="S149" i="3247" l="1"/>
  <c r="T149" i="3247" l="1"/>
  <c r="A150" i="3247"/>
  <c r="J150" i="3247"/>
  <c r="S150" i="3247" l="1"/>
  <c r="T150" i="3247" l="1"/>
  <c r="A151" i="3247"/>
  <c r="J151" i="3247"/>
  <c r="S151" i="3247" l="1"/>
  <c r="T151" i="3247" l="1"/>
  <c r="A152" i="3247"/>
  <c r="J152" i="3247"/>
  <c r="S152" i="3247" l="1"/>
  <c r="T152" i="3247"/>
  <c r="A153" i="3247" l="1"/>
  <c r="J153" i="3247"/>
  <c r="S153" i="3247" l="1"/>
  <c r="T153" i="3247" s="1"/>
  <c r="A154" i="3247" l="1"/>
  <c r="G154" i="3247"/>
  <c r="J154" i="3247"/>
  <c r="S154" i="3247" l="1"/>
  <c r="T154" i="3247"/>
  <c r="A155" i="3247" l="1"/>
  <c r="J155" i="3247"/>
  <c r="S155" i="3247" l="1"/>
  <c r="T155" i="3247" l="1"/>
  <c r="A156" i="3247"/>
  <c r="J156" i="3247"/>
  <c r="S156" i="3247" l="1"/>
  <c r="T156" i="3247" l="1"/>
  <c r="S157" i="3247"/>
  <c r="T157" i="3247" l="1"/>
  <c r="A158" i="3247"/>
  <c r="J158" i="3247"/>
  <c r="S158" i="3247" l="1"/>
  <c r="T158" i="3247" l="1"/>
  <c r="S159" i="3247"/>
  <c r="T159" i="3247" s="1"/>
  <c r="A160" i="3247" l="1"/>
  <c r="J160" i="3247"/>
  <c r="M160" i="3247"/>
  <c r="S160" i="3247" l="1"/>
  <c r="T160" i="3247"/>
  <c r="A161" i="3247" l="1"/>
  <c r="J161" i="3247"/>
  <c r="S161" i="3247" l="1"/>
  <c r="T161" i="3247" l="1"/>
  <c r="A162" i="3247"/>
  <c r="J162" i="3247"/>
  <c r="S162" i="3247" l="1"/>
  <c r="T162" i="3247" l="1"/>
  <c r="A163" i="3247"/>
  <c r="J163" i="3247"/>
  <c r="N163" i="3247"/>
  <c r="S163" i="3247" l="1"/>
  <c r="T163" i="3247" l="1"/>
  <c r="A164" i="3247"/>
  <c r="B164" i="3247"/>
  <c r="J164" i="3247"/>
  <c r="N164" i="3247"/>
  <c r="S164" i="3247" l="1"/>
  <c r="T164" i="3247" l="1"/>
  <c r="A165" i="3247"/>
  <c r="G165" i="3247"/>
  <c r="S165" i="3247" l="1"/>
  <c r="T165" i="3247" l="1"/>
  <c r="J166" i="3247"/>
  <c r="S166" i="3247" l="1"/>
  <c r="T166" i="3247"/>
  <c r="A167" i="3247" l="1"/>
  <c r="J167" i="3247"/>
  <c r="S167" i="3247" l="1"/>
  <c r="T167" i="3247" s="1"/>
  <c r="A168" i="3247" l="1"/>
  <c r="J168" i="3247"/>
  <c r="S168" i="3247" l="1"/>
  <c r="T168" i="3247" l="1"/>
  <c r="A169" i="3247"/>
  <c r="J169" i="3247"/>
  <c r="S169" i="3247" l="1"/>
  <c r="T169" i="3247" s="1"/>
  <c r="A170" i="3247" l="1"/>
  <c r="J170" i="3247"/>
  <c r="S170" i="3247" l="1"/>
  <c r="T170" i="3247" l="1"/>
  <c r="A171" i="3247"/>
  <c r="J171" i="3247"/>
  <c r="K171" i="3247"/>
  <c r="S171" i="3247" l="1"/>
  <c r="T171" i="3247" l="1"/>
  <c r="A172" i="3247"/>
  <c r="J172" i="3247"/>
  <c r="S172" i="3247" l="1"/>
  <c r="T172" i="3247" l="1"/>
  <c r="A173" i="3247"/>
  <c r="S173" i="3247" l="1"/>
  <c r="T173" i="3247" s="1"/>
  <c r="A174" i="3247" l="1"/>
  <c r="J174" i="3247"/>
  <c r="S174" i="3247" l="1"/>
  <c r="T174" i="3247" s="1"/>
  <c r="A175" i="3247" l="1"/>
  <c r="J175" i="3247"/>
  <c r="S175" i="3247" l="1"/>
  <c r="T175" i="3247" l="1"/>
  <c r="A176" i="3247"/>
  <c r="J176" i="3247"/>
  <c r="S176" i="3247" l="1"/>
  <c r="T176" i="3247" l="1"/>
  <c r="J177" i="3247"/>
  <c r="N177" i="3247"/>
  <c r="S177" i="3247" l="1"/>
  <c r="T177" i="3247" l="1"/>
  <c r="A178" i="3247"/>
  <c r="J178" i="3247"/>
  <c r="S178" i="3247" l="1"/>
  <c r="T178" i="3247" l="1"/>
  <c r="A179" i="3247"/>
  <c r="J179" i="3247"/>
  <c r="S179" i="3247" l="1"/>
  <c r="T179" i="3247" l="1"/>
  <c r="A180" i="3247"/>
  <c r="H180" i="3247"/>
  <c r="J180" i="3247"/>
  <c r="S180" i="3247" l="1"/>
  <c r="T180" i="3247" s="1"/>
  <c r="A181" i="3247" l="1"/>
  <c r="H181" i="3247"/>
  <c r="J181" i="3247"/>
  <c r="N181" i="3247"/>
  <c r="S181" i="3247" l="1"/>
  <c r="T181" i="3247" s="1"/>
  <c r="A182" i="3247" l="1"/>
  <c r="J182" i="3247"/>
  <c r="N182" i="3247"/>
  <c r="S182" i="3247" l="1"/>
  <c r="T182" i="3247" l="1"/>
  <c r="A183" i="3247"/>
  <c r="G183" i="3247"/>
  <c r="J183" i="3247"/>
  <c r="S183" i="3247" l="1"/>
  <c r="T183" i="3247" l="1"/>
  <c r="A184" i="3247"/>
  <c r="J184" i="3247"/>
  <c r="O184" i="3247"/>
  <c r="S184" i="3247" l="1"/>
  <c r="T184" i="3247" l="1"/>
  <c r="A185" i="3247"/>
  <c r="J185" i="3247"/>
  <c r="O185" i="3247"/>
  <c r="S185" i="3247" l="1"/>
  <c r="T185" i="3247" l="1"/>
  <c r="A186" i="3247"/>
  <c r="C186" i="3247"/>
  <c r="D186" i="3247"/>
  <c r="J186" i="3247"/>
  <c r="N186" i="3247"/>
  <c r="S186" i="3247" l="1"/>
  <c r="T186" i="3247" l="1"/>
  <c r="A187" i="3247"/>
  <c r="C187" i="3247"/>
  <c r="D187" i="3247"/>
  <c r="G187" i="3247"/>
  <c r="J187" i="3247"/>
  <c r="N187" i="3247"/>
  <c r="S187" i="3247" l="1"/>
  <c r="T187" i="3247" s="1"/>
  <c r="S188" i="3247" l="1"/>
  <c r="T188" i="3247" s="1"/>
  <c r="A189" i="3247" l="1"/>
  <c r="J189" i="3247"/>
  <c r="N189" i="3247"/>
  <c r="S189" i="3247" l="1"/>
  <c r="T189" i="3247" l="1"/>
  <c r="A190" i="3247"/>
  <c r="G190" i="3247"/>
  <c r="J190" i="3247"/>
  <c r="N190" i="3247"/>
  <c r="S190" i="3247" l="1"/>
  <c r="T190" i="3247" l="1"/>
  <c r="A191" i="3247"/>
  <c r="J191" i="3247"/>
  <c r="N191" i="3247"/>
  <c r="S191" i="3247" l="1"/>
  <c r="T191" i="3247" l="1"/>
  <c r="A192" i="3247"/>
  <c r="J192" i="3247"/>
  <c r="N192" i="3247"/>
  <c r="S192" i="3247" l="1"/>
  <c r="T192" i="3247" l="1"/>
  <c r="A193" i="3247"/>
  <c r="G193" i="3247"/>
  <c r="H193" i="3247"/>
  <c r="J193" i="3247"/>
  <c r="N193" i="3247"/>
  <c r="S193" i="3247" l="1"/>
  <c r="T193" i="3247" l="1"/>
  <c r="A194" i="3247"/>
  <c r="F194" i="3247"/>
  <c r="J194" i="3247"/>
  <c r="S194" i="3247" l="1"/>
  <c r="T194" i="3247" s="1"/>
  <c r="A195" i="3247" l="1"/>
  <c r="C216" i="3247"/>
  <c r="D216" i="3247"/>
  <c r="E216" i="3247"/>
  <c r="F216" i="3247"/>
  <c r="G216" i="3247"/>
  <c r="H216" i="3247"/>
  <c r="I216" i="3247"/>
  <c r="J216" i="3247"/>
  <c r="K216" i="3247"/>
  <c r="L216" i="3247"/>
  <c r="M216" i="3247"/>
  <c r="G195" i="3247" s="1"/>
  <c r="H195" i="3247"/>
  <c r="J195" i="3247"/>
  <c r="S195" i="3247" l="1"/>
  <c r="T195" i="3247"/>
  <c r="A196" i="3247" l="1"/>
  <c r="F196" i="3247"/>
  <c r="J196" i="3247"/>
  <c r="S196" i="3247" l="1"/>
  <c r="T196" i="3247" l="1"/>
  <c r="A197" i="3247"/>
  <c r="F197" i="3247"/>
  <c r="G197" i="3247"/>
  <c r="J197" i="3247"/>
  <c r="N197" i="3247"/>
  <c r="S197" i="3247" l="1"/>
  <c r="T197" i="3247" l="1"/>
  <c r="A198" i="3247"/>
  <c r="G198" i="3247"/>
  <c r="J198" i="3247"/>
  <c r="N198" i="3247"/>
  <c r="S198" i="3247" l="1"/>
  <c r="T198" i="3247" l="1"/>
  <c r="A199" i="3247"/>
  <c r="F199" i="3247"/>
  <c r="J199" i="3247"/>
  <c r="N199" i="3247"/>
  <c r="S199" i="3247" l="1"/>
  <c r="T199" i="3247" l="1"/>
  <c r="S200" i="3247"/>
  <c r="T200" i="3247" l="1"/>
  <c r="S201" i="3247"/>
  <c r="T201" i="3247"/>
  <c r="S202" i="3247" l="1"/>
  <c r="T202" i="3247" s="1"/>
  <c r="S203" i="3247" l="1"/>
  <c r="T203" i="3247" l="1"/>
  <c r="S204" i="3247"/>
  <c r="T204" i="3247" l="1"/>
  <c r="G205" i="3247"/>
  <c r="N205" i="3247"/>
  <c r="S205" i="3247" l="1"/>
  <c r="T205" i="3247" l="1"/>
  <c r="N207" i="3247"/>
  <c r="N208" i="3247"/>
  <c r="N206" i="3247"/>
  <c r="G206" i="3247"/>
  <c r="S206" i="3247" l="1"/>
  <c r="T206" i="3247" l="1"/>
  <c r="G207" i="3247"/>
  <c r="S207" i="3247" l="1"/>
  <c r="T207" i="3247" l="1"/>
  <c r="G208" i="3247"/>
  <c r="S208" i="3247" l="1"/>
  <c r="T208" i="3247" s="1"/>
  <c r="G209" i="3247" l="1"/>
  <c r="N209" i="3247"/>
  <c r="S209" i="3247" l="1"/>
  <c r="T209" i="3247" s="1"/>
  <c r="S210" i="3247" l="1"/>
  <c r="T210" i="3247" l="1"/>
  <c r="S211" i="3247"/>
  <c r="T211" i="3247" l="1"/>
  <c r="S212" i="3247"/>
  <c r="T212" i="3247" l="1"/>
  <c r="C213" i="3247"/>
  <c r="S213" i="3247" l="1"/>
  <c r="T213" i="3247" l="1"/>
  <c r="S214" i="3247"/>
  <c r="T214" i="3247" l="1"/>
  <c r="M215" i="3247"/>
  <c r="S215" i="3247" l="1"/>
  <c r="T215" i="3247" s="1"/>
  <c r="S216" i="3247" l="1"/>
  <c r="T216" i="3247" s="1"/>
  <c r="C217" i="3247" l="1"/>
  <c r="D217" i="3247"/>
  <c r="E217" i="3247"/>
  <c r="F217" i="3247"/>
  <c r="G217" i="3247"/>
  <c r="H217" i="3247"/>
  <c r="I217" i="3247"/>
  <c r="J217" i="3247"/>
  <c r="K217" i="3247"/>
  <c r="L217" i="3247"/>
  <c r="M217" i="3247"/>
  <c r="S217" i="3247" l="1"/>
  <c r="T217" i="3247" l="1"/>
  <c r="M218" i="3247"/>
  <c r="S218" i="3247" l="1"/>
  <c r="T218" i="3247" l="1"/>
  <c r="C219" i="3247"/>
  <c r="D219" i="3247"/>
  <c r="E219" i="3247"/>
  <c r="F219" i="3247"/>
  <c r="G219" i="3247"/>
  <c r="H219" i="3247"/>
  <c r="I219" i="3247"/>
  <c r="J219" i="3247"/>
  <c r="K219" i="3247"/>
  <c r="L219" i="3247"/>
  <c r="M219" i="3247"/>
  <c r="S219" i="3247" l="1"/>
  <c r="T219" i="3247" l="1"/>
  <c r="C220" i="3247"/>
  <c r="D220" i="3247"/>
  <c r="E220" i="3247"/>
  <c r="F220" i="3247"/>
  <c r="G220" i="3247"/>
  <c r="H220" i="3247"/>
  <c r="I220" i="3247"/>
  <c r="J220" i="3247"/>
  <c r="K220" i="3247"/>
  <c r="L220" i="3247"/>
  <c r="S220" i="3247" l="1"/>
  <c r="T220" i="3247" l="1"/>
  <c r="S221" i="3247" l="1"/>
  <c r="T221" i="3247" l="1"/>
  <c r="C222" i="3247"/>
  <c r="D222" i="3247"/>
  <c r="E222" i="3247"/>
  <c r="F222" i="3247"/>
  <c r="G222" i="3247"/>
  <c r="H222" i="3247"/>
  <c r="I222" i="3247"/>
  <c r="J222" i="3247"/>
  <c r="K222" i="3247"/>
  <c r="L222" i="3247"/>
  <c r="M222" i="3247"/>
  <c r="S222" i="3247" l="1"/>
  <c r="T222" i="3247" s="1"/>
  <c r="C223" i="3247" l="1"/>
  <c r="D223" i="3247"/>
  <c r="E223" i="3247"/>
  <c r="F223" i="3247"/>
  <c r="G223" i="3247"/>
  <c r="H223" i="3247"/>
  <c r="I223" i="3247"/>
  <c r="J223" i="3247"/>
  <c r="K223" i="3247"/>
  <c r="L223" i="3247"/>
  <c r="S223" i="3247" l="1"/>
  <c r="T223" i="3247" s="1"/>
  <c r="S224" i="3247" l="1"/>
  <c r="T224" i="3247" l="1"/>
  <c r="C225" i="3247"/>
  <c r="D225" i="3247"/>
  <c r="E225" i="3247"/>
  <c r="F225" i="3247"/>
  <c r="G225" i="3247"/>
  <c r="H225" i="3247"/>
  <c r="I225" i="3247"/>
  <c r="J225" i="3247"/>
  <c r="K225" i="3247"/>
  <c r="L225" i="3247"/>
  <c r="M225" i="3247"/>
  <c r="S225" i="3247" l="1"/>
  <c r="T225" i="3247" l="1"/>
  <c r="C226" i="3247"/>
  <c r="D226" i="3247"/>
  <c r="E226" i="3247"/>
  <c r="F226" i="3247"/>
  <c r="G226" i="3247"/>
  <c r="H226" i="3247"/>
  <c r="I226" i="3247"/>
  <c r="J226" i="3247"/>
  <c r="K226" i="3247"/>
  <c r="L226" i="3247"/>
  <c r="S226" i="3247" l="1"/>
  <c r="T226" i="3247" l="1"/>
  <c r="S227" i="3247"/>
  <c r="T227" i="3247" l="1"/>
  <c r="M230" i="3247"/>
  <c r="G228" i="3247" s="1"/>
  <c r="S228" i="3247" l="1"/>
  <c r="T228" i="3247" l="1"/>
  <c r="A229" i="3247"/>
  <c r="M229" i="3247"/>
  <c r="C229" i="3247" s="1"/>
  <c r="D229" i="3247"/>
  <c r="E229" i="3247"/>
  <c r="F229" i="3247"/>
  <c r="G229" i="3247"/>
  <c r="H229" i="3247"/>
  <c r="I229" i="3247"/>
  <c r="J229" i="3247"/>
  <c r="K229" i="3247"/>
  <c r="L229" i="3247"/>
  <c r="S229" i="3247" l="1"/>
  <c r="T229" i="3247"/>
  <c r="A230" i="3247" l="1"/>
  <c r="S230" i="3247" l="1"/>
  <c r="T230" i="3247" s="1"/>
  <c r="A231" i="3247" l="1"/>
  <c r="C231" i="3247"/>
  <c r="D231" i="3247"/>
  <c r="E231" i="3247"/>
  <c r="F231" i="3247"/>
  <c r="G231" i="3247"/>
  <c r="H231" i="3247"/>
  <c r="I231" i="3247"/>
  <c r="J231" i="3247"/>
  <c r="K231" i="3247"/>
  <c r="L231" i="3247"/>
  <c r="S231" i="3247" l="1"/>
  <c r="T231" i="3247"/>
  <c r="M234" i="3247" l="1"/>
  <c r="G232" i="3247" s="1"/>
  <c r="S232" i="3247" l="1"/>
  <c r="T232" i="3247" l="1"/>
  <c r="A233" i="3247"/>
  <c r="M233" i="3247"/>
  <c r="C233" i="3247"/>
  <c r="D233" i="3247"/>
  <c r="E233" i="3247"/>
  <c r="F233" i="3247"/>
  <c r="G233" i="3247"/>
  <c r="H233" i="3247"/>
  <c r="I233" i="3247"/>
  <c r="J233" i="3247"/>
  <c r="K233" i="3247"/>
  <c r="L233" i="3247"/>
  <c r="S233" i="3247" l="1"/>
  <c r="T233" i="3247" l="1"/>
  <c r="A234" i="3247"/>
  <c r="S234" i="3247" l="1"/>
  <c r="T234" i="3247" l="1"/>
  <c r="A235" i="3247"/>
  <c r="C235" i="3247"/>
  <c r="D235" i="3247"/>
  <c r="E235" i="3247"/>
  <c r="F235" i="3247"/>
  <c r="G235" i="3247"/>
  <c r="H235" i="3247"/>
  <c r="I235" i="3247"/>
  <c r="J235" i="3247"/>
  <c r="K235" i="3247"/>
  <c r="L235" i="3247"/>
  <c r="S235" i="3247" l="1"/>
  <c r="T235" i="3247" l="1"/>
  <c r="M238" i="3247"/>
  <c r="G236" i="3247" s="1"/>
  <c r="S236" i="3247" l="1"/>
  <c r="T236" i="3247"/>
  <c r="A237" i="3247" l="1"/>
  <c r="M237" i="3247"/>
  <c r="C237" i="3247" s="1"/>
  <c r="D237" i="3247"/>
  <c r="E237" i="3247"/>
  <c r="F237" i="3247"/>
  <c r="G237" i="3247"/>
  <c r="H237" i="3247"/>
  <c r="I237" i="3247"/>
  <c r="J237" i="3247"/>
  <c r="K237" i="3247"/>
  <c r="L237" i="3247"/>
  <c r="S237" i="3247" l="1"/>
  <c r="T237" i="3247" s="1"/>
  <c r="A238" i="3247" l="1"/>
  <c r="S238" i="3247" l="1"/>
  <c r="T238" i="3247" l="1"/>
  <c r="A239" i="3247"/>
  <c r="C239" i="3247"/>
  <c r="D239" i="3247"/>
  <c r="E239" i="3247"/>
  <c r="F239" i="3247"/>
  <c r="G239" i="3247"/>
  <c r="H239" i="3247"/>
  <c r="I239" i="3247"/>
  <c r="J239" i="3247"/>
  <c r="K239" i="3247"/>
  <c r="L239" i="3247"/>
  <c r="S239" i="3247" l="1"/>
  <c r="T239" i="3247" l="1"/>
  <c r="S240" i="3247"/>
  <c r="T240" i="3247" l="1"/>
  <c r="S241" i="3247"/>
  <c r="T241" i="3247" l="1"/>
  <c r="S242" i="3247"/>
  <c r="T242" i="3247" l="1"/>
  <c r="S243" i="3247"/>
  <c r="T243" i="3247" s="1"/>
  <c r="S244" i="3247" l="1"/>
  <c r="T244" i="3247" s="1"/>
  <c r="S245" i="3247" l="1"/>
  <c r="T245" i="3247" l="1"/>
  <c r="S246" i="3247"/>
  <c r="T246" i="3247" l="1"/>
  <c r="S247" i="3247"/>
  <c r="T247" i="3247" l="1"/>
  <c r="S248" i="3247"/>
  <c r="T248" i="3247" l="1"/>
  <c r="C249" i="3247"/>
  <c r="D249" i="3247"/>
  <c r="E249" i="3247"/>
  <c r="F249" i="3247"/>
  <c r="G249" i="3247"/>
  <c r="S249" i="3247" l="1"/>
  <c r="T249" i="3247" l="1"/>
  <c r="S250" i="3247"/>
  <c r="T250" i="3247" s="1"/>
  <c r="S251" i="3247" l="1"/>
  <c r="T251" i="3247"/>
  <c r="S252" i="3247" l="1"/>
  <c r="T252" i="3247" l="1"/>
  <c r="S253" i="3247"/>
  <c r="T253" i="3247" l="1"/>
  <c r="S254" i="3247" l="1"/>
  <c r="T254" i="3247" l="1"/>
  <c r="A255" i="3247"/>
  <c r="S255" i="3247" l="1"/>
  <c r="T255" i="3247" l="1"/>
  <c r="N256" i="3247"/>
  <c r="S256" i="3247" l="1"/>
  <c r="T256" i="3247" l="1"/>
  <c r="S257" i="3247" l="1"/>
  <c r="T257" i="3247"/>
  <c r="A258" i="3247" l="1"/>
  <c r="S258" i="3247" l="1"/>
  <c r="T258" i="3247" s="1"/>
  <c r="S259" i="3247" l="1"/>
  <c r="T259" i="3247" l="1"/>
  <c r="A260" i="3247"/>
  <c r="S260" i="3247" l="1"/>
  <c r="T260" i="3247" l="1"/>
  <c r="S261" i="3247"/>
  <c r="T261" i="3247" l="1"/>
  <c r="A262" i="3247"/>
  <c r="S262" i="3247" l="1"/>
  <c r="T262" i="3247" l="1"/>
  <c r="S263" i="3247" l="1"/>
  <c r="T263" i="3247" l="1"/>
  <c r="A264" i="3247"/>
  <c r="S264" i="3247" l="1"/>
  <c r="T264" i="3247" s="1"/>
  <c r="L265" i="3247" l="1"/>
  <c r="M265" i="3247"/>
  <c r="S265" i="3247" l="1"/>
  <c r="T265" i="3247" s="1"/>
  <c r="A266" i="3247" l="1"/>
  <c r="S266" i="3247" l="1"/>
  <c r="T266" i="3247" l="1"/>
  <c r="A267" i="3247"/>
  <c r="S267" i="3247" l="1"/>
  <c r="T267" i="3247" l="1"/>
  <c r="S268" i="3247" l="1"/>
  <c r="T268" i="3247" l="1"/>
  <c r="S269" i="3247" l="1"/>
  <c r="T269" i="3247" l="1"/>
  <c r="S270" i="3247"/>
  <c r="T270" i="3247" l="1"/>
  <c r="S271" i="3247"/>
  <c r="T271" i="3247" s="1"/>
  <c r="S272" i="3247" l="1"/>
  <c r="T272" i="3247" s="1"/>
  <c r="S273" i="3247" l="1"/>
  <c r="T273" i="3247" l="1"/>
  <c r="A274" i="3247"/>
  <c r="S274" i="3247" l="1"/>
  <c r="T274" i="3247" l="1"/>
  <c r="A275" i="3247"/>
  <c r="S275" i="3247" l="1"/>
  <c r="T275" i="3247" l="1"/>
  <c r="A276" i="3247"/>
  <c r="S276" i="3247" l="1"/>
  <c r="T276" i="3247" l="1"/>
  <c r="S277" i="3247" l="1"/>
  <c r="T277" i="3247" l="1"/>
  <c r="S278" i="3247" l="1"/>
  <c r="T278" i="3247" s="1"/>
  <c r="S279" i="3247" l="1"/>
  <c r="T279" i="3247" s="1"/>
  <c r="A280" i="3247" l="1"/>
  <c r="S280" i="3247" l="1"/>
  <c r="T280" i="3247" l="1"/>
  <c r="S281" i="3247" l="1"/>
  <c r="T281" i="3247" l="1"/>
  <c r="S282" i="3247" l="1"/>
  <c r="T282" i="3247" l="1"/>
  <c r="S283" i="3247"/>
  <c r="T283" i="3247" l="1"/>
  <c r="S284" i="3247"/>
  <c r="T284" i="3247" l="1"/>
  <c r="S285" i="3247"/>
  <c r="T285" i="3247" s="1"/>
  <c r="A286" i="3247" l="1"/>
  <c r="S286" i="3247" l="1"/>
  <c r="T286" i="3247" s="1"/>
  <c r="A287" i="3247" l="1"/>
  <c r="S287" i="3247" l="1"/>
  <c r="T287" i="3247" l="1"/>
  <c r="S288" i="3247"/>
  <c r="T288" i="3247" l="1"/>
  <c r="S289" i="3247"/>
  <c r="T289" i="3247" l="1"/>
  <c r="S290" i="3247"/>
  <c r="T290" i="3247" l="1"/>
  <c r="S291" i="3247"/>
  <c r="T291" i="3247" l="1"/>
  <c r="S292" i="3247"/>
  <c r="T292" i="3247" s="1"/>
  <c r="S293" i="3247" l="1"/>
  <c r="T293" i="3247" s="1"/>
  <c r="A294" i="3247" l="1"/>
  <c r="S294" i="3247" l="1"/>
  <c r="T294" i="3247" l="1"/>
  <c r="A295" i="3247"/>
  <c r="S295" i="3247" l="1"/>
  <c r="T295" i="3247" l="1"/>
  <c r="A296" i="3247"/>
  <c r="S296" i="3247" l="1"/>
  <c r="T296" i="3247" l="1"/>
  <c r="A297" i="3247"/>
  <c r="S297" i="3247" l="1"/>
  <c r="T297" i="3247" l="1"/>
  <c r="A298" i="3247"/>
  <c r="S298" i="3247" l="1"/>
  <c r="T298" i="3247" l="1"/>
  <c r="A299" i="3247"/>
  <c r="S299" i="3247" l="1"/>
  <c r="T299" i="3247" s="1"/>
  <c r="A300" i="3247" l="1"/>
  <c r="S300" i="3247" l="1"/>
  <c r="T300" i="3247"/>
  <c r="A301" i="3247" l="1"/>
  <c r="S301" i="3247" l="1"/>
  <c r="T301" i="3247" l="1"/>
  <c r="A302" i="3247"/>
  <c r="S302" i="3247" l="1"/>
  <c r="T302" i="3247" l="1"/>
  <c r="A303" i="3247"/>
  <c r="S303" i="3247" l="1"/>
  <c r="T303" i="3247" l="1"/>
  <c r="S304" i="3247"/>
  <c r="T304" i="3247" l="1"/>
  <c r="S305" i="3247"/>
  <c r="T305" i="3247" l="1"/>
  <c r="S306" i="3247" l="1"/>
  <c r="T306" i="3247" s="1"/>
  <c r="S307" i="3247" l="1"/>
  <c r="T307" i="3247" s="1"/>
  <c r="S308" i="3247" l="1"/>
  <c r="T308" i="3247" l="1"/>
  <c r="S309" i="3247" l="1"/>
  <c r="T309" i="3247" l="1"/>
  <c r="A310" i="3247"/>
  <c r="S310" i="3247" l="1"/>
  <c r="T310" i="3247" l="1"/>
  <c r="A311" i="3247"/>
  <c r="S311" i="3247" l="1"/>
  <c r="T311" i="3247" s="1"/>
  <c r="A312" i="3247" l="1"/>
  <c r="S312" i="3247" l="1"/>
  <c r="T312" i="3247" l="1"/>
  <c r="A313" i="3247"/>
  <c r="S313" i="3247" l="1"/>
  <c r="T313" i="3247" s="1"/>
  <c r="S314" i="3247" l="1"/>
  <c r="T314" i="3247" s="1"/>
  <c r="S315" i="3247" l="1"/>
  <c r="T315" i="3247" l="1"/>
  <c r="S316" i="3247"/>
  <c r="T316" i="3247" l="1"/>
  <c r="S317" i="3247"/>
  <c r="T317" i="3247" l="1"/>
  <c r="S318" i="3247"/>
  <c r="T318" i="3247" l="1"/>
  <c r="S319" i="3247"/>
  <c r="T319" i="3247" l="1"/>
  <c r="A320" i="3247"/>
  <c r="S320" i="3247" l="1"/>
  <c r="T320" i="3247" s="1"/>
  <c r="S321" i="3247" l="1"/>
  <c r="T321" i="3247"/>
  <c r="S322" i="3247" l="1"/>
  <c r="T322" i="3247" l="1"/>
  <c r="S323" i="3247" l="1"/>
  <c r="T323" i="3247" l="1"/>
  <c r="S324" i="3247"/>
  <c r="T324" i="3247" l="1"/>
  <c r="S325" i="3247"/>
  <c r="T325" i="3247" l="1"/>
  <c r="S326" i="3247"/>
  <c r="T326" i="3247" l="1"/>
  <c r="A327" i="3247"/>
  <c r="S327" i="3247" l="1"/>
  <c r="T327" i="3247"/>
  <c r="A328" i="3247" l="1"/>
  <c r="S328" i="3247" l="1"/>
  <c r="T328" i="3247"/>
  <c r="S329" i="3247" l="1"/>
  <c r="T329" i="3247" l="1"/>
  <c r="S330" i="3247" l="1"/>
  <c r="T330" i="3247" l="1"/>
  <c r="S331" i="3247" l="1"/>
  <c r="T331" i="3247" l="1"/>
  <c r="A332" i="3247"/>
  <c r="S332" i="3247" l="1"/>
  <c r="T332" i="3247" l="1"/>
  <c r="A333" i="3247"/>
  <c r="S333" i="3247" l="1"/>
  <c r="T333" i="3247" l="1"/>
  <c r="S334" i="3247"/>
  <c r="T334" i="3247" s="1"/>
  <c r="A335" i="3247" l="1"/>
  <c r="S335" i="3247" l="1"/>
  <c r="T335" i="3247" s="1"/>
  <c r="S336" i="3247" l="1"/>
  <c r="T336" i="3247" l="1"/>
  <c r="S337" i="3247"/>
  <c r="T337" i="3247" l="1"/>
  <c r="S338" i="3247"/>
  <c r="T338" i="3247" l="1"/>
  <c r="S339" i="3247"/>
  <c r="T339" i="3247" l="1"/>
  <c r="A340" i="3247"/>
  <c r="S340" i="3247" l="1"/>
  <c r="T340" i="3247" l="1"/>
  <c r="A341" i="3247"/>
  <c r="S341" i="3247" l="1"/>
  <c r="T341" i="3247" s="1"/>
  <c r="S342" i="3247" l="1"/>
  <c r="T342" i="3247" s="1"/>
  <c r="S343" i="3247" l="1"/>
  <c r="T343" i="3247" s="1"/>
  <c r="A344" i="3247" l="1"/>
  <c r="S344" i="3247" l="1"/>
  <c r="T344" i="3247" l="1"/>
  <c r="S345" i="3247"/>
  <c r="T345" i="3247" l="1"/>
  <c r="A346" i="3247"/>
  <c r="S346" i="3247" l="1"/>
  <c r="T346" i="3247" l="1"/>
  <c r="S347" i="3247"/>
  <c r="T347" i="3247" l="1"/>
  <c r="A348" i="3247"/>
  <c r="S348" i="3247" l="1"/>
  <c r="T348" i="3247" s="1"/>
  <c r="A349" i="3247" l="1"/>
  <c r="S349" i="3247" l="1"/>
  <c r="T349" i="3247" s="1"/>
  <c r="S350" i="3247" l="1"/>
  <c r="T350" i="3247"/>
  <c r="S351" i="3247" l="1"/>
  <c r="T351" i="3247" l="1"/>
  <c r="S352" i="3247" l="1"/>
  <c r="T352" i="3247" l="1"/>
  <c r="S353" i="3247" l="1"/>
  <c r="T353" i="3247" l="1"/>
  <c r="S354" i="3247"/>
  <c r="T354" i="3247" l="1"/>
  <c r="S355" i="3247"/>
  <c r="T355" i="3247" s="1"/>
  <c r="S356" i="3247" l="1"/>
  <c r="T356" i="3247"/>
  <c r="S357" i="3247" l="1"/>
  <c r="T357" i="3247" l="1"/>
  <c r="S358" i="3247" l="1"/>
  <c r="T358" i="3247" l="1"/>
  <c r="S359" i="3247" l="1"/>
  <c r="T359" i="3247" l="1"/>
  <c r="S360" i="3247" l="1"/>
  <c r="T360" i="3247" l="1"/>
  <c r="A361" i="3247"/>
  <c r="S361" i="3247" l="1"/>
  <c r="T361" i="3247" l="1"/>
  <c r="K362" i="3247"/>
  <c r="L362" i="3247"/>
  <c r="M362" i="3247"/>
  <c r="S362" i="3247" l="1"/>
  <c r="T362" i="3247"/>
  <c r="L363" i="3247" l="1"/>
  <c r="M363" i="3247"/>
  <c r="S363" i="3247" l="1"/>
  <c r="T363" i="3247"/>
  <c r="L364" i="3247" l="1"/>
  <c r="M364" i="3247"/>
  <c r="S364" i="3247" l="1"/>
  <c r="T364" i="3247"/>
  <c r="M365" i="3247" l="1"/>
  <c r="S365" i="3247" l="1"/>
  <c r="T365" i="3247" l="1"/>
  <c r="S366" i="3247"/>
  <c r="T366" i="3247" l="1"/>
  <c r="S367" i="3247"/>
  <c r="T367" i="3247" l="1"/>
  <c r="S368" i="3247" l="1"/>
  <c r="T368" i="3247" l="1"/>
  <c r="S369" i="3247" l="1"/>
  <c r="T369" i="3247" s="1"/>
  <c r="S370" i="3247" l="1"/>
  <c r="T370" i="3247" s="1"/>
  <c r="S371" i="3247" l="1"/>
  <c r="T371" i="3247" l="1"/>
  <c r="S372" i="3247" l="1"/>
  <c r="T372" i="3247" l="1"/>
  <c r="S373" i="3247" l="1"/>
  <c r="T373" i="3247" l="1"/>
  <c r="S374" i="3247"/>
  <c r="T374" i="3247" l="1"/>
  <c r="S375" i="3247"/>
  <c r="T375" i="3247" l="1"/>
  <c r="S376" i="3247"/>
  <c r="T376" i="3247" s="1"/>
  <c r="S377" i="3247" l="1"/>
  <c r="T377" i="3247" s="1"/>
  <c r="S378" i="3247" l="1"/>
  <c r="T378" i="3247" l="1"/>
  <c r="S379" i="3247"/>
  <c r="T379" i="3247" l="1"/>
  <c r="S380" i="3247"/>
  <c r="T380" i="3247" l="1"/>
  <c r="S381" i="3247"/>
  <c r="T381" i="3247" l="1"/>
  <c r="S382" i="3247"/>
  <c r="T382" i="3247" l="1"/>
  <c r="S383" i="3247"/>
  <c r="T383" i="3247" s="1"/>
  <c r="S384" i="3247" l="1"/>
  <c r="T384" i="3247"/>
  <c r="S385" i="3247" l="1"/>
  <c r="T385" i="3247" l="1"/>
  <c r="S386" i="3247"/>
  <c r="T386" i="3247" l="1"/>
  <c r="S387" i="3247"/>
  <c r="T387" i="3247" l="1"/>
  <c r="S388" i="3247"/>
  <c r="T388" i="3247" l="1"/>
  <c r="S389" i="3247"/>
  <c r="T389" i="3247" l="1"/>
  <c r="S390" i="3247"/>
  <c r="T390" i="3247" s="1"/>
  <c r="S391" i="3247" l="1"/>
  <c r="T391" i="3247"/>
  <c r="S392" i="3247" l="1"/>
  <c r="T392" i="3247" l="1"/>
  <c r="S393" i="3247"/>
  <c r="T393" i="3247" l="1"/>
  <c r="S394" i="3247"/>
  <c r="T394" i="3247" l="1"/>
  <c r="S395" i="3247"/>
  <c r="T395" i="3247" l="1"/>
  <c r="S396" i="3247"/>
  <c r="T396" i="3247" l="1"/>
  <c r="S397" i="3247"/>
  <c r="T397" i="3247" s="1"/>
  <c r="S398" i="3247" l="1"/>
  <c r="T398" i="3247" s="1"/>
  <c r="S399" i="3247" l="1"/>
  <c r="T399" i="3247"/>
  <c r="S400" i="3247" l="1"/>
  <c r="T400" i="3247" l="1"/>
  <c r="S401" i="3247"/>
  <c r="T401" i="3247" l="1"/>
  <c r="S402" i="3247"/>
  <c r="T402" i="3247" l="1"/>
  <c r="S403" i="3247"/>
  <c r="T403" i="3247" l="1"/>
  <c r="S404" i="3247"/>
  <c r="T404" i="3247" s="1"/>
  <c r="S405" i="3247" l="1"/>
  <c r="T405" i="3247" s="1"/>
  <c r="S406" i="3247" l="1"/>
  <c r="T406" i="3247" l="1"/>
  <c r="S407" i="3247"/>
  <c r="T407" i="3247" l="1"/>
  <c r="S408" i="3247"/>
  <c r="T408" i="3247" l="1"/>
  <c r="S409" i="3247"/>
  <c r="T409" i="3247" l="1"/>
  <c r="S410" i="3247"/>
  <c r="T410" i="3247" l="1"/>
  <c r="S411" i="3247"/>
  <c r="T411" i="3247" s="1"/>
  <c r="S412" i="3247" l="1"/>
  <c r="T412" i="3247"/>
  <c r="S413" i="3247" l="1"/>
  <c r="T413" i="3247" l="1"/>
  <c r="S414" i="3247"/>
  <c r="T414" i="3247" l="1"/>
  <c r="S415" i="3247"/>
  <c r="T415" i="3247" l="1"/>
  <c r="S416" i="3247"/>
  <c r="T416" i="3247" l="1"/>
  <c r="S417" i="3247"/>
  <c r="T417" i="3247" l="1"/>
  <c r="S418" i="3247"/>
  <c r="T418" i="3247"/>
  <c r="S419" i="3247" l="1"/>
  <c r="T419" i="3247"/>
  <c r="S420" i="3247" l="1"/>
  <c r="T420" i="3247" l="1"/>
  <c r="S421" i="3247"/>
  <c r="T421" i="3247" l="1"/>
  <c r="S422" i="3247"/>
  <c r="T422" i="3247" l="1"/>
  <c r="S423" i="3247"/>
  <c r="T423" i="3247" l="1"/>
  <c r="S424" i="3247"/>
  <c r="T424" i="3247" l="1"/>
  <c r="S425" i="3247"/>
  <c r="T425" i="3247" s="1"/>
  <c r="S426" i="3247" l="1"/>
  <c r="T426" i="3247" s="1"/>
  <c r="S427" i="3247" l="1"/>
  <c r="T427" i="3247" l="1"/>
  <c r="S428" i="3247"/>
  <c r="T428" i="3247" l="1"/>
  <c r="S429" i="3247"/>
  <c r="T429" i="3247" l="1"/>
  <c r="S430" i="3247"/>
  <c r="T430" i="3247" l="1"/>
  <c r="S431" i="3247"/>
  <c r="T431" i="3247" l="1"/>
  <c r="S432" i="3247"/>
  <c r="T432" i="3247"/>
  <c r="S433" i="3247" l="1"/>
  <c r="T433" i="3247" s="1"/>
  <c r="S434" i="3247" l="1"/>
  <c r="T434" i="3247" l="1"/>
  <c r="S435" i="3247"/>
  <c r="T435" i="3247" l="1"/>
  <c r="S436" i="3247"/>
  <c r="T436" i="3247" l="1"/>
  <c r="S437" i="3247"/>
  <c r="T437" i="3247" l="1"/>
  <c r="S438" i="3247"/>
  <c r="T438" i="3247" s="1"/>
  <c r="S439" i="3247" l="1"/>
  <c r="T439" i="3247" s="1"/>
  <c r="S440" i="3247" l="1"/>
  <c r="T440" i="3247" s="1"/>
  <c r="S441" i="3247" l="1"/>
  <c r="T441" i="3247" l="1"/>
  <c r="S442" i="3247"/>
  <c r="T442" i="3247" l="1"/>
  <c r="S443" i="3247"/>
  <c r="T443" i="3247" l="1"/>
  <c r="S444" i="3247"/>
  <c r="T444" i="3247" l="1"/>
  <c r="S445" i="3247"/>
  <c r="T445" i="3247" l="1"/>
  <c r="S446" i="3247"/>
  <c r="T446" i="3247" s="1"/>
  <c r="S447" i="3247" l="1"/>
  <c r="T447" i="3247"/>
  <c r="S448" i="3247" l="1"/>
  <c r="T448" i="3247" l="1"/>
  <c r="S449" i="3247"/>
  <c r="T449" i="3247" l="1"/>
  <c r="S450" i="3247"/>
  <c r="T450" i="3247" l="1"/>
  <c r="S451" i="3247"/>
  <c r="T451" i="3247" l="1"/>
  <c r="S452" i="3247"/>
  <c r="T452" i="3247" l="1"/>
  <c r="S453" i="3247"/>
  <c r="T453" i="3247"/>
  <c r="S454" i="3247" l="1"/>
  <c r="T454" i="3247" s="1"/>
  <c r="S455" i="3247" l="1"/>
  <c r="T455" i="3247" l="1"/>
  <c r="S456" i="3247"/>
  <c r="T456" i="3247" l="1"/>
  <c r="S457" i="3247"/>
  <c r="T457" i="3247" l="1"/>
  <c r="S458" i="3247"/>
  <c r="T458" i="3247" l="1"/>
  <c r="S459" i="3247"/>
  <c r="T459" i="3247" l="1"/>
  <c r="S460" i="3247"/>
  <c r="T460" i="3247" s="1"/>
  <c r="S461" i="3247" l="1"/>
  <c r="T461" i="3247" s="1"/>
  <c r="S462" i="3247" l="1"/>
  <c r="T462" i="3247" l="1"/>
  <c r="S463" i="3247"/>
  <c r="T463" i="3247" l="1"/>
  <c r="S464" i="3247"/>
  <c r="T464" i="3247" l="1"/>
  <c r="S465" i="3247"/>
  <c r="T465" i="3247" l="1"/>
  <c r="S466" i="3247"/>
  <c r="T466" i="3247" l="1"/>
  <c r="S467" i="3247"/>
  <c r="T467" i="3247" s="1"/>
  <c r="S468" i="3247" l="1"/>
  <c r="T468" i="3247" s="1"/>
  <c r="S469" i="3247" l="1"/>
  <c r="T469" i="3247" l="1"/>
  <c r="S470" i="3247"/>
  <c r="T470" i="3247" l="1"/>
  <c r="S471" i="3247"/>
  <c r="T471" i="3247" l="1"/>
  <c r="S472" i="3247"/>
  <c r="T472" i="3247" l="1"/>
  <c r="S473" i="3247"/>
  <c r="T473" i="3247" l="1"/>
  <c r="S474" i="3247"/>
  <c r="T474" i="3247" s="1"/>
  <c r="S475" i="3247" l="1"/>
  <c r="T475" i="3247"/>
  <c r="S476" i="3247" l="1"/>
  <c r="T476" i="3247" l="1"/>
  <c r="S477" i="3247"/>
  <c r="T477" i="3247" l="1"/>
  <c r="S478" i="3247"/>
  <c r="T478" i="3247" l="1"/>
  <c r="S479" i="3247"/>
  <c r="T479" i="3247" l="1"/>
  <c r="S480" i="3247"/>
  <c r="T480" i="3247" l="1"/>
  <c r="S481" i="3247"/>
  <c r="T481" i="3247" s="1"/>
  <c r="S482" i="3247" l="1"/>
  <c r="T482" i="3247"/>
  <c r="S483" i="3247" l="1"/>
  <c r="T483" i="3247" l="1"/>
  <c r="S484" i="3247"/>
  <c r="T484" i="3247" l="1"/>
  <c r="S485" i="3247"/>
  <c r="T485" i="3247" l="1"/>
  <c r="S486" i="3247"/>
  <c r="T486" i="3247" l="1"/>
  <c r="S487" i="3247"/>
  <c r="T487" i="3247" l="1"/>
  <c r="S488" i="3247"/>
  <c r="T488" i="3247" s="1"/>
  <c r="S489" i="3247" l="1"/>
  <c r="T489" i="3247"/>
  <c r="S490" i="3247" l="1"/>
  <c r="T490" i="3247" l="1"/>
  <c r="S491" i="3247"/>
  <c r="T491" i="3247" l="1"/>
  <c r="S492" i="3247"/>
  <c r="T492" i="3247" l="1"/>
  <c r="S493" i="3247"/>
  <c r="T493" i="3247" l="1"/>
  <c r="S494" i="3247"/>
  <c r="T494" i="3247" l="1"/>
  <c r="S495" i="3247"/>
  <c r="T495" i="3247" s="1"/>
  <c r="S496" i="3247" l="1"/>
  <c r="T496" i="3247"/>
  <c r="S497" i="3247" l="1"/>
  <c r="T497" i="3247"/>
  <c r="S498" i="3247" l="1"/>
  <c r="T498" i="3247" l="1"/>
  <c r="S499" i="3247"/>
  <c r="T499" i="3247" l="1"/>
  <c r="S500" i="3247"/>
  <c r="T500" i="3247" l="1"/>
  <c r="S501" i="3247"/>
  <c r="T501" i="3247" l="1"/>
  <c r="S502" i="3247"/>
  <c r="T502" i="3247" s="1"/>
  <c r="S503" i="3247" l="1"/>
  <c r="T503" i="3247"/>
  <c r="S504" i="3247" l="1"/>
  <c r="T504" i="3247" l="1"/>
  <c r="S505" i="3247"/>
  <c r="T505" i="3247" l="1"/>
  <c r="S506" i="3247"/>
  <c r="T506" i="3247" l="1"/>
  <c r="S507" i="3247"/>
  <c r="T507" i="3247" l="1"/>
  <c r="S508" i="3247"/>
  <c r="T508" i="3247" l="1"/>
  <c r="S509" i="3247"/>
  <c r="T509" i="3247"/>
  <c r="S510" i="3247" l="1"/>
  <c r="T510" i="3247"/>
  <c r="S511" i="3247" l="1"/>
  <c r="T511" i="3247" l="1"/>
  <c r="S512" i="3247"/>
  <c r="T512" i="3247" l="1"/>
  <c r="S513" i="3247"/>
  <c r="T513" i="3247" l="1"/>
  <c r="S514" i="3247"/>
  <c r="T514" i="3247" l="1"/>
  <c r="S515" i="3247"/>
  <c r="T515" i="3247" l="1"/>
  <c r="S516" i="3247"/>
  <c r="T516" i="3247" s="1"/>
  <c r="S517" i="3247" l="1"/>
  <c r="T517" i="3247"/>
  <c r="S518" i="3247" l="1"/>
  <c r="T518" i="3247" l="1"/>
  <c r="S519" i="3247"/>
  <c r="T519" i="3247" l="1"/>
  <c r="S520" i="3247"/>
  <c r="T520" i="3247" s="1"/>
  <c r="S521" i="3247" l="1"/>
  <c r="T521" i="3247" l="1"/>
  <c r="S522" i="3247"/>
  <c r="T522" i="3247" l="1"/>
  <c r="S523" i="3247"/>
  <c r="T523" i="3247"/>
  <c r="S524" i="3247" l="1"/>
  <c r="T524" i="3247" s="1"/>
  <c r="S525" i="3247" l="1"/>
  <c r="T525" i="3247" l="1"/>
  <c r="S526" i="3247"/>
  <c r="T526" i="3247" l="1"/>
  <c r="S527" i="3247"/>
  <c r="T527" i="3247" l="1"/>
  <c r="S528" i="3247"/>
  <c r="T528" i="3247" l="1"/>
  <c r="S529" i="3247"/>
  <c r="T529" i="3247" l="1"/>
  <c r="S530" i="3247"/>
  <c r="T530" i="3247" s="1"/>
  <c r="S531" i="3247" l="1"/>
  <c r="T531" i="3247" s="1"/>
  <c r="S532" i="3247" l="1"/>
  <c r="T532" i="3247" l="1"/>
  <c r="S533" i="3247"/>
  <c r="T533" i="3247" l="1"/>
  <c r="S534" i="3247"/>
  <c r="T534" i="3247" l="1"/>
  <c r="S535" i="3247"/>
  <c r="T535" i="3247" s="1"/>
  <c r="S536" i="3247" l="1"/>
  <c r="T536" i="3247" l="1"/>
  <c r="S537" i="3247"/>
  <c r="T537" i="3247" s="1"/>
  <c r="S538" i="3247" l="1"/>
  <c r="T538" i="3247"/>
  <c r="S539" i="3247" l="1"/>
  <c r="T539" i="3247" l="1"/>
  <c r="S540" i="3247"/>
  <c r="T540" i="3247" l="1"/>
  <c r="S541" i="3247"/>
  <c r="T541" i="3247" l="1"/>
  <c r="S542" i="3247"/>
  <c r="T542" i="3247" l="1"/>
  <c r="S543" i="3247"/>
  <c r="T543" i="3247" l="1"/>
  <c r="S544" i="3247"/>
  <c r="T544" i="3247" s="1"/>
  <c r="S545" i="3247" l="1"/>
  <c r="T545" i="3247" s="1"/>
  <c r="S546" i="3247" l="1"/>
  <c r="T546" i="3247" l="1"/>
  <c r="S547" i="3247"/>
  <c r="T547" i="3247" l="1"/>
  <c r="S548" i="3247"/>
  <c r="T548" i="3247" l="1"/>
  <c r="S549" i="3247"/>
  <c r="T549" i="3247" l="1"/>
  <c r="S550" i="3247"/>
  <c r="T550" i="3247" l="1"/>
  <c r="S551" i="3247"/>
  <c r="T551" i="3247"/>
  <c r="S552" i="3247" l="1"/>
  <c r="T552" i="3247"/>
  <c r="S553" i="3247" l="1"/>
  <c r="T553" i="3247" l="1"/>
  <c r="S554" i="3247"/>
  <c r="T554" i="3247" l="1"/>
  <c r="S555" i="3247"/>
  <c r="T555" i="3247" l="1"/>
  <c r="S556" i="3247"/>
  <c r="T556" i="3247" l="1"/>
  <c r="S557" i="3247"/>
  <c r="T557" i="3247" l="1"/>
  <c r="S558" i="3247"/>
  <c r="T558" i="3247"/>
  <c r="S559" i="3247" l="1"/>
  <c r="T559" i="3247"/>
  <c r="S560" i="3247" l="1"/>
  <c r="T560" i="3247" l="1"/>
  <c r="S561" i="3247"/>
  <c r="T561" i="3247" l="1"/>
  <c r="S562" i="3247"/>
  <c r="T562" i="3247" l="1"/>
  <c r="S563" i="3247"/>
  <c r="T563" i="3247" l="1"/>
  <c r="S564" i="3247"/>
  <c r="T564" i="3247" l="1"/>
  <c r="S565" i="3247"/>
  <c r="T565" i="3247" s="1"/>
  <c r="S566" i="3247" l="1"/>
  <c r="T566" i="3247" s="1"/>
  <c r="S567" i="3247" l="1"/>
  <c r="T567" i="3247" l="1"/>
  <c r="S568" i="3247"/>
  <c r="T568" i="3247" l="1"/>
  <c r="S569" i="3247"/>
  <c r="T569" i="3247" l="1"/>
  <c r="S570" i="3247"/>
  <c r="T570" i="3247" l="1"/>
  <c r="S571" i="3247"/>
  <c r="T571" i="3247" l="1"/>
  <c r="S572" i="3247"/>
  <c r="T572" i="3247" s="1"/>
  <c r="S573" i="3247" l="1"/>
  <c r="T573" i="3247" s="1"/>
  <c r="S574" i="3247" l="1"/>
  <c r="T574" i="3247" l="1"/>
  <c r="S575" i="3247"/>
  <c r="T575" i="3247" l="1"/>
  <c r="S576" i="3247"/>
  <c r="T576" i="3247" l="1"/>
  <c r="S577" i="3247"/>
  <c r="T577" i="3247" l="1"/>
  <c r="S578" i="3247"/>
  <c r="T578" i="3247" l="1"/>
  <c r="S579" i="3247"/>
  <c r="T579" i="3247" s="1"/>
  <c r="S580" i="3247" l="1"/>
  <c r="T580" i="3247" s="1"/>
  <c r="S581" i="3247" l="1"/>
  <c r="T581" i="3247" l="1"/>
  <c r="S582" i="3247"/>
  <c r="T582" i="3247" l="1"/>
  <c r="S583" i="3247"/>
  <c r="T583" i="3247" l="1"/>
  <c r="S584" i="3247"/>
  <c r="T584" i="3247" l="1"/>
  <c r="S585" i="3247"/>
  <c r="T585" i="3247" l="1"/>
  <c r="S586" i="3247"/>
  <c r="T586" i="3247" s="1"/>
  <c r="S587" i="3247" l="1"/>
  <c r="T587" i="3247" s="1"/>
  <c r="S588" i="3247" l="1"/>
  <c r="T588" i="3247" l="1"/>
  <c r="S589" i="3247"/>
  <c r="T589" i="3247" l="1"/>
  <c r="S590" i="3247"/>
  <c r="T590" i="3247" l="1"/>
  <c r="S591" i="3247"/>
  <c r="T591" i="3247" l="1"/>
  <c r="S592" i="3247"/>
  <c r="T592" i="3247" l="1"/>
  <c r="S593" i="3247"/>
  <c r="T593" i="3247" s="1"/>
  <c r="S594" i="3247" l="1"/>
  <c r="T594" i="3247" s="1"/>
  <c r="S595" i="3247" l="1"/>
  <c r="T595" i="3247"/>
  <c r="S596" i="3247" l="1"/>
  <c r="T596" i="3247" l="1"/>
  <c r="S597" i="3247"/>
  <c r="T597" i="3247" l="1"/>
  <c r="S598" i="3247"/>
  <c r="T598" i="3247" l="1"/>
  <c r="S599" i="3247"/>
  <c r="T599" i="3247" l="1"/>
  <c r="S600" i="3247"/>
  <c r="T600" i="3247" s="1"/>
  <c r="S601" i="3247" l="1"/>
  <c r="T601" i="3247" s="1"/>
  <c r="S602" i="3247" l="1"/>
  <c r="T602" i="3247" l="1"/>
  <c r="S603" i="3247"/>
  <c r="T603" i="3247" s="1"/>
  <c r="S604" i="3247" l="1"/>
  <c r="T604" i="3247" l="1"/>
  <c r="S605" i="3247"/>
  <c r="T605" i="3247" l="1"/>
  <c r="S606" i="3247"/>
  <c r="T606" i="3247" l="1"/>
  <c r="S607" i="3247"/>
  <c r="T607" i="3247"/>
  <c r="S608" i="3247" l="1"/>
  <c r="T608" i="3247"/>
  <c r="S609" i="3247" l="1"/>
  <c r="T609" i="3247" l="1"/>
  <c r="S610" i="3247"/>
  <c r="T610" i="3247" l="1"/>
  <c r="S611" i="3247"/>
  <c r="T611" i="3247" l="1"/>
  <c r="S612" i="3247"/>
  <c r="T612" i="3247" l="1"/>
  <c r="S613" i="3247"/>
  <c r="T613" i="3247" l="1"/>
  <c r="S614" i="3247"/>
  <c r="T614" i="3247" s="1"/>
  <c r="S615" i="3247" l="1"/>
  <c r="T615" i="3247" s="1"/>
  <c r="S616" i="3247" l="1"/>
  <c r="T616" i="3247" l="1"/>
  <c r="S617" i="3247"/>
  <c r="T617" i="3247" l="1"/>
  <c r="S618" i="3247"/>
  <c r="T618" i="3247" l="1"/>
  <c r="S619" i="3247"/>
  <c r="T619" i="3247" l="1"/>
  <c r="S620" i="3247"/>
  <c r="T620" i="3247" l="1"/>
  <c r="S621" i="3247"/>
  <c r="T621" i="3247" s="1"/>
  <c r="S622" i="3247" l="1"/>
  <c r="T622" i="3247" s="1"/>
  <c r="S623" i="3247" l="1"/>
  <c r="T623" i="3247" l="1"/>
  <c r="S624" i="3247"/>
  <c r="T624" i="3247" l="1"/>
  <c r="S625" i="3247"/>
  <c r="T625" i="3247" l="1"/>
  <c r="S626" i="3247"/>
  <c r="T626" i="3247" l="1"/>
  <c r="S627" i="3247"/>
  <c r="T627" i="3247" l="1"/>
  <c r="S628" i="3247"/>
  <c r="T628" i="3247" s="1"/>
  <c r="S629" i="3247" l="1"/>
  <c r="T629" i="3247"/>
  <c r="S630" i="3247" l="1"/>
  <c r="T630" i="3247" l="1"/>
  <c r="S631" i="3247"/>
  <c r="T631" i="3247" l="1"/>
  <c r="S632" i="3247"/>
  <c r="T632" i="3247" l="1"/>
  <c r="S633" i="3247"/>
  <c r="T633" i="3247" l="1"/>
  <c r="S634" i="3247"/>
  <c r="T634" i="3247" l="1"/>
  <c r="S635" i="3247"/>
  <c r="T635" i="3247" s="1"/>
  <c r="S636" i="3247" l="1"/>
  <c r="T636" i="3247"/>
  <c r="S637" i="3247" l="1"/>
  <c r="T637" i="3247" l="1"/>
  <c r="S638" i="3247"/>
  <c r="T638" i="3247" l="1"/>
  <c r="S639" i="3247"/>
  <c r="T639" i="3247" l="1"/>
  <c r="S640" i="3247"/>
  <c r="T640" i="3247" l="1"/>
  <c r="S641" i="3247"/>
  <c r="T641" i="3247" l="1"/>
  <c r="S642" i="3247"/>
  <c r="T642" i="3247"/>
  <c r="S643" i="3247" l="1"/>
  <c r="T643" i="3247"/>
  <c r="S644" i="3247" l="1"/>
  <c r="T644" i="3247" l="1"/>
  <c r="S645" i="3247"/>
  <c r="T645" i="3247" l="1"/>
  <c r="S646" i="3247"/>
  <c r="T646" i="3247" l="1"/>
  <c r="S647" i="3247"/>
  <c r="T647" i="3247" l="1"/>
  <c r="S648" i="3247"/>
  <c r="T648" i="3247" l="1"/>
  <c r="S649" i="3247"/>
  <c r="T649" i="3247" s="1"/>
  <c r="S650" i="3247" l="1"/>
  <c r="T650" i="3247" s="1"/>
  <c r="S651" i="3247" l="1"/>
  <c r="T651" i="3247" l="1"/>
  <c r="S652" i="3247"/>
  <c r="T652" i="3247" l="1"/>
  <c r="S653" i="3247"/>
  <c r="T653" i="3247" l="1"/>
  <c r="S654" i="3247"/>
  <c r="T654" i="3247" l="1"/>
  <c r="S655" i="3247"/>
  <c r="T655" i="3247" l="1"/>
  <c r="S656" i="3247"/>
  <c r="T656" i="3247" s="1"/>
  <c r="S657" i="3247" l="1"/>
  <c r="T657" i="3247" s="1"/>
  <c r="S658" i="3247" l="1"/>
  <c r="T658" i="3247" l="1"/>
  <c r="S659" i="3247"/>
  <c r="T659" i="3247" l="1"/>
  <c r="S660" i="3247"/>
  <c r="T660" i="3247" l="1"/>
  <c r="S661" i="3247"/>
  <c r="T661" i="3247" l="1"/>
  <c r="S662" i="3247"/>
  <c r="T662" i="3247" l="1"/>
  <c r="S663" i="3247"/>
  <c r="T663" i="3247" s="1"/>
  <c r="S664" i="3247" l="1"/>
  <c r="T664" i="3247"/>
  <c r="S665" i="3247" l="1"/>
  <c r="T665" i="3247" l="1"/>
  <c r="S666" i="3247"/>
  <c r="T666" i="3247" l="1"/>
  <c r="S667" i="3247"/>
  <c r="T667" i="3247" l="1"/>
  <c r="S668" i="3247"/>
  <c r="T668" i="3247" l="1"/>
  <c r="S669" i="3247"/>
  <c r="T669" i="3247" l="1"/>
  <c r="S670" i="3247"/>
  <c r="T670" i="3247" s="1"/>
  <c r="S671" i="3247" l="1"/>
  <c r="T671" i="3247" s="1"/>
  <c r="S672" i="3247" l="1"/>
  <c r="T672" i="3247" l="1"/>
  <c r="S673" i="3247"/>
  <c r="T673" i="3247" l="1"/>
  <c r="S674" i="3247"/>
  <c r="T674" i="3247" l="1"/>
  <c r="S675" i="3247"/>
  <c r="T675" i="3247" l="1"/>
  <c r="S676" i="3247"/>
  <c r="T676" i="3247" l="1"/>
  <c r="S677" i="3247"/>
  <c r="T677" i="3247" s="1"/>
  <c r="S678" i="3247" l="1"/>
  <c r="T678" i="3247" s="1"/>
  <c r="S679" i="3247" l="1"/>
  <c r="T679" i="3247" l="1"/>
  <c r="S680" i="3247"/>
  <c r="T680" i="3247" l="1"/>
  <c r="S681" i="3247"/>
  <c r="T681" i="3247" l="1"/>
  <c r="S682" i="3247"/>
  <c r="T682" i="3247"/>
  <c r="S683" i="3247" l="1"/>
  <c r="T683" i="3247" l="1"/>
  <c r="S684" i="3247"/>
  <c r="T684" i="3247"/>
  <c r="S685" i="3247" l="1"/>
  <c r="T685" i="3247"/>
  <c r="S686" i="3247" l="1"/>
  <c r="T686" i="3247" l="1"/>
  <c r="S687" i="3247"/>
  <c r="T687" i="3247" l="1"/>
  <c r="S688" i="3247"/>
  <c r="T688" i="3247" l="1"/>
  <c r="S689" i="3247"/>
  <c r="T689" i="3247" l="1"/>
  <c r="S690" i="3247"/>
  <c r="T690" i="3247" l="1"/>
  <c r="S691" i="3247"/>
  <c r="T691" i="3247"/>
  <c r="S692" i="3247" l="1"/>
  <c r="T692" i="3247"/>
  <c r="S693" i="3247" l="1"/>
  <c r="T693" i="3247" l="1"/>
  <c r="S694" i="3247"/>
  <c r="T694" i="3247" l="1"/>
  <c r="S695" i="3247"/>
  <c r="T695" i="3247" l="1"/>
  <c r="S696" i="3247"/>
  <c r="T696" i="3247" l="1"/>
  <c r="S697" i="3247"/>
  <c r="T697" i="3247" l="1"/>
  <c r="S698" i="3247"/>
  <c r="T698" i="3247" s="1"/>
  <c r="S699" i="3247" l="1"/>
  <c r="T699" i="3247"/>
  <c r="S700" i="3247" l="1"/>
  <c r="T700" i="3247" l="1"/>
  <c r="S701" i="3247"/>
  <c r="T701" i="3247" l="1"/>
  <c r="S702" i="3247"/>
  <c r="T702" i="3247" l="1"/>
  <c r="S703" i="3247"/>
  <c r="T703" i="3247" l="1"/>
  <c r="S704" i="3247"/>
  <c r="T704" i="3247" l="1"/>
  <c r="S705" i="3247"/>
  <c r="T705" i="3247"/>
  <c r="S706" i="3247" l="1"/>
  <c r="T706" i="3247"/>
  <c r="S707" i="3247" l="1"/>
  <c r="T707" i="3247" l="1"/>
  <c r="S708" i="3247"/>
  <c r="T708" i="3247" l="1"/>
  <c r="S709" i="3247"/>
  <c r="T709" i="3247"/>
  <c r="S710" i="3247" l="1"/>
  <c r="T710" i="3247" l="1"/>
  <c r="S711" i="3247"/>
  <c r="T711" i="3247" l="1"/>
  <c r="S712" i="3247"/>
  <c r="T712" i="3247" s="1"/>
  <c r="S713" i="3247" l="1"/>
  <c r="T713" i="3247"/>
  <c r="S714" i="3247" l="1"/>
  <c r="T714" i="3247" l="1"/>
  <c r="S715" i="3247"/>
  <c r="T715" i="3247" l="1"/>
  <c r="S716" i="3247"/>
  <c r="T716" i="3247"/>
  <c r="S717" i="3247" l="1"/>
  <c r="T717" i="3247" l="1"/>
  <c r="S718" i="3247"/>
  <c r="T718" i="3247" l="1"/>
  <c r="S719" i="3247"/>
  <c r="T719" i="3247" s="1"/>
  <c r="S720" i="3247" l="1"/>
  <c r="T720" i="3247"/>
  <c r="S721" i="3247" l="1"/>
  <c r="T721" i="3247" l="1"/>
  <c r="S722" i="3247"/>
  <c r="T722" i="3247" l="1"/>
  <c r="S723" i="3247"/>
  <c r="T723" i="3247" l="1"/>
  <c r="S724" i="3247"/>
  <c r="T724" i="3247" s="1"/>
  <c r="S725" i="3247" l="1"/>
  <c r="T725" i="3247" l="1"/>
  <c r="S726" i="3247"/>
  <c r="T726" i="3247" s="1"/>
  <c r="S727" i="3247" l="1"/>
  <c r="T727" i="3247"/>
  <c r="S728" i="3247" l="1"/>
  <c r="T728" i="3247" l="1"/>
  <c r="S729" i="3247"/>
  <c r="T729" i="3247" l="1"/>
  <c r="S730" i="3247"/>
  <c r="T730" i="3247" l="1"/>
  <c r="S731" i="3247"/>
  <c r="T731" i="3247" l="1"/>
  <c r="S732" i="3247"/>
  <c r="T732" i="3247" l="1"/>
  <c r="S733" i="3247"/>
  <c r="T733" i="3247"/>
  <c r="S734" i="3247" l="1"/>
  <c r="T734" i="3247" s="1"/>
  <c r="S735" i="3247" l="1"/>
  <c r="T735" i="3247" s="1"/>
  <c r="S736" i="3247" l="1"/>
  <c r="T736" i="3247" l="1"/>
  <c r="S737" i="3247"/>
  <c r="T737" i="3247" l="1"/>
  <c r="S738" i="3247"/>
  <c r="T738" i="3247" l="1"/>
  <c r="S739" i="3247"/>
  <c r="T739" i="3247" l="1"/>
  <c r="S740" i="3247"/>
  <c r="T740" i="3247" s="1"/>
  <c r="S741" i="3247" l="1"/>
  <c r="T741" i="3247"/>
  <c r="S742" i="3247" l="1"/>
  <c r="T742" i="3247" l="1"/>
  <c r="S743" i="3247"/>
  <c r="T743" i="3247" l="1"/>
  <c r="S744" i="3247"/>
  <c r="T744" i="3247" l="1"/>
  <c r="S745" i="3247"/>
  <c r="T745" i="3247" l="1"/>
  <c r="S746" i="3247"/>
  <c r="T746" i="3247" l="1"/>
  <c r="S747" i="3247"/>
  <c r="T747" i="3247"/>
  <c r="S748" i="3247" l="1"/>
  <c r="T748" i="3247"/>
  <c r="S749" i="3247" l="1"/>
  <c r="T749" i="3247" l="1"/>
  <c r="S750" i="3247"/>
  <c r="T750" i="3247" l="1"/>
  <c r="S751" i="3247"/>
  <c r="T751" i="3247" l="1"/>
  <c r="S752" i="3247"/>
  <c r="T752" i="3247" l="1"/>
  <c r="S753" i="3247"/>
  <c r="T753" i="3247" l="1"/>
  <c r="S754" i="3247"/>
  <c r="T754" i="3247" s="1"/>
  <c r="S755" i="3247" l="1"/>
  <c r="T755" i="3247" s="1"/>
  <c r="S756" i="3247" l="1"/>
  <c r="T756" i="3247" l="1"/>
  <c r="S757" i="3247"/>
  <c r="T757" i="3247" l="1"/>
  <c r="S758" i="3247"/>
  <c r="T758" i="3247" l="1"/>
  <c r="S759" i="3247"/>
  <c r="T759" i="3247" l="1"/>
  <c r="S760" i="3247"/>
  <c r="T760" i="3247" l="1"/>
  <c r="S761" i="3247"/>
  <c r="T761" i="3247"/>
  <c r="S762" i="3247" l="1"/>
  <c r="T762" i="3247" s="1"/>
  <c r="S763" i="3247" l="1"/>
  <c r="T763" i="3247" s="1"/>
  <c r="S764" i="3247" l="1"/>
  <c r="T764" i="3247" l="1"/>
  <c r="S765" i="3247"/>
  <c r="T765" i="3247" l="1"/>
  <c r="S766" i="3247"/>
  <c r="T766" i="3247" l="1"/>
  <c r="S767" i="3247"/>
  <c r="T767" i="3247" l="1"/>
  <c r="S768" i="3247"/>
  <c r="T768" i="3247"/>
  <c r="S769" i="3247" l="1"/>
  <c r="T769" i="3247" s="1"/>
  <c r="S770" i="3247" l="1"/>
  <c r="T770" i="3247" l="1"/>
  <c r="S771" i="3247"/>
  <c r="T771" i="3247" l="1"/>
  <c r="S772" i="3247"/>
  <c r="T772" i="3247" l="1"/>
  <c r="S773" i="3247"/>
  <c r="T773" i="3247" l="1"/>
  <c r="S774" i="3247"/>
  <c r="T774" i="3247" l="1"/>
  <c r="S775" i="3247"/>
  <c r="T775" i="3247"/>
  <c r="S776" i="3247" l="1"/>
  <c r="T776" i="3247" s="1"/>
  <c r="S777" i="3247" l="1"/>
  <c r="T777" i="3247" l="1"/>
  <c r="S778" i="3247"/>
  <c r="T778" i="3247" l="1"/>
  <c r="S779" i="3247"/>
  <c r="T779" i="3247" l="1"/>
  <c r="S780" i="3247"/>
  <c r="T780" i="3247" l="1"/>
  <c r="S781" i="3247"/>
  <c r="T781" i="3247" l="1"/>
  <c r="S782" i="3247"/>
  <c r="T782" i="3247"/>
  <c r="S783" i="3247" l="1"/>
  <c r="T783" i="3247" s="1"/>
  <c r="S784" i="3247" l="1"/>
  <c r="T784" i="3247" l="1"/>
  <c r="S785" i="3247"/>
  <c r="T785" i="3247" l="1"/>
  <c r="S786" i="3247"/>
  <c r="T786" i="3247" l="1"/>
  <c r="S787" i="3247"/>
  <c r="T787" i="3247" l="1"/>
  <c r="S788" i="3247"/>
  <c r="T788" i="3247" l="1"/>
  <c r="S789" i="3247"/>
  <c r="T789" i="3247"/>
  <c r="S790" i="3247" l="1"/>
  <c r="T790" i="3247" s="1"/>
  <c r="S791" i="3247" l="1"/>
  <c r="T791" i="3247" l="1"/>
  <c r="S792" i="3247"/>
  <c r="T792" i="3247" l="1"/>
  <c r="S793" i="3247"/>
  <c r="T793" i="3247" l="1"/>
  <c r="S794" i="3247"/>
  <c r="T794" i="3247" l="1"/>
  <c r="S795" i="3247"/>
  <c r="T795" i="3247" l="1"/>
  <c r="S796" i="3247"/>
  <c r="T796" i="3247"/>
  <c r="S797" i="3247" l="1"/>
  <c r="T797" i="3247" s="1"/>
  <c r="S798" i="3247" l="1"/>
  <c r="T798" i="3247" l="1"/>
  <c r="S799" i="3247"/>
  <c r="T799" i="3247" l="1"/>
  <c r="S800" i="3247"/>
  <c r="T800" i="3247" l="1"/>
  <c r="S801" i="3247"/>
  <c r="T801" i="3247" l="1"/>
  <c r="S802" i="3247"/>
  <c r="T802" i="3247" l="1"/>
  <c r="S803" i="3247"/>
  <c r="T803" i="3247" s="1"/>
  <c r="S804" i="3247" l="1"/>
  <c r="T804" i="3247"/>
  <c r="S805" i="3247" l="1"/>
  <c r="T805" i="3247" l="1"/>
  <c r="S806" i="3247"/>
  <c r="T806" i="3247" l="1"/>
  <c r="S807" i="3247"/>
  <c r="T807" i="3247" l="1"/>
  <c r="S808" i="3247"/>
  <c r="T808" i="3247" l="1"/>
  <c r="S809" i="3247"/>
  <c r="T809" i="3247" l="1"/>
  <c r="S810" i="3247"/>
  <c r="T810" i="3247" s="1"/>
  <c r="S811" i="3247" l="1"/>
  <c r="T811" i="3247" s="1"/>
  <c r="S812" i="3247" l="1"/>
  <c r="T812" i="3247" l="1"/>
  <c r="S813" i="3247"/>
  <c r="T813" i="3247" l="1"/>
  <c r="S814" i="3247"/>
  <c r="T814" i="3247" l="1"/>
  <c r="S815" i="3247"/>
  <c r="T815" i="3247" l="1"/>
  <c r="S816" i="3247"/>
  <c r="T816" i="3247" l="1"/>
  <c r="S817" i="3247"/>
  <c r="T817" i="3247" s="1"/>
  <c r="S818" i="3247" l="1"/>
  <c r="T818" i="3247" s="1"/>
  <c r="S819" i="3247" l="1"/>
  <c r="T819" i="3247" l="1"/>
  <c r="S820" i="3247"/>
  <c r="T820" i="3247" l="1"/>
  <c r="S821" i="3247"/>
  <c r="T821" i="3247" l="1"/>
  <c r="S822" i="3247"/>
  <c r="T822" i="3247" l="1"/>
  <c r="S823" i="3247"/>
  <c r="T823" i="3247" s="1"/>
  <c r="S824" i="3247" l="1"/>
  <c r="T824" i="3247" s="1"/>
  <c r="S825" i="3247" l="1"/>
  <c r="T825" i="3247" s="1"/>
  <c r="S826" i="3247" l="1"/>
  <c r="T826" i="3247" l="1"/>
  <c r="S827" i="3247"/>
  <c r="T827" i="3247" l="1"/>
  <c r="S828" i="3247"/>
  <c r="T828" i="3247" l="1"/>
  <c r="S829" i="3247"/>
  <c r="T829" i="3247" l="1"/>
  <c r="S830" i="3247"/>
  <c r="T830" i="3247" l="1"/>
  <c r="S831" i="3247"/>
  <c r="T831" i="3247" s="1"/>
  <c r="S832" i="3247" l="1"/>
  <c r="T832" i="3247" s="1"/>
  <c r="S833" i="3247" l="1"/>
  <c r="T833" i="3247" l="1"/>
  <c r="S834" i="3247"/>
  <c r="T834" i="3247" l="1"/>
  <c r="S835" i="3247"/>
  <c r="T835" i="3247" l="1"/>
  <c r="S836" i="3247"/>
  <c r="T836" i="3247" l="1"/>
  <c r="S837" i="3247"/>
  <c r="T837" i="3247" l="1"/>
  <c r="S838" i="3247"/>
  <c r="T838" i="3247" s="1"/>
  <c r="S839" i="3247" l="1"/>
  <c r="T839" i="3247" s="1"/>
  <c r="S840" i="3247" l="1"/>
  <c r="T840" i="3247" l="1"/>
  <c r="S841" i="3247"/>
  <c r="T841" i="3247" l="1"/>
  <c r="S842" i="3247"/>
  <c r="T842" i="3247" l="1"/>
  <c r="S843" i="3247"/>
  <c r="T843" i="3247" l="1"/>
  <c r="S844" i="3247"/>
  <c r="T844" i="3247" l="1"/>
  <c r="S845" i="3247"/>
  <c r="T845" i="3247" s="1"/>
  <c r="S846" i="3247" l="1"/>
  <c r="T846" i="3247" s="1"/>
  <c r="S847" i="3247" l="1"/>
  <c r="T847" i="3247" l="1"/>
  <c r="S848" i="3247"/>
  <c r="T848" i="3247" l="1"/>
  <c r="S849" i="3247"/>
  <c r="T849" i="3247" l="1"/>
  <c r="S850" i="3247"/>
  <c r="T850" i="3247" l="1"/>
  <c r="S851" i="3247"/>
  <c r="T851" i="3247" l="1"/>
  <c r="S852" i="3247"/>
  <c r="T852" i="3247" s="1"/>
  <c r="S853" i="3247" l="1"/>
  <c r="T853" i="3247" s="1"/>
  <c r="S854" i="3247" l="1"/>
  <c r="T854" i="3247" l="1"/>
  <c r="S855" i="3247"/>
  <c r="T855" i="3247" l="1"/>
  <c r="S856" i="3247"/>
  <c r="T856" i="3247" l="1"/>
  <c r="S857" i="3247"/>
  <c r="T857" i="3247" l="1"/>
  <c r="S858" i="3247"/>
  <c r="T858" i="3247" l="1"/>
  <c r="S859" i="3247"/>
  <c r="T859" i="3247" s="1"/>
  <c r="S860" i="3247" l="1"/>
  <c r="T860" i="3247" s="1"/>
  <c r="S861" i="3247" l="1"/>
  <c r="T861" i="3247" s="1"/>
  <c r="S862" i="3247" l="1"/>
  <c r="T862" i="3247" l="1"/>
  <c r="S863" i="3247"/>
  <c r="T863" i="3247" l="1"/>
  <c r="S864" i="3247"/>
  <c r="T864" i="3247" l="1"/>
  <c r="S865" i="3247"/>
  <c r="T865" i="3247" l="1"/>
  <c r="S866" i="3247"/>
  <c r="T866" i="3247" s="1"/>
  <c r="S867" i="3247" l="1"/>
  <c r="T867" i="3247" s="1"/>
  <c r="S868" i="3247" l="1"/>
  <c r="T868" i="3247" l="1"/>
  <c r="S869" i="3247"/>
  <c r="T869" i="3247" l="1"/>
  <c r="S870" i="3247"/>
  <c r="T870" i="3247" l="1"/>
  <c r="S871" i="3247"/>
  <c r="T871" i="3247" l="1"/>
  <c r="S872" i="3247"/>
  <c r="T872" i="3247" l="1"/>
  <c r="S873" i="3247"/>
  <c r="T873" i="3247" s="1"/>
  <c r="S874" i="3247" l="1"/>
  <c r="T874" i="3247" s="1"/>
  <c r="S875" i="3247" l="1"/>
  <c r="T875" i="3247" l="1"/>
  <c r="S876" i="3247"/>
  <c r="T876" i="3247" l="1"/>
  <c r="S877" i="3247"/>
  <c r="T877" i="3247" l="1"/>
  <c r="S878" i="3247"/>
  <c r="T878" i="3247" l="1"/>
  <c r="S879" i="3247"/>
  <c r="T879" i="3247" l="1"/>
  <c r="S880" i="3247"/>
  <c r="T880" i="3247" s="1"/>
  <c r="S881" i="3247" l="1"/>
  <c r="T881" i="3247" s="1"/>
  <c r="S882" i="3247" l="1"/>
  <c r="T882" i="3247" l="1"/>
  <c r="S883" i="3247"/>
  <c r="T883" i="3247" l="1"/>
  <c r="S884" i="3247"/>
  <c r="T884" i="3247" l="1"/>
  <c r="S885" i="3247"/>
  <c r="T885" i="3247" s="1"/>
  <c r="S886" i="3247" l="1"/>
  <c r="T886" i="3247" l="1"/>
  <c r="S887" i="3247"/>
  <c r="T887" i="3247" s="1"/>
  <c r="S888" i="3247" l="1"/>
  <c r="T888" i="3247" s="1"/>
  <c r="S889" i="3247" l="1"/>
  <c r="T889" i="3247" l="1"/>
  <c r="S890" i="3247"/>
  <c r="T890" i="3247" l="1"/>
  <c r="S891" i="3247"/>
  <c r="T891" i="3247" l="1"/>
  <c r="S892" i="3247"/>
  <c r="T892" i="3247" l="1"/>
  <c r="S893" i="3247"/>
  <c r="T893" i="3247" l="1"/>
  <c r="S894" i="3247"/>
  <c r="T894" i="3247" s="1"/>
  <c r="S895" i="3247" l="1"/>
  <c r="T895" i="3247" s="1"/>
  <c r="S896" i="3247" l="1"/>
  <c r="T896" i="3247" l="1"/>
  <c r="S897" i="3247"/>
  <c r="T897" i="3247" l="1"/>
  <c r="S898" i="3247"/>
  <c r="T898" i="3247" l="1"/>
  <c r="S899" i="3247"/>
  <c r="T899" i="3247" l="1"/>
  <c r="S900" i="3247"/>
  <c r="T900" i="3247" s="1"/>
  <c r="S901" i="3247" l="1"/>
  <c r="T901" i="3247" s="1"/>
  <c r="S902" i="3247" l="1"/>
  <c r="T902" i="3247" s="1"/>
  <c r="S903" i="3247" l="1"/>
  <c r="T903" i="3247" l="1"/>
  <c r="S904" i="3247"/>
  <c r="T904" i="3247" l="1"/>
  <c r="S905" i="3247"/>
  <c r="T905" i="3247" l="1"/>
  <c r="S906" i="3247"/>
  <c r="T906" i="3247" l="1"/>
  <c r="S907" i="3247"/>
  <c r="T907" i="3247" l="1"/>
  <c r="S908" i="3247"/>
  <c r="T908" i="3247" s="1"/>
  <c r="S909" i="3247" l="1"/>
  <c r="T909" i="3247"/>
  <c r="S910" i="3247" l="1"/>
  <c r="T910" i="3247" l="1"/>
  <c r="S911" i="3247"/>
  <c r="T911" i="3247" l="1"/>
  <c r="S912" i="3247"/>
  <c r="T912" i="3247" l="1"/>
  <c r="S913" i="3247"/>
  <c r="T913" i="3247" l="1"/>
  <c r="S914" i="3247"/>
  <c r="T914" i="3247" l="1"/>
  <c r="S915" i="3247"/>
  <c r="T915" i="3247" s="1"/>
  <c r="S916" i="3247" l="1"/>
  <c r="T916" i="3247" s="1"/>
  <c r="S917" i="3247" l="1"/>
  <c r="T917" i="3247" l="1"/>
  <c r="S918" i="3247"/>
  <c r="T918" i="3247" l="1"/>
  <c r="S919" i="3247"/>
  <c r="T919" i="3247" l="1"/>
  <c r="S920" i="3247"/>
  <c r="T920" i="3247" l="1"/>
  <c r="S921" i="3247"/>
  <c r="T921" i="3247" l="1"/>
  <c r="S922" i="3247"/>
  <c r="T922" i="3247" s="1"/>
  <c r="S923" i="3247" l="1"/>
  <c r="T923" i="3247" s="1"/>
  <c r="S924" i="3247" l="1"/>
  <c r="T924" i="3247" l="1"/>
  <c r="S925" i="3247"/>
  <c r="T925" i="3247" l="1"/>
  <c r="S926" i="3247"/>
  <c r="T926" i="3247" l="1"/>
  <c r="S927" i="3247"/>
  <c r="T927" i="3247" l="1"/>
  <c r="S928" i="3247"/>
  <c r="T928" i="3247" l="1"/>
  <c r="S929" i="3247"/>
  <c r="T929" i="3247" s="1"/>
  <c r="S930" i="3247" l="1"/>
  <c r="T930" i="3247"/>
  <c r="S931" i="3247" l="1"/>
  <c r="T931" i="3247" l="1"/>
  <c r="S932" i="3247"/>
  <c r="T932" i="3247" l="1"/>
  <c r="S933" i="3247"/>
  <c r="T933" i="3247" l="1"/>
  <c r="S934" i="3247"/>
  <c r="T934" i="3247" l="1"/>
  <c r="S935" i="3247"/>
  <c r="T935" i="3247" l="1"/>
  <c r="S936" i="3247"/>
  <c r="T936" i="3247" s="1"/>
  <c r="S937" i="3247" l="1"/>
  <c r="T937" i="3247" s="1"/>
  <c r="S938" i="3247" l="1"/>
  <c r="T938" i="3247" l="1"/>
  <c r="S939" i="3247"/>
  <c r="T939" i="3247" l="1"/>
  <c r="S940" i="3247"/>
  <c r="T940" i="3247" l="1"/>
  <c r="S941" i="3247"/>
  <c r="T941" i="3247" l="1"/>
  <c r="S942" i="3247"/>
  <c r="T942" i="3247" l="1"/>
  <c r="S943" i="3247"/>
  <c r="T943" i="3247" s="1"/>
  <c r="S944" i="3247" l="1"/>
  <c r="T944" i="3247" s="1"/>
  <c r="S945" i="3247" l="1"/>
  <c r="T945" i="3247" l="1"/>
  <c r="S946" i="3247"/>
  <c r="T946" i="3247" l="1"/>
  <c r="S947" i="3247"/>
  <c r="T947" i="3247" l="1"/>
  <c r="S948" i="3247"/>
  <c r="T948" i="3247" l="1"/>
  <c r="S949" i="3247"/>
  <c r="T949" i="3247" l="1"/>
  <c r="S950" i="3247"/>
  <c r="T950" i="3247"/>
  <c r="S951" i="3247" l="1"/>
  <c r="T951" i="3247"/>
  <c r="S952" i="3247" l="1"/>
  <c r="T952" i="3247" l="1"/>
  <c r="S953" i="3247"/>
  <c r="T953" i="3247" l="1"/>
  <c r="S954" i="3247"/>
  <c r="T954" i="3247" l="1"/>
  <c r="S955" i="3247"/>
  <c r="T955" i="3247" l="1"/>
  <c r="S956" i="3247"/>
  <c r="T956" i="3247" l="1"/>
  <c r="S957" i="3247"/>
  <c r="T957" i="3247" s="1"/>
  <c r="S958" i="3247" l="1"/>
  <c r="T958" i="3247"/>
  <c r="S959" i="3247" l="1"/>
  <c r="T959" i="3247" s="1"/>
  <c r="S960" i="3247" l="1"/>
  <c r="T960" i="3247" l="1"/>
  <c r="S961" i="3247"/>
  <c r="T961" i="3247" l="1"/>
  <c r="S962" i="3247"/>
  <c r="T962" i="3247" l="1"/>
  <c r="S963" i="3247"/>
  <c r="T963" i="3247" l="1"/>
  <c r="S964" i="3247"/>
  <c r="T964" i="3247" s="1"/>
  <c r="S965" i="3247" l="1"/>
  <c r="T965" i="3247" s="1"/>
  <c r="S966" i="3247" l="1"/>
  <c r="T966" i="3247" l="1"/>
  <c r="S967" i="3247"/>
  <c r="T967" i="3247" l="1"/>
  <c r="S968" i="3247"/>
  <c r="T968" i="3247" l="1"/>
  <c r="S969" i="3247"/>
  <c r="T969" i="3247" l="1"/>
  <c r="S970" i="3247"/>
  <c r="T970" i="3247" l="1"/>
  <c r="S971" i="3247"/>
  <c r="T971" i="3247" s="1"/>
  <c r="S972" i="3247"/>
  <c r="T972" i="3247" s="1"/>
  <c r="S973" i="3247"/>
  <c r="T973" i="3247" l="1"/>
  <c r="S974" i="3247"/>
  <c r="T974" i="3247" l="1"/>
  <c r="S975" i="3247"/>
  <c r="T975" i="3247" l="1"/>
  <c r="S976" i="3247"/>
  <c r="T976" i="3247" l="1"/>
  <c r="S977" i="3247"/>
  <c r="T977" i="3247" l="1"/>
  <c r="S978" i="3247"/>
  <c r="T978" i="3247" s="1"/>
  <c r="S979" i="3247"/>
  <c r="T979" i="3247" s="1"/>
  <c r="S980" i="3247"/>
  <c r="T980" i="3247" l="1"/>
  <c r="S981" i="3247"/>
  <c r="T981" i="3247" l="1"/>
  <c r="S982" i="3247"/>
  <c r="T982" i="3247" l="1"/>
  <c r="S983" i="3247"/>
  <c r="T983" i="3247" l="1"/>
  <c r="S984" i="3247"/>
  <c r="T984" i="3247" l="1"/>
  <c r="S985" i="3247"/>
  <c r="T985" i="3247" s="1"/>
  <c r="S986" i="3247"/>
  <c r="T986" i="3247" s="1"/>
  <c r="S987" i="3247"/>
  <c r="T987" i="3247" l="1"/>
  <c r="S988" i="3247"/>
  <c r="T988" i="3247" l="1"/>
  <c r="S989" i="3247"/>
  <c r="T989" i="3247" l="1"/>
  <c r="S990" i="3247"/>
  <c r="T990" i="3247" l="1"/>
  <c r="S991" i="3247"/>
  <c r="T991" i="3247" l="1"/>
  <c r="S992" i="3247"/>
  <c r="T992" i="3247" s="1"/>
  <c r="S993" i="3247"/>
  <c r="T993" i="3247" s="1"/>
  <c r="S994" i="3247"/>
  <c r="T994" i="3247" l="1"/>
  <c r="S995" i="3247"/>
  <c r="T995" i="3247" l="1"/>
  <c r="S996" i="3247"/>
  <c r="T996" i="3247" l="1"/>
  <c r="S997" i="3247"/>
  <c r="T997" i="3247" l="1"/>
  <c r="S998" i="3247"/>
  <c r="T998" i="3247" l="1"/>
  <c r="S999" i="3247"/>
  <c r="T999" i="3247" s="1"/>
  <c r="S1000" i="3247"/>
  <c r="T1000" i="3247" s="1"/>
  <c r="S1001" i="3247"/>
  <c r="T1001" i="3247" l="1"/>
  <c r="S1002" i="3247"/>
  <c r="T1002" i="3247" l="1"/>
  <c r="S1003" i="3247"/>
  <c r="T1003" i="3247" l="1"/>
  <c r="S1004" i="3247"/>
  <c r="T1004" i="3247" l="1"/>
  <c r="S1005" i="3247"/>
  <c r="T1005" i="3247" l="1"/>
  <c r="S1006" i="3247"/>
  <c r="T1006" i="3247" s="1"/>
  <c r="S1007" i="3247"/>
  <c r="T1007" i="3247"/>
  <c r="S1008" i="3247"/>
  <c r="T1008" i="3247" l="1"/>
  <c r="S1009" i="3247"/>
  <c r="T1009" i="3247" l="1"/>
  <c r="S1010" i="3247"/>
  <c r="T1010" i="3247" l="1"/>
  <c r="S1011" i="3247"/>
  <c r="T1011" i="3247" l="1"/>
  <c r="S1012" i="3247"/>
  <c r="T1012" i="3247" l="1"/>
  <c r="S1013" i="3247"/>
  <c r="T1013" i="3247" s="1"/>
  <c r="S1014" i="3247"/>
  <c r="T1014" i="3247" s="1"/>
  <c r="S1015" i="3247"/>
  <c r="T1015" i="3247" l="1"/>
  <c r="S1016" i="3247"/>
  <c r="T1016" i="3247" l="1"/>
  <c r="S1017" i="3247"/>
  <c r="T1017" i="3247" l="1"/>
  <c r="S1018" i="3247"/>
  <c r="T1018" i="3247" l="1"/>
  <c r="S1019" i="3247"/>
  <c r="T1019" i="3247" l="1"/>
  <c r="S1020" i="3247"/>
  <c r="T1020" i="3247" s="1"/>
  <c r="S1021" i="3247"/>
  <c r="T1021" i="3247" s="1"/>
  <c r="S1022" i="3247"/>
  <c r="T1022" i="3247" l="1"/>
  <c r="S1023" i="3247"/>
  <c r="T1023" i="3247" l="1"/>
  <c r="S1024" i="3247"/>
  <c r="T1024" i="3247" l="1"/>
  <c r="S1025" i="3247"/>
  <c r="T1025" i="3247" l="1"/>
  <c r="S1026" i="3247"/>
  <c r="T1026" i="3247" l="1"/>
  <c r="S1027" i="3247"/>
  <c r="T1027" i="3247" s="1"/>
  <c r="S1028" i="3247"/>
  <c r="T1028" i="3247" s="1"/>
  <c r="S1029" i="3247"/>
  <c r="T1029" i="3247" l="1"/>
  <c r="S1030" i="3247"/>
  <c r="T1030" i="3247" l="1"/>
  <c r="S1031" i="3247"/>
  <c r="T1031" i="3247" l="1"/>
  <c r="S1032" i="3247"/>
  <c r="T1032" i="3247" l="1"/>
  <c r="S1033" i="3247"/>
  <c r="T1033" i="3247" l="1"/>
  <c r="S1034" i="3247"/>
  <c r="T1034" i="3247" s="1"/>
  <c r="S1035" i="3247"/>
  <c r="T1035" i="3247" s="1"/>
  <c r="S1036" i="3247"/>
  <c r="T1036" i="3247" l="1"/>
  <c r="S1037" i="3247"/>
  <c r="T1037" i="3247" l="1"/>
  <c r="S1038" i="3247"/>
  <c r="T1038" i="3247" l="1"/>
  <c r="S1039" i="3247"/>
  <c r="T1039" i="3247" l="1"/>
  <c r="S1040" i="3247"/>
  <c r="T1040" i="3247" l="1"/>
  <c r="S1041" i="3247"/>
  <c r="T1041" i="3247" s="1"/>
  <c r="S1042" i="3247"/>
  <c r="T1042" i="3247" s="1"/>
  <c r="S1043" i="3247"/>
  <c r="T1043" i="3247" l="1"/>
  <c r="S1044" i="3247"/>
  <c r="T1044" i="3247" l="1"/>
  <c r="S1045" i="3247"/>
  <c r="T1045" i="3247" l="1"/>
  <c r="S1046" i="3247"/>
  <c r="T1046" i="3247" s="1"/>
  <c r="S1047" i="3247"/>
  <c r="T1047" i="3247" l="1"/>
  <c r="S1048" i="3247"/>
  <c r="T1048" i="3247" s="1"/>
  <c r="S1049" i="3247"/>
  <c r="T1049" i="3247" s="1"/>
  <c r="S1050" i="3247"/>
  <c r="T1050" i="3247" l="1"/>
  <c r="S1051" i="3247"/>
  <c r="T1051" i="3247" l="1"/>
  <c r="S1052" i="3247"/>
  <c r="T1052" i="3247" l="1"/>
  <c r="S1053" i="3247"/>
  <c r="T1053" i="3247" l="1"/>
  <c r="S1054" i="3247"/>
  <c r="T1054" i="3247" l="1"/>
  <c r="S1055" i="3247"/>
  <c r="T1055" i="3247" s="1"/>
  <c r="S1056" i="3247"/>
  <c r="T1056" i="3247"/>
  <c r="S1057" i="3247"/>
  <c r="T1057" i="3247" l="1"/>
  <c r="S1058" i="3247"/>
  <c r="T1058" i="3247" l="1"/>
  <c r="S1059" i="3247"/>
  <c r="T1059" i="3247" l="1"/>
  <c r="S1060" i="3247"/>
  <c r="T1060" i="3247" l="1"/>
  <c r="S1061" i="3247"/>
  <c r="T1061" i="3247" l="1"/>
  <c r="S1062" i="3247"/>
  <c r="T1062" i="3247" s="1"/>
  <c r="S1063" i="3247"/>
  <c r="T1063" i="3247"/>
  <c r="S1064" i="3247"/>
  <c r="T1064" i="3247" l="1"/>
  <c r="S1065" i="3247"/>
  <c r="T1065" i="3247" l="1"/>
  <c r="S1066" i="3247"/>
  <c r="T1066" i="3247" l="1"/>
  <c r="S1067" i="3247"/>
  <c r="T1067" i="3247" l="1"/>
  <c r="S1068" i="3247"/>
  <c r="T1068" i="3247" l="1"/>
  <c r="S1069" i="3247"/>
  <c r="T1069" i="3247" s="1"/>
  <c r="S1070" i="3247"/>
  <c r="T1070" i="3247" s="1"/>
  <c r="S1071" i="3247"/>
  <c r="T1071" i="3247" l="1"/>
  <c r="S1072" i="3247"/>
  <c r="T1072" i="3247" l="1"/>
  <c r="S1073" i="3247"/>
  <c r="T1073" i="3247" l="1"/>
  <c r="S1074" i="3247"/>
  <c r="T1074" i="3247" s="1"/>
  <c r="S1075" i="3247"/>
  <c r="T1075" i="3247" l="1"/>
  <c r="S1076" i="3247"/>
  <c r="T1076" i="3247" s="1"/>
  <c r="S1077" i="3247"/>
  <c r="T1077" i="3247" s="1"/>
  <c r="S1078" i="3247"/>
  <c r="T1078" i="3247" l="1"/>
  <c r="S1079" i="3247"/>
  <c r="T1079" i="3247" l="1"/>
  <c r="S1080" i="3247"/>
  <c r="T1080" i="3247" l="1"/>
  <c r="S1081" i="3247"/>
  <c r="T1081" i="3247" s="1"/>
  <c r="S1082" i="3247"/>
  <c r="T1082" i="3247" l="1"/>
  <c r="S1083" i="3247"/>
  <c r="T1083" i="3247"/>
  <c r="S1084" i="3247"/>
  <c r="T1084" i="3247" s="1"/>
  <c r="S1085" i="3247"/>
  <c r="T1085" i="3247" l="1"/>
  <c r="S1086" i="3247"/>
  <c r="T1086" i="3247" l="1"/>
  <c r="S1087" i="3247"/>
  <c r="T1087" i="3247" l="1"/>
  <c r="S1088" i="3247"/>
  <c r="T1088" i="3247" l="1"/>
  <c r="S1089" i="3247"/>
  <c r="T1089" i="3247" l="1"/>
  <c r="S1090" i="3247"/>
  <c r="T1090" i="3247"/>
  <c r="S1091" i="3247"/>
  <c r="T1091" i="3247"/>
  <c r="S1092" i="3247"/>
  <c r="T1092" i="3247" l="1"/>
  <c r="S1093" i="3247"/>
  <c r="T1093" i="3247" l="1"/>
  <c r="S1094" i="3247"/>
  <c r="T1094" i="3247" l="1"/>
  <c r="S1095" i="3247"/>
  <c r="T1095" i="3247" l="1"/>
  <c r="S1096" i="3247"/>
  <c r="T1096" i="3247" l="1"/>
  <c r="S1097" i="3247"/>
  <c r="T1097" i="3247"/>
  <c r="S1098" i="3247"/>
  <c r="T1098" i="3247"/>
  <c r="S1099" i="3247"/>
  <c r="T1099" i="3247"/>
  <c r="S1100" i="3247"/>
  <c r="T1100" i="3247" l="1"/>
  <c r="S1101" i="3247"/>
  <c r="T1101" i="3247" l="1"/>
  <c r="S1102" i="3247"/>
  <c r="T1102" i="3247" l="1"/>
  <c r="S1103" i="3247"/>
  <c r="T1103" i="3247" l="1"/>
  <c r="S1104" i="3247"/>
  <c r="T1104" i="3247"/>
  <c r="S1105" i="3247"/>
  <c r="T1105" i="3247" s="1"/>
  <c r="S1106" i="3247"/>
  <c r="T1106" i="3247" l="1"/>
  <c r="S1107" i="3247"/>
  <c r="T1107" i="3247" l="1"/>
  <c r="S1108" i="3247"/>
  <c r="T1108" i="3247" l="1"/>
  <c r="S1109" i="3247"/>
  <c r="T1109" i="3247" l="1"/>
  <c r="S1110" i="3247"/>
  <c r="T1110" i="3247" l="1"/>
  <c r="S1111" i="3247"/>
  <c r="T1111" i="3247" s="1"/>
  <c r="S1112" i="3247"/>
  <c r="T1112" i="3247" s="1"/>
  <c r="S1113" i="3247"/>
  <c r="T1113" i="3247" l="1"/>
  <c r="S1114" i="3247"/>
  <c r="T1114" i="3247" l="1"/>
  <c r="S1115" i="3247"/>
  <c r="T1115" i="3247" l="1"/>
  <c r="S1116" i="3247"/>
  <c r="T1116" i="3247" l="1"/>
  <c r="S1117" i="3247"/>
  <c r="T1117" i="3247" l="1"/>
  <c r="S1118" i="3247"/>
  <c r="T1118" i="3247"/>
  <c r="S1119" i="3247"/>
  <c r="T1119" i="3247"/>
  <c r="S1120" i="3247"/>
  <c r="T1120" i="3247" l="1"/>
  <c r="S1121" i="3247"/>
  <c r="T1121" i="3247" l="1"/>
  <c r="S1122" i="3247"/>
  <c r="T1122" i="3247" l="1"/>
  <c r="S1123" i="3247"/>
  <c r="T1123" i="3247" l="1"/>
  <c r="S1124" i="3247"/>
  <c r="T1124" i="3247" l="1"/>
  <c r="S1125" i="3247"/>
  <c r="T1125" i="3247"/>
  <c r="S1126" i="3247"/>
  <c r="T1126" i="3247"/>
  <c r="S1127" i="3247"/>
  <c r="T1127" i="3247"/>
  <c r="S1128" i="3247"/>
  <c r="T1128" i="3247" l="1"/>
  <c r="S1129" i="3247"/>
  <c r="T1129" i="3247" l="1"/>
  <c r="S1130" i="3247"/>
  <c r="T1130" i="3247" l="1"/>
  <c r="S1131" i="3247"/>
  <c r="T1131" i="3247" l="1"/>
  <c r="S1132" i="3247"/>
  <c r="T1132" i="3247" s="1"/>
  <c r="S1133" i="3247"/>
  <c r="T1133" i="3247" s="1"/>
  <c r="S1134" i="3247"/>
  <c r="T1134" i="3247" l="1"/>
  <c r="S1135" i="3247"/>
  <c r="T1135" i="3247" l="1"/>
  <c r="S1136" i="3247"/>
  <c r="T1136" i="3247" l="1"/>
  <c r="S1137" i="3247"/>
  <c r="T1137" i="3247" l="1"/>
  <c r="S1138" i="3247"/>
  <c r="T1138" i="3247" l="1"/>
  <c r="S1139" i="3247"/>
  <c r="T1139" i="3247" l="1"/>
  <c r="S1140" i="3247"/>
  <c r="T1140" i="3247" l="1"/>
  <c r="S1141" i="3247"/>
  <c r="T1141" i="3247" l="1"/>
  <c r="S1142" i="3247"/>
  <c r="T1142" i="3247" l="1"/>
  <c r="S1143" i="3247"/>
  <c r="T1143" i="3247" l="1"/>
  <c r="S1144" i="3247"/>
  <c r="T1144" i="3247" l="1"/>
  <c r="S1145" i="3247"/>
  <c r="T1145" i="3247" l="1"/>
  <c r="S1146" i="3247"/>
  <c r="T1146" i="3247" s="1"/>
  <c r="S1147" i="3247"/>
  <c r="T1147" i="3247"/>
  <c r="S1148" i="3247"/>
  <c r="T1148" i="3247" l="1"/>
  <c r="S1149" i="3247"/>
  <c r="T1149" i="3247" l="1"/>
  <c r="S1150" i="3247"/>
  <c r="T1150" i="3247" l="1"/>
  <c r="S1151" i="3247"/>
  <c r="T1151" i="3247" l="1"/>
  <c r="S1152" i="3247"/>
  <c r="T1152" i="3247" l="1"/>
  <c r="S1153" i="3247"/>
  <c r="T1153" i="3247"/>
  <c r="S1154" i="3247"/>
  <c r="T1154" i="3247" s="1"/>
  <c r="S1155" i="3247"/>
  <c r="T1155" i="3247" l="1"/>
  <c r="S1156" i="3247"/>
  <c r="T1156" i="3247" l="1"/>
  <c r="S1157" i="3247"/>
  <c r="T1157" i="3247" l="1"/>
  <c r="S1158" i="3247"/>
  <c r="T1158" i="3247" l="1"/>
  <c r="S1159" i="3247"/>
  <c r="T1159" i="3247" l="1"/>
  <c r="S1160" i="3247"/>
  <c r="T1160" i="3247" s="1"/>
  <c r="S1161" i="3247"/>
  <c r="T1161" i="3247" s="1"/>
  <c r="S1162" i="3247"/>
  <c r="T1162" i="3247" l="1"/>
  <c r="S1163" i="3247"/>
  <c r="T1163" i="3247" l="1"/>
  <c r="S1164" i="3247"/>
  <c r="T1164" i="3247" l="1"/>
  <c r="S1165" i="3247"/>
  <c r="T1165" i="3247" l="1"/>
  <c r="S1166" i="3247"/>
  <c r="T1166" i="3247" l="1"/>
  <c r="S1167" i="3247"/>
  <c r="T1167" i="3247"/>
  <c r="S1168" i="3247"/>
  <c r="T1168" i="3247" s="1"/>
  <c r="S1169" i="3247"/>
  <c r="T1169" i="3247" l="1"/>
  <c r="S1170" i="3247"/>
  <c r="T1170" i="3247" l="1"/>
  <c r="S1171" i="3247"/>
  <c r="T1171" i="3247" l="1"/>
  <c r="S1172" i="3247"/>
  <c r="T1172" i="3247" l="1"/>
  <c r="S1173" i="3247"/>
  <c r="T1173" i="3247" s="1"/>
  <c r="S1174" i="3247"/>
  <c r="T1174" i="3247"/>
  <c r="S1175" i="3247"/>
  <c r="T1175" i="3247"/>
  <c r="S1176" i="3247"/>
  <c r="T1176" i="3247" l="1"/>
  <c r="S1177" i="3247"/>
  <c r="T1177" i="3247" l="1"/>
  <c r="S1178" i="3247"/>
  <c r="T1178" i="3247" l="1"/>
  <c r="S1179" i="3247"/>
  <c r="T1179" i="3247" l="1"/>
  <c r="S1180" i="3247"/>
  <c r="T1180" i="3247" l="1"/>
  <c r="S1181" i="3247"/>
  <c r="T1181" i="3247" s="1"/>
  <c r="S1182" i="3247"/>
  <c r="T1182" i="3247" s="1"/>
  <c r="S1183" i="3247"/>
  <c r="T1183" i="3247" l="1"/>
  <c r="S1184" i="3247"/>
  <c r="T1184" i="3247" l="1"/>
  <c r="S1185" i="3247"/>
  <c r="T1185" i="3247" l="1"/>
  <c r="S1186" i="3247"/>
  <c r="T1186" i="3247" l="1"/>
  <c r="S1187" i="3247"/>
  <c r="T1187" i="3247"/>
  <c r="B2" i="3245"/>
  <c r="M2" i="3245"/>
  <c r="O2" i="3245"/>
  <c r="R2" i="3245"/>
  <c r="U2" i="3245"/>
  <c r="V2" i="3245"/>
  <c r="W2" i="3245"/>
  <c r="X2" i="3245"/>
  <c r="Y2" i="3245"/>
  <c r="Z2" i="3245"/>
  <c r="AA2" i="3245"/>
  <c r="AB2" i="3245" s="1"/>
  <c r="AC2" i="3245" s="1"/>
  <c r="B3" i="3245"/>
  <c r="M3" i="3245"/>
  <c r="O3" i="3245"/>
  <c r="S3" i="3245"/>
  <c r="S19" i="3245" s="1"/>
  <c r="T3" i="3245"/>
  <c r="T19" i="3245" s="1"/>
  <c r="U3" i="3245"/>
  <c r="U19" i="3245" s="1"/>
  <c r="V3" i="3245"/>
  <c r="V19" i="3245" s="1"/>
  <c r="W3" i="3245"/>
  <c r="W8" i="3245" s="1"/>
  <c r="X3" i="3245"/>
  <c r="X8" i="3245" s="1"/>
  <c r="Y3" i="3245"/>
  <c r="Y8" i="3245" s="1"/>
  <c r="Z3" i="3245"/>
  <c r="Z19" i="3245" s="1"/>
  <c r="AA3" i="3245"/>
  <c r="AA19" i="3245" s="1"/>
  <c r="AB3" i="3245"/>
  <c r="AB8" i="3245" s="1"/>
  <c r="AC3" i="3245"/>
  <c r="AC19" i="3245" s="1"/>
  <c r="B4" i="3245"/>
  <c r="D4" i="3245"/>
  <c r="M4" i="3245"/>
  <c r="O4" i="3245"/>
  <c r="R4" i="3245"/>
  <c r="B5" i="3245"/>
  <c r="D5" i="3245"/>
  <c r="M5" i="3245"/>
  <c r="O5" i="3245"/>
  <c r="B11" i="3245"/>
  <c r="P5" i="3245"/>
  <c r="R5" i="3245"/>
  <c r="S5" i="3245"/>
  <c r="T5" i="3245"/>
  <c r="U5" i="3245"/>
  <c r="V5" i="3245"/>
  <c r="W5" i="3245"/>
  <c r="X5" i="3245"/>
  <c r="Y5" i="3245"/>
  <c r="Z5" i="3245"/>
  <c r="AA5" i="3245"/>
  <c r="AB5" i="3245"/>
  <c r="AC5" i="3245"/>
  <c r="AI5" i="3245"/>
  <c r="AJ5" i="3245"/>
  <c r="B6" i="3245"/>
  <c r="D6" i="3245"/>
  <c r="M6" i="3245"/>
  <c r="O6" i="3245"/>
  <c r="R6" i="3245"/>
  <c r="S6" i="3245"/>
  <c r="T6" i="3245"/>
  <c r="U6" i="3245"/>
  <c r="V6" i="3245"/>
  <c r="W6" i="3245"/>
  <c r="X6" i="3245"/>
  <c r="Y6" i="3245"/>
  <c r="Z6" i="3245"/>
  <c r="AA6" i="3245"/>
  <c r="AB6" i="3245"/>
  <c r="AC6" i="3245"/>
  <c r="AF6" i="3245"/>
  <c r="AG6" i="3245"/>
  <c r="AH6" i="3245"/>
  <c r="AI6" i="3245"/>
  <c r="AJ6" i="3245"/>
  <c r="AL6" i="3245"/>
  <c r="B7" i="3245"/>
  <c r="D7" i="3245"/>
  <c r="M7" i="3245"/>
  <c r="O7" i="3245"/>
  <c r="R7" i="3245"/>
  <c r="S7" i="3245"/>
  <c r="T7" i="3245"/>
  <c r="U7" i="3245"/>
  <c r="V7" i="3245"/>
  <c r="W7" i="3245"/>
  <c r="X7" i="3245"/>
  <c r="Y7" i="3245"/>
  <c r="Z7" i="3245"/>
  <c r="AA7" i="3245"/>
  <c r="AB7" i="3245"/>
  <c r="AC7" i="3245"/>
  <c r="AF7" i="3245"/>
  <c r="AG7" i="3245"/>
  <c r="AH7" i="3245"/>
  <c r="AI7" i="3245"/>
  <c r="AJ7" i="3245"/>
  <c r="AL7" i="3245"/>
  <c r="B8" i="3245"/>
  <c r="D8" i="3245"/>
  <c r="M8" i="3245"/>
  <c r="O8" i="3245"/>
  <c r="R8" i="3245"/>
  <c r="S8" i="3245"/>
  <c r="T8" i="3245"/>
  <c r="U8" i="3245"/>
  <c r="V8" i="3245"/>
  <c r="Z8" i="3245"/>
  <c r="AA8" i="3245"/>
  <c r="AF8" i="3245"/>
  <c r="AG8" i="3245"/>
  <c r="AH8" i="3245"/>
  <c r="AI8" i="3245"/>
  <c r="AJ8" i="3245"/>
  <c r="AL8" i="3245"/>
  <c r="B9" i="3245"/>
  <c r="D9" i="3245"/>
  <c r="M9" i="3245"/>
  <c r="O9" i="3245"/>
  <c r="R9" i="3245"/>
  <c r="S9" i="3245"/>
  <c r="T9" i="3245"/>
  <c r="U9" i="3245"/>
  <c r="V9" i="3245"/>
  <c r="W9" i="3245"/>
  <c r="X9" i="3245"/>
  <c r="Y9" i="3245"/>
  <c r="Z9" i="3245"/>
  <c r="AA9" i="3245"/>
  <c r="AB9" i="3245"/>
  <c r="AC9" i="3245"/>
  <c r="AF9" i="3245"/>
  <c r="AG9" i="3245"/>
  <c r="AH9" i="3245"/>
  <c r="AI9" i="3245"/>
  <c r="AJ9" i="3245"/>
  <c r="AL9" i="3245"/>
  <c r="B10" i="3245"/>
  <c r="D10" i="3245"/>
  <c r="M10" i="3245"/>
  <c r="O10" i="3245"/>
  <c r="R10" i="3245"/>
  <c r="S10" i="3245"/>
  <c r="T10" i="3245"/>
  <c r="U10" i="3245"/>
  <c r="V10" i="3245"/>
  <c r="W10" i="3245"/>
  <c r="X10" i="3245"/>
  <c r="Y10" i="3245"/>
  <c r="Z10" i="3245"/>
  <c r="AA10" i="3245"/>
  <c r="AB10" i="3245"/>
  <c r="AC10" i="3245"/>
  <c r="AF10" i="3245"/>
  <c r="AG10" i="3245"/>
  <c r="AH10" i="3245"/>
  <c r="AI10" i="3245"/>
  <c r="AJ10" i="3245"/>
  <c r="AL10" i="3245"/>
  <c r="M11" i="3245"/>
  <c r="O11" i="3245"/>
  <c r="R11" i="3245"/>
  <c r="S11" i="3245"/>
  <c r="T11" i="3245"/>
  <c r="U11" i="3245"/>
  <c r="V11" i="3245"/>
  <c r="W11" i="3245"/>
  <c r="X11" i="3245"/>
  <c r="Y11" i="3245"/>
  <c r="Z11" i="3245"/>
  <c r="AA11" i="3245"/>
  <c r="AB11" i="3245"/>
  <c r="AC11" i="3245"/>
  <c r="AF11" i="3245"/>
  <c r="AG11" i="3245"/>
  <c r="AH11" i="3245"/>
  <c r="AI11" i="3245"/>
  <c r="AJ11" i="3245"/>
  <c r="AL11" i="3245"/>
  <c r="R12" i="3245"/>
  <c r="AF12" i="3245"/>
  <c r="AG12" i="3245"/>
  <c r="AH12" i="3245"/>
  <c r="AI12" i="3245"/>
  <c r="AJ12" i="3245"/>
  <c r="AL12" i="3245"/>
  <c r="B13" i="3245"/>
  <c r="C13" i="3245"/>
  <c r="D13" i="3245"/>
  <c r="E13" i="3245"/>
  <c r="E84" i="3245" s="1"/>
  <c r="F13" i="3245"/>
  <c r="F84" i="3245" s="1"/>
  <c r="G13" i="3245"/>
  <c r="G84" i="3245" s="1"/>
  <c r="H13" i="3245"/>
  <c r="H84" i="3245" s="1"/>
  <c r="I13" i="3245"/>
  <c r="I84" i="3245" s="1"/>
  <c r="J13" i="3245"/>
  <c r="J84" i="3245" s="1"/>
  <c r="K13" i="3245"/>
  <c r="K84" i="3245" s="1"/>
  <c r="L13" i="3245"/>
  <c r="L84" i="3245" s="1"/>
  <c r="M13" i="3245"/>
  <c r="N13" i="3245"/>
  <c r="O13" i="3245"/>
  <c r="R13" i="3245"/>
  <c r="S13" i="3245"/>
  <c r="T13" i="3245"/>
  <c r="U13" i="3245"/>
  <c r="V13" i="3245"/>
  <c r="W13" i="3245"/>
  <c r="X13" i="3245"/>
  <c r="Y13" i="3245"/>
  <c r="Z13" i="3245"/>
  <c r="AA13" i="3245"/>
  <c r="AB13" i="3245"/>
  <c r="AC13" i="3245"/>
  <c r="AF13" i="3245"/>
  <c r="AG13" i="3245"/>
  <c r="AH13" i="3245"/>
  <c r="AI13" i="3245"/>
  <c r="AJ13" i="3245"/>
  <c r="AL13" i="3245"/>
  <c r="B14" i="3245"/>
  <c r="B85" i="3245" s="1"/>
  <c r="C14" i="3245"/>
  <c r="C85" i="3245" s="1"/>
  <c r="D14" i="3245"/>
  <c r="D85" i="3245" s="1"/>
  <c r="E14" i="3245"/>
  <c r="E85" i="3245" s="1"/>
  <c r="F14" i="3245"/>
  <c r="G14" i="3245"/>
  <c r="H14" i="3245"/>
  <c r="I14" i="3245"/>
  <c r="I85" i="3245" s="1"/>
  <c r="J14" i="3245"/>
  <c r="J85" i="3245" s="1"/>
  <c r="K14" i="3245"/>
  <c r="K85" i="3245" s="1"/>
  <c r="L14" i="3245"/>
  <c r="L85" i="3245" s="1"/>
  <c r="M14" i="3245"/>
  <c r="N14" i="3245"/>
  <c r="O14" i="3245"/>
  <c r="R14" i="3245"/>
  <c r="S14" i="3245"/>
  <c r="T14" i="3245"/>
  <c r="U14" i="3245"/>
  <c r="V14" i="3245"/>
  <c r="W14" i="3245"/>
  <c r="X14" i="3245"/>
  <c r="Y14" i="3245"/>
  <c r="Z14" i="3245"/>
  <c r="AA14" i="3245"/>
  <c r="AB14" i="3245"/>
  <c r="AC14" i="3245"/>
  <c r="AF14" i="3245"/>
  <c r="AG14" i="3245"/>
  <c r="AH14" i="3245"/>
  <c r="AI14" i="3245"/>
  <c r="AJ14" i="3245"/>
  <c r="AL14" i="3245"/>
  <c r="B15" i="3245"/>
  <c r="C15" i="3245"/>
  <c r="D15" i="3245"/>
  <c r="E15" i="3245"/>
  <c r="F15" i="3245"/>
  <c r="G15" i="3245"/>
  <c r="H15" i="3245"/>
  <c r="I15" i="3245"/>
  <c r="J15" i="3245"/>
  <c r="K15" i="3245"/>
  <c r="L15" i="3245"/>
  <c r="M15" i="3245"/>
  <c r="N15" i="3245"/>
  <c r="O15" i="3245"/>
  <c r="R15" i="3245"/>
  <c r="AF15" i="3245"/>
  <c r="AG15" i="3245"/>
  <c r="AH15" i="3245"/>
  <c r="AI15" i="3245"/>
  <c r="AJ15" i="3245"/>
  <c r="AL15" i="3245"/>
  <c r="B16" i="3245"/>
  <c r="C16" i="3245"/>
  <c r="D16" i="3245"/>
  <c r="E16" i="3245"/>
  <c r="F16" i="3245"/>
  <c r="G16" i="3245"/>
  <c r="H16" i="3245"/>
  <c r="I16" i="3245"/>
  <c r="J16" i="3245"/>
  <c r="K16" i="3245"/>
  <c r="L16" i="3245"/>
  <c r="M16" i="3245"/>
  <c r="N16" i="3245"/>
  <c r="O16" i="3245"/>
  <c r="R16" i="3245"/>
  <c r="S16" i="3245"/>
  <c r="T16" i="3245"/>
  <c r="U16" i="3245"/>
  <c r="V16" i="3245"/>
  <c r="W16" i="3245"/>
  <c r="X16" i="3245"/>
  <c r="Y16" i="3245"/>
  <c r="Z16" i="3245"/>
  <c r="AA16" i="3245"/>
  <c r="AB16" i="3245"/>
  <c r="AC16" i="3245"/>
  <c r="AF16" i="3245"/>
  <c r="AG16" i="3245"/>
  <c r="AH16" i="3245"/>
  <c r="AI16" i="3245"/>
  <c r="AJ16" i="3245"/>
  <c r="AL16" i="3245"/>
  <c r="B17" i="3245"/>
  <c r="C17" i="3245"/>
  <c r="C86" i="3245" s="1"/>
  <c r="D17" i="3245"/>
  <c r="D86" i="3245" s="1"/>
  <c r="E17" i="3245"/>
  <c r="F17" i="3245"/>
  <c r="G17" i="3245"/>
  <c r="H17" i="3245"/>
  <c r="I17" i="3245"/>
  <c r="J17" i="3245"/>
  <c r="K17" i="3245"/>
  <c r="L17" i="3245"/>
  <c r="M17" i="3245"/>
  <c r="N17" i="3245"/>
  <c r="O17" i="3245"/>
  <c r="R17" i="3245"/>
  <c r="S17" i="3245"/>
  <c r="T17" i="3245"/>
  <c r="U17" i="3245"/>
  <c r="V17" i="3245"/>
  <c r="W17" i="3245"/>
  <c r="X17" i="3245"/>
  <c r="Y17" i="3245"/>
  <c r="Z17" i="3245"/>
  <c r="AA17" i="3245"/>
  <c r="AB17" i="3245"/>
  <c r="AC17" i="3245"/>
  <c r="AF17" i="3245"/>
  <c r="AG17" i="3245"/>
  <c r="AH17" i="3245"/>
  <c r="AI17" i="3245"/>
  <c r="AJ17" i="3245"/>
  <c r="AL17" i="3245"/>
  <c r="B18" i="3245"/>
  <c r="C18" i="3245"/>
  <c r="D18" i="3245"/>
  <c r="E18" i="3245"/>
  <c r="F18" i="3245"/>
  <c r="G18" i="3245"/>
  <c r="H18" i="3245"/>
  <c r="I18" i="3245"/>
  <c r="J18" i="3245"/>
  <c r="K18" i="3245"/>
  <c r="L18" i="3245"/>
  <c r="M18" i="3245"/>
  <c r="N18" i="3245"/>
  <c r="O18" i="3245"/>
  <c r="R18" i="3245"/>
  <c r="T18" i="3245"/>
  <c r="U18" i="3245"/>
  <c r="V18" i="3245"/>
  <c r="W18" i="3245"/>
  <c r="X18" i="3245"/>
  <c r="Y18" i="3245"/>
  <c r="Z18" i="3245"/>
  <c r="AA18" i="3245"/>
  <c r="AB18" i="3245"/>
  <c r="AC18" i="3245"/>
  <c r="AF18" i="3245"/>
  <c r="AG18" i="3245"/>
  <c r="AH18" i="3245"/>
  <c r="AI18" i="3245"/>
  <c r="AJ18" i="3245"/>
  <c r="AL18" i="3245"/>
  <c r="B19" i="3245"/>
  <c r="C19" i="3245"/>
  <c r="D19" i="3245"/>
  <c r="E19" i="3245"/>
  <c r="F19" i="3245"/>
  <c r="G19" i="3245"/>
  <c r="H19" i="3245"/>
  <c r="I19" i="3245"/>
  <c r="J19" i="3245"/>
  <c r="K19" i="3245"/>
  <c r="L19" i="3245"/>
  <c r="M19" i="3245"/>
  <c r="N19" i="3245"/>
  <c r="O19" i="3245"/>
  <c r="AB19" i="3245"/>
  <c r="AF19" i="3245"/>
  <c r="AG19" i="3245"/>
  <c r="AH19" i="3245"/>
  <c r="AI19" i="3245"/>
  <c r="AJ19" i="3245"/>
  <c r="AL19" i="3245"/>
  <c r="B20" i="3245"/>
  <c r="C20" i="3245"/>
  <c r="D20" i="3245"/>
  <c r="E20" i="3245"/>
  <c r="F20" i="3245"/>
  <c r="G20" i="3245"/>
  <c r="H20" i="3245"/>
  <c r="I20" i="3245"/>
  <c r="J20" i="3245"/>
  <c r="K20" i="3245"/>
  <c r="L20" i="3245"/>
  <c r="M20" i="3245"/>
  <c r="N20" i="3245"/>
  <c r="O20" i="3245"/>
  <c r="R20" i="3245"/>
  <c r="AF20" i="3245"/>
  <c r="AG20" i="3245"/>
  <c r="AH20" i="3245"/>
  <c r="AI20" i="3245"/>
  <c r="AJ20" i="3245"/>
  <c r="AL20" i="3245"/>
  <c r="B21" i="3245"/>
  <c r="C21" i="3245"/>
  <c r="D21" i="3245"/>
  <c r="E21" i="3245"/>
  <c r="F21" i="3245"/>
  <c r="G21" i="3245"/>
  <c r="H21" i="3245"/>
  <c r="I21" i="3245"/>
  <c r="J21" i="3245"/>
  <c r="K21" i="3245"/>
  <c r="L21" i="3245"/>
  <c r="M21" i="3245"/>
  <c r="N21" i="3245"/>
  <c r="O21" i="3245"/>
  <c r="R21" i="3245"/>
  <c r="S21" i="3245"/>
  <c r="T21" i="3245"/>
  <c r="U21" i="3245"/>
  <c r="V21" i="3245"/>
  <c r="W21" i="3245"/>
  <c r="X21" i="3245"/>
  <c r="Y21" i="3245"/>
  <c r="Z21" i="3245"/>
  <c r="AA21" i="3245"/>
  <c r="AB21" i="3245"/>
  <c r="AC21" i="3245"/>
  <c r="AF21" i="3245"/>
  <c r="AG21" i="3245"/>
  <c r="AH21" i="3245"/>
  <c r="AI21" i="3245"/>
  <c r="AJ21" i="3245"/>
  <c r="AL21" i="3245"/>
  <c r="B22" i="3245"/>
  <c r="C22" i="3245"/>
  <c r="D22" i="3245"/>
  <c r="E22" i="3245"/>
  <c r="F22" i="3245"/>
  <c r="G22" i="3245"/>
  <c r="H22" i="3245"/>
  <c r="I22" i="3245"/>
  <c r="J22" i="3245"/>
  <c r="K22" i="3245"/>
  <c r="L22" i="3245"/>
  <c r="M22" i="3245"/>
  <c r="N22" i="3245"/>
  <c r="O22" i="3245"/>
  <c r="R22" i="3245"/>
  <c r="S22" i="3245"/>
  <c r="T22" i="3245"/>
  <c r="U22" i="3245"/>
  <c r="V22" i="3245"/>
  <c r="W22" i="3245"/>
  <c r="X22" i="3245"/>
  <c r="Y22" i="3245"/>
  <c r="Z22" i="3245"/>
  <c r="AA22" i="3245"/>
  <c r="AB22" i="3245"/>
  <c r="AC22" i="3245"/>
  <c r="AF22" i="3245"/>
  <c r="AG22" i="3245"/>
  <c r="AH22" i="3245"/>
  <c r="AI22" i="3245"/>
  <c r="AJ22" i="3245"/>
  <c r="AL22" i="3245"/>
  <c r="B23" i="3245"/>
  <c r="C23" i="3245"/>
  <c r="D23" i="3245"/>
  <c r="E23" i="3245"/>
  <c r="F23" i="3245"/>
  <c r="G23" i="3245"/>
  <c r="H23" i="3245"/>
  <c r="I23" i="3245"/>
  <c r="J23" i="3245"/>
  <c r="K23" i="3245"/>
  <c r="L23" i="3245"/>
  <c r="M23" i="3245"/>
  <c r="N23" i="3245"/>
  <c r="O23" i="3245"/>
  <c r="R23" i="3245"/>
  <c r="S23" i="3245"/>
  <c r="T23" i="3245"/>
  <c r="U23" i="3245"/>
  <c r="V23" i="3245"/>
  <c r="W23" i="3245"/>
  <c r="X23" i="3245"/>
  <c r="Y23" i="3245"/>
  <c r="Z23" i="3245"/>
  <c r="AA23" i="3245"/>
  <c r="AB23" i="3245"/>
  <c r="AC23" i="3245"/>
  <c r="AF23" i="3245"/>
  <c r="AG23" i="3245"/>
  <c r="AH23" i="3245"/>
  <c r="AI23" i="3245"/>
  <c r="AJ23" i="3245"/>
  <c r="AL23" i="3245"/>
  <c r="B24" i="3245"/>
  <c r="C24" i="3245"/>
  <c r="D24" i="3245"/>
  <c r="E24" i="3245"/>
  <c r="F24" i="3245"/>
  <c r="G24" i="3245"/>
  <c r="H24" i="3245"/>
  <c r="I24" i="3245"/>
  <c r="J24" i="3245"/>
  <c r="K24" i="3245"/>
  <c r="L24" i="3245"/>
  <c r="M24" i="3245"/>
  <c r="N24" i="3245"/>
  <c r="O24" i="3245"/>
  <c r="R24" i="3245"/>
  <c r="AF24" i="3245"/>
  <c r="AG24" i="3245"/>
  <c r="AH24" i="3245"/>
  <c r="AI24" i="3245"/>
  <c r="AJ24" i="3245"/>
  <c r="AL24" i="3245"/>
  <c r="B25" i="3245"/>
  <c r="C25" i="3245"/>
  <c r="D25" i="3245"/>
  <c r="E25" i="3245"/>
  <c r="F25" i="3245"/>
  <c r="G25" i="3245"/>
  <c r="H25" i="3245"/>
  <c r="I25" i="3245"/>
  <c r="J25" i="3245"/>
  <c r="K25" i="3245"/>
  <c r="L25" i="3245"/>
  <c r="M25" i="3245"/>
  <c r="N25" i="3245"/>
  <c r="O25" i="3245"/>
  <c r="R25" i="3245"/>
  <c r="S25" i="3245"/>
  <c r="T25" i="3245"/>
  <c r="U25" i="3245"/>
  <c r="V25" i="3245"/>
  <c r="W25" i="3245"/>
  <c r="X25" i="3245"/>
  <c r="Y25" i="3245"/>
  <c r="Z25" i="3245"/>
  <c r="AA25" i="3245"/>
  <c r="AB25" i="3245"/>
  <c r="AC25" i="3245"/>
  <c r="AF25" i="3245"/>
  <c r="AG25" i="3245"/>
  <c r="AH25" i="3245"/>
  <c r="AI25" i="3245"/>
  <c r="AJ25" i="3245"/>
  <c r="AL25" i="3245"/>
  <c r="B26" i="3245"/>
  <c r="D26" i="3245"/>
  <c r="E26" i="3245"/>
  <c r="F26" i="3245"/>
  <c r="G26" i="3245"/>
  <c r="H26" i="3245"/>
  <c r="I26" i="3245"/>
  <c r="J26" i="3245"/>
  <c r="K26" i="3245"/>
  <c r="L26" i="3245"/>
  <c r="M26" i="3245"/>
  <c r="N26" i="3245"/>
  <c r="O26" i="3245"/>
  <c r="R26" i="3245"/>
  <c r="S26" i="3245"/>
  <c r="T26" i="3245"/>
  <c r="U26" i="3245"/>
  <c r="V26" i="3245"/>
  <c r="W26" i="3245"/>
  <c r="X26" i="3245"/>
  <c r="Y26" i="3245"/>
  <c r="Z26" i="3245"/>
  <c r="AA26" i="3245"/>
  <c r="AB26" i="3245"/>
  <c r="AC26" i="3245"/>
  <c r="AF26" i="3245"/>
  <c r="AG26" i="3245"/>
  <c r="AH26" i="3245"/>
  <c r="AI26" i="3245"/>
  <c r="AJ26" i="3245"/>
  <c r="AL26" i="3245"/>
  <c r="B27" i="3245"/>
  <c r="D27" i="3245"/>
  <c r="E27" i="3245"/>
  <c r="F27" i="3245"/>
  <c r="G27" i="3245"/>
  <c r="H27" i="3245"/>
  <c r="I27" i="3245"/>
  <c r="J27" i="3245"/>
  <c r="K27" i="3245"/>
  <c r="L27" i="3245"/>
  <c r="M27" i="3245"/>
  <c r="N27" i="3245"/>
  <c r="O27" i="3245"/>
  <c r="AF27" i="3245"/>
  <c r="AG27" i="3245"/>
  <c r="AH27" i="3245"/>
  <c r="AI27" i="3245"/>
  <c r="AJ27" i="3245"/>
  <c r="AL27" i="3245"/>
  <c r="D28" i="3245"/>
  <c r="E28" i="3245"/>
  <c r="F28" i="3245"/>
  <c r="G28" i="3245"/>
  <c r="H28" i="3245"/>
  <c r="I28" i="3245"/>
  <c r="J28" i="3245"/>
  <c r="K28" i="3245"/>
  <c r="L28" i="3245"/>
  <c r="M28" i="3245"/>
  <c r="N28" i="3245"/>
  <c r="O28" i="3245"/>
  <c r="AF28" i="3245"/>
  <c r="AG28" i="3245"/>
  <c r="AH28" i="3245"/>
  <c r="AI28" i="3245"/>
  <c r="AJ28" i="3245"/>
  <c r="AL28" i="3245"/>
  <c r="B29" i="3245"/>
  <c r="D29" i="3245"/>
  <c r="E29" i="3245"/>
  <c r="F29" i="3245"/>
  <c r="G29" i="3245"/>
  <c r="H29" i="3245"/>
  <c r="I29" i="3245"/>
  <c r="J29" i="3245"/>
  <c r="K29" i="3245"/>
  <c r="L29" i="3245"/>
  <c r="M29" i="3245"/>
  <c r="N29" i="3245"/>
  <c r="O29" i="3245"/>
  <c r="AF29" i="3245"/>
  <c r="AG29" i="3245"/>
  <c r="AH29" i="3245"/>
  <c r="AI29" i="3245"/>
  <c r="AJ29" i="3245"/>
  <c r="AL29" i="3245"/>
  <c r="B30" i="3245"/>
  <c r="D30" i="3245"/>
  <c r="E30" i="3245"/>
  <c r="F30" i="3245"/>
  <c r="G30" i="3245"/>
  <c r="H30" i="3245"/>
  <c r="I30" i="3245"/>
  <c r="J30" i="3245"/>
  <c r="K30" i="3245"/>
  <c r="L30" i="3245"/>
  <c r="M30" i="3245"/>
  <c r="N30" i="3245"/>
  <c r="O30" i="3245"/>
  <c r="AF30" i="3245"/>
  <c r="AG30" i="3245"/>
  <c r="AH30" i="3245"/>
  <c r="AI30" i="3245"/>
  <c r="AJ30" i="3245"/>
  <c r="AL30" i="3245"/>
  <c r="B31" i="3245"/>
  <c r="D31" i="3245"/>
  <c r="E31" i="3245"/>
  <c r="F31" i="3245"/>
  <c r="G31" i="3245"/>
  <c r="H31" i="3245"/>
  <c r="I31" i="3245"/>
  <c r="J31" i="3245"/>
  <c r="K31" i="3245"/>
  <c r="L31" i="3245"/>
  <c r="M31" i="3245"/>
  <c r="N31" i="3245"/>
  <c r="O31" i="3245"/>
  <c r="AF31" i="3245"/>
  <c r="AG31" i="3245"/>
  <c r="AH31" i="3245"/>
  <c r="AI31" i="3245"/>
  <c r="AJ31" i="3245"/>
  <c r="AL31" i="3245"/>
  <c r="B32" i="3245"/>
  <c r="D32" i="3245"/>
  <c r="E32" i="3245"/>
  <c r="F32" i="3245"/>
  <c r="G32" i="3245"/>
  <c r="H32" i="3245"/>
  <c r="I32" i="3245"/>
  <c r="J32" i="3245"/>
  <c r="K32" i="3245"/>
  <c r="L32" i="3245"/>
  <c r="M32" i="3245"/>
  <c r="N32" i="3245"/>
  <c r="O32" i="3245"/>
  <c r="AF32" i="3245"/>
  <c r="AG32" i="3245"/>
  <c r="AH32" i="3245"/>
  <c r="AI32" i="3245"/>
  <c r="AJ32" i="3245"/>
  <c r="AL32" i="3245"/>
  <c r="B33" i="3245"/>
  <c r="D33" i="3245"/>
  <c r="E33" i="3245"/>
  <c r="F33" i="3245"/>
  <c r="G33" i="3245"/>
  <c r="H33" i="3245"/>
  <c r="I33" i="3245"/>
  <c r="J33" i="3245"/>
  <c r="K33" i="3245"/>
  <c r="L33" i="3245"/>
  <c r="M33" i="3245"/>
  <c r="N33" i="3245"/>
  <c r="O33" i="3245"/>
  <c r="AF33" i="3245"/>
  <c r="AG33" i="3245"/>
  <c r="AH33" i="3245"/>
  <c r="AI33" i="3245"/>
  <c r="AJ33" i="3245"/>
  <c r="AL33" i="3245"/>
  <c r="B34" i="3245"/>
  <c r="C34" i="3245"/>
  <c r="D34" i="3245"/>
  <c r="E34" i="3245"/>
  <c r="F34" i="3245"/>
  <c r="G34" i="3245"/>
  <c r="H34" i="3245"/>
  <c r="I34" i="3245"/>
  <c r="J34" i="3245"/>
  <c r="K34" i="3245"/>
  <c r="L34" i="3245"/>
  <c r="M34" i="3245"/>
  <c r="N34" i="3245"/>
  <c r="O34" i="3245"/>
  <c r="AF34" i="3245"/>
  <c r="AG34" i="3245"/>
  <c r="AH34" i="3245"/>
  <c r="AI34" i="3245"/>
  <c r="AJ34" i="3245"/>
  <c r="AL34" i="3245"/>
  <c r="B35" i="3245"/>
  <c r="C35" i="3245"/>
  <c r="D35" i="3245"/>
  <c r="E35" i="3245"/>
  <c r="F35" i="3245"/>
  <c r="G35" i="3245"/>
  <c r="H35" i="3245"/>
  <c r="I35" i="3245"/>
  <c r="J35" i="3245"/>
  <c r="K35" i="3245"/>
  <c r="L35" i="3245"/>
  <c r="M35" i="3245"/>
  <c r="N35" i="3245"/>
  <c r="O35" i="3245"/>
  <c r="AF35" i="3245"/>
  <c r="AG35" i="3245"/>
  <c r="AH35" i="3245"/>
  <c r="AI35" i="3245"/>
  <c r="AJ35" i="3245"/>
  <c r="AL35" i="3245"/>
  <c r="B36" i="3245"/>
  <c r="C36" i="3245"/>
  <c r="D36" i="3245"/>
  <c r="E36" i="3245"/>
  <c r="F36" i="3245"/>
  <c r="G36" i="3245"/>
  <c r="H36" i="3245"/>
  <c r="I36" i="3245"/>
  <c r="J36" i="3245"/>
  <c r="K36" i="3245"/>
  <c r="L36" i="3245"/>
  <c r="M36" i="3245"/>
  <c r="N36" i="3245"/>
  <c r="O36" i="3245"/>
  <c r="AF36" i="3245"/>
  <c r="AG36" i="3245"/>
  <c r="AH36" i="3245"/>
  <c r="AI36" i="3245"/>
  <c r="AJ36" i="3245"/>
  <c r="AL36" i="3245"/>
  <c r="B37" i="3245"/>
  <c r="C37" i="3245"/>
  <c r="D37" i="3245"/>
  <c r="E37" i="3245"/>
  <c r="F37" i="3245"/>
  <c r="G37" i="3245"/>
  <c r="H37" i="3245"/>
  <c r="I37" i="3245"/>
  <c r="J37" i="3245"/>
  <c r="K37" i="3245"/>
  <c r="L37" i="3245"/>
  <c r="M37" i="3245"/>
  <c r="N37" i="3245"/>
  <c r="AF37" i="3245"/>
  <c r="AG37" i="3245"/>
  <c r="AH37" i="3245"/>
  <c r="AI37" i="3245"/>
  <c r="AJ37" i="3245"/>
  <c r="AL37" i="3245"/>
  <c r="B38" i="3245"/>
  <c r="E38" i="3245"/>
  <c r="F38" i="3245"/>
  <c r="AF38" i="3245"/>
  <c r="AG38" i="3245"/>
  <c r="AH38" i="3245"/>
  <c r="AI38" i="3245"/>
  <c r="AJ38" i="3245"/>
  <c r="AL38" i="3245"/>
  <c r="B39" i="3245"/>
  <c r="E39" i="3245"/>
  <c r="F39" i="3245"/>
  <c r="G39" i="3245"/>
  <c r="AF39" i="3245"/>
  <c r="AG39" i="3245"/>
  <c r="AH39" i="3245"/>
  <c r="AI39" i="3245"/>
  <c r="AJ39" i="3245"/>
  <c r="AL39" i="3245"/>
  <c r="B40" i="3245"/>
  <c r="E40" i="3245"/>
  <c r="F40" i="3245"/>
  <c r="G40" i="3245"/>
  <c r="AF40" i="3245"/>
  <c r="AG40" i="3245"/>
  <c r="AH40" i="3245"/>
  <c r="AI40" i="3245"/>
  <c r="AJ40" i="3245"/>
  <c r="AL40" i="3245"/>
  <c r="B41" i="3245"/>
  <c r="E41" i="3245"/>
  <c r="F41" i="3245"/>
  <c r="G41" i="3245"/>
  <c r="AF41" i="3245"/>
  <c r="AG41" i="3245"/>
  <c r="AH41" i="3245"/>
  <c r="AI41" i="3245"/>
  <c r="AJ41" i="3245"/>
  <c r="AL41" i="3245"/>
  <c r="B42" i="3245"/>
  <c r="E42" i="3245"/>
  <c r="F42" i="3245"/>
  <c r="G42" i="3245"/>
  <c r="AF42" i="3245"/>
  <c r="AG42" i="3245"/>
  <c r="AH42" i="3245"/>
  <c r="AI42" i="3245"/>
  <c r="AJ42" i="3245"/>
  <c r="AL42" i="3245"/>
  <c r="B43" i="3245"/>
  <c r="E43" i="3245"/>
  <c r="F43" i="3245"/>
  <c r="G43" i="3245"/>
  <c r="AF43" i="3245"/>
  <c r="AG43" i="3245"/>
  <c r="AH43" i="3245"/>
  <c r="AI43" i="3245"/>
  <c r="AJ43" i="3245"/>
  <c r="AL43" i="3245"/>
  <c r="B44" i="3245"/>
  <c r="E44" i="3245"/>
  <c r="F44" i="3245"/>
  <c r="G44" i="3245"/>
  <c r="AF44" i="3245"/>
  <c r="AG44" i="3245"/>
  <c r="AH44" i="3245"/>
  <c r="AI44" i="3245"/>
  <c r="AJ44" i="3245"/>
  <c r="AL44" i="3245"/>
  <c r="B45" i="3245"/>
  <c r="E45" i="3245"/>
  <c r="F45" i="3245"/>
  <c r="G45" i="3245"/>
  <c r="AF45" i="3245"/>
  <c r="AG45" i="3245"/>
  <c r="AH45" i="3245"/>
  <c r="AI45" i="3245"/>
  <c r="AJ45" i="3245"/>
  <c r="AL45" i="3245"/>
  <c r="B46" i="3245"/>
  <c r="E46" i="3245"/>
  <c r="F46" i="3245"/>
  <c r="G46" i="3245"/>
  <c r="AF46" i="3245"/>
  <c r="AG46" i="3245"/>
  <c r="AH46" i="3245"/>
  <c r="AI46" i="3245"/>
  <c r="AJ46" i="3245"/>
  <c r="AL46" i="3245"/>
  <c r="B47" i="3245"/>
  <c r="E47" i="3245"/>
  <c r="F47" i="3245"/>
  <c r="G47" i="3245"/>
  <c r="AF47" i="3245"/>
  <c r="AG47" i="3245"/>
  <c r="AH47" i="3245"/>
  <c r="AI47" i="3245"/>
  <c r="AJ47" i="3245"/>
  <c r="AL47" i="3245"/>
  <c r="B48" i="3245"/>
  <c r="E48" i="3245"/>
  <c r="F48" i="3245"/>
  <c r="G48" i="3245"/>
  <c r="AF48" i="3245"/>
  <c r="AG48" i="3245"/>
  <c r="AH48" i="3245"/>
  <c r="AI48" i="3245"/>
  <c r="AJ48" i="3245"/>
  <c r="AL48" i="3245"/>
  <c r="B49" i="3245"/>
  <c r="E49" i="3245"/>
  <c r="F49" i="3245"/>
  <c r="G49" i="3245"/>
  <c r="AF49" i="3245"/>
  <c r="AG49" i="3245"/>
  <c r="AH49" i="3245"/>
  <c r="AI49" i="3245"/>
  <c r="AJ49" i="3245"/>
  <c r="AL49" i="3245"/>
  <c r="B50" i="3245"/>
  <c r="E50" i="3245"/>
  <c r="AF50" i="3245"/>
  <c r="AG50" i="3245"/>
  <c r="AH50" i="3245"/>
  <c r="AI50" i="3245"/>
  <c r="AJ50" i="3245"/>
  <c r="AL50" i="3245"/>
  <c r="B51" i="3245"/>
  <c r="D51" i="3245"/>
  <c r="E51" i="3245"/>
  <c r="G51" i="3245"/>
  <c r="AF51" i="3245"/>
  <c r="AG51" i="3245"/>
  <c r="AH51" i="3245"/>
  <c r="AI51" i="3245"/>
  <c r="AJ51" i="3245"/>
  <c r="AL51" i="3245"/>
  <c r="B52" i="3245"/>
  <c r="D52" i="3245"/>
  <c r="E52" i="3245"/>
  <c r="G52" i="3245"/>
  <c r="AF52" i="3245"/>
  <c r="AG52" i="3245"/>
  <c r="AH52" i="3245"/>
  <c r="AI52" i="3245"/>
  <c r="AJ52" i="3245"/>
  <c r="AL52" i="3245"/>
  <c r="B53" i="3245"/>
  <c r="D53" i="3245"/>
  <c r="E53" i="3245"/>
  <c r="G53" i="3245"/>
  <c r="AF53" i="3245"/>
  <c r="AG53" i="3245"/>
  <c r="AH53" i="3245"/>
  <c r="AI53" i="3245"/>
  <c r="AJ53" i="3245"/>
  <c r="AL53" i="3245"/>
  <c r="B54" i="3245"/>
  <c r="D54" i="3245"/>
  <c r="E54" i="3245"/>
  <c r="G54" i="3245"/>
  <c r="AF54" i="3245"/>
  <c r="AG54" i="3245"/>
  <c r="AH54" i="3245"/>
  <c r="AI54" i="3245"/>
  <c r="AJ54" i="3245"/>
  <c r="AL54" i="3245"/>
  <c r="B55" i="3245"/>
  <c r="D55" i="3245"/>
  <c r="E55" i="3245"/>
  <c r="G55" i="3245"/>
  <c r="AF55" i="3245"/>
  <c r="AG55" i="3245"/>
  <c r="AH55" i="3245"/>
  <c r="AI55" i="3245"/>
  <c r="AJ55" i="3245"/>
  <c r="AL55" i="3245"/>
  <c r="B56" i="3245"/>
  <c r="D56" i="3245"/>
  <c r="E56" i="3245"/>
  <c r="G56" i="3245"/>
  <c r="AF56" i="3245"/>
  <c r="AG56" i="3245"/>
  <c r="AH56" i="3245"/>
  <c r="AI56" i="3245"/>
  <c r="AJ56" i="3245"/>
  <c r="AL56" i="3245"/>
  <c r="B57" i="3245"/>
  <c r="D57" i="3245"/>
  <c r="E57" i="3245"/>
  <c r="G57" i="3245"/>
  <c r="AF57" i="3245"/>
  <c r="AG57" i="3245"/>
  <c r="AH57" i="3245"/>
  <c r="AI57" i="3245"/>
  <c r="AJ57" i="3245"/>
  <c r="AL57" i="3245"/>
  <c r="D58" i="3245"/>
  <c r="B58" i="3245"/>
  <c r="G58" i="3245"/>
  <c r="E58" i="3245" s="1"/>
  <c r="H58" i="3245"/>
  <c r="AF58" i="3245"/>
  <c r="AG58" i="3245"/>
  <c r="AH58" i="3245"/>
  <c r="AI58" i="3245"/>
  <c r="AJ58" i="3245"/>
  <c r="AL58" i="3245"/>
  <c r="AF59" i="3245"/>
  <c r="AG59" i="3245"/>
  <c r="AH59" i="3245"/>
  <c r="AI59" i="3245"/>
  <c r="AJ59" i="3245"/>
  <c r="AL59" i="3245"/>
  <c r="B60" i="3245"/>
  <c r="C60" i="3245"/>
  <c r="D60" i="3245"/>
  <c r="E60" i="3245"/>
  <c r="F60" i="3245"/>
  <c r="G60" i="3245"/>
  <c r="H60" i="3245"/>
  <c r="I60" i="3245"/>
  <c r="J60" i="3245"/>
  <c r="K60" i="3245"/>
  <c r="L60" i="3245"/>
  <c r="M60" i="3245"/>
  <c r="N60" i="3245"/>
  <c r="O60" i="3245"/>
  <c r="AF60" i="3245"/>
  <c r="AG60" i="3245"/>
  <c r="AH60" i="3245"/>
  <c r="AI60" i="3245"/>
  <c r="AJ60" i="3245"/>
  <c r="AL60" i="3245"/>
  <c r="B61" i="3245"/>
  <c r="C61" i="3245"/>
  <c r="D61" i="3245"/>
  <c r="E61" i="3245"/>
  <c r="F61" i="3245"/>
  <c r="G61" i="3245"/>
  <c r="H61" i="3245"/>
  <c r="I61" i="3245"/>
  <c r="J61" i="3245"/>
  <c r="K61" i="3245"/>
  <c r="L61" i="3245"/>
  <c r="M61" i="3245"/>
  <c r="N61" i="3245"/>
  <c r="O61" i="3245"/>
  <c r="AF61" i="3245"/>
  <c r="AG61" i="3245"/>
  <c r="AH61" i="3245"/>
  <c r="AI61" i="3245"/>
  <c r="AJ61" i="3245"/>
  <c r="AL61" i="3245"/>
  <c r="B62" i="3245"/>
  <c r="C62" i="3245"/>
  <c r="D62" i="3245"/>
  <c r="E62" i="3245"/>
  <c r="F62" i="3245"/>
  <c r="G62" i="3245"/>
  <c r="H62" i="3245"/>
  <c r="I62" i="3245"/>
  <c r="J62" i="3245"/>
  <c r="K62" i="3245"/>
  <c r="L62" i="3245"/>
  <c r="M62" i="3245"/>
  <c r="N62" i="3245"/>
  <c r="O62" i="3245"/>
  <c r="AF62" i="3245"/>
  <c r="AG62" i="3245"/>
  <c r="AH62" i="3245"/>
  <c r="AI62" i="3245"/>
  <c r="AJ62" i="3245"/>
  <c r="AL62" i="3245"/>
  <c r="AF63" i="3245"/>
  <c r="AG63" i="3245"/>
  <c r="AH63" i="3245"/>
  <c r="AI63" i="3245"/>
  <c r="AJ63" i="3245"/>
  <c r="AL63" i="3245"/>
  <c r="AF64" i="3245"/>
  <c r="AG64" i="3245"/>
  <c r="AH64" i="3245"/>
  <c r="AI64" i="3245"/>
  <c r="AJ64" i="3245"/>
  <c r="AL64" i="3245"/>
  <c r="B65" i="3245"/>
  <c r="D65" i="3245"/>
  <c r="E65" i="3245"/>
  <c r="F65" i="3245"/>
  <c r="G65" i="3245"/>
  <c r="H65" i="3245"/>
  <c r="I65" i="3245"/>
  <c r="J65" i="3245"/>
  <c r="K65" i="3245"/>
  <c r="L65" i="3245"/>
  <c r="M65" i="3245"/>
  <c r="N65" i="3245"/>
  <c r="O65" i="3245"/>
  <c r="AF65" i="3245"/>
  <c r="AG65" i="3245"/>
  <c r="AH65" i="3245"/>
  <c r="AI65" i="3245"/>
  <c r="AJ65" i="3245"/>
  <c r="AL65" i="3245"/>
  <c r="B66" i="3245"/>
  <c r="D66" i="3245"/>
  <c r="E66" i="3245"/>
  <c r="F66" i="3245"/>
  <c r="G66" i="3245"/>
  <c r="H66" i="3245"/>
  <c r="I66" i="3245"/>
  <c r="J66" i="3245"/>
  <c r="K66" i="3245"/>
  <c r="L66" i="3245"/>
  <c r="M66" i="3245"/>
  <c r="N66" i="3245"/>
  <c r="O66" i="3245"/>
  <c r="AF66" i="3245"/>
  <c r="AG66" i="3245"/>
  <c r="AH66" i="3245"/>
  <c r="AI66" i="3245"/>
  <c r="AJ66" i="3245"/>
  <c r="AL66" i="3245"/>
  <c r="B67" i="3245"/>
  <c r="D67" i="3245"/>
  <c r="E67" i="3245"/>
  <c r="F67" i="3245"/>
  <c r="G67" i="3245"/>
  <c r="H67" i="3245"/>
  <c r="I67" i="3245"/>
  <c r="J67" i="3245"/>
  <c r="K67" i="3245"/>
  <c r="L67" i="3245"/>
  <c r="M67" i="3245"/>
  <c r="N67" i="3245"/>
  <c r="O67" i="3245"/>
  <c r="AF67" i="3245"/>
  <c r="AG67" i="3245"/>
  <c r="AH67" i="3245"/>
  <c r="AI67" i="3245"/>
  <c r="AJ67" i="3245"/>
  <c r="AL67" i="3245"/>
  <c r="B68" i="3245"/>
  <c r="D68" i="3245"/>
  <c r="E68" i="3245"/>
  <c r="F68" i="3245"/>
  <c r="G68" i="3245"/>
  <c r="H68" i="3245"/>
  <c r="I68" i="3245"/>
  <c r="J68" i="3245"/>
  <c r="K68" i="3245"/>
  <c r="L68" i="3245"/>
  <c r="M68" i="3245"/>
  <c r="N68" i="3245"/>
  <c r="O68" i="3245"/>
  <c r="AF68" i="3245"/>
  <c r="AG68" i="3245"/>
  <c r="AH68" i="3245"/>
  <c r="AI68" i="3245"/>
  <c r="AJ68" i="3245"/>
  <c r="AL68" i="3245"/>
  <c r="B69" i="3245"/>
  <c r="D69" i="3245"/>
  <c r="E69" i="3245"/>
  <c r="F69" i="3245"/>
  <c r="G69" i="3245"/>
  <c r="H69" i="3245"/>
  <c r="I69" i="3245"/>
  <c r="J69" i="3245"/>
  <c r="K69" i="3245"/>
  <c r="L69" i="3245"/>
  <c r="M69" i="3245"/>
  <c r="N69" i="3245"/>
  <c r="O69" i="3245"/>
  <c r="AF69" i="3245"/>
  <c r="AG69" i="3245"/>
  <c r="AH69" i="3245"/>
  <c r="AI69" i="3245"/>
  <c r="AJ69" i="3245"/>
  <c r="AL69" i="3245"/>
  <c r="B70" i="3245"/>
  <c r="D70" i="3245"/>
  <c r="E70" i="3245"/>
  <c r="F70" i="3245"/>
  <c r="G70" i="3245"/>
  <c r="H70" i="3245"/>
  <c r="I70" i="3245"/>
  <c r="J70" i="3245"/>
  <c r="K70" i="3245"/>
  <c r="L70" i="3245"/>
  <c r="M70" i="3245"/>
  <c r="N70" i="3245"/>
  <c r="O70" i="3245"/>
  <c r="AF70" i="3245"/>
  <c r="AG70" i="3245"/>
  <c r="AH70" i="3245"/>
  <c r="AI70" i="3245"/>
  <c r="AJ70" i="3245"/>
  <c r="AL70" i="3245"/>
  <c r="B71" i="3245"/>
  <c r="D71" i="3245"/>
  <c r="E71" i="3245"/>
  <c r="F71" i="3245"/>
  <c r="G71" i="3245"/>
  <c r="H71" i="3245"/>
  <c r="I71" i="3245"/>
  <c r="J71" i="3245"/>
  <c r="K71" i="3245"/>
  <c r="L71" i="3245"/>
  <c r="M71" i="3245"/>
  <c r="N71" i="3245"/>
  <c r="O71" i="3245"/>
  <c r="AF71" i="3245"/>
  <c r="AG71" i="3245"/>
  <c r="AH71" i="3245"/>
  <c r="AI71" i="3245"/>
  <c r="AJ71" i="3245"/>
  <c r="AL71" i="3245"/>
  <c r="B72" i="3245"/>
  <c r="D72" i="3245"/>
  <c r="E72" i="3245"/>
  <c r="F72" i="3245"/>
  <c r="G72" i="3245"/>
  <c r="H72" i="3245"/>
  <c r="I72" i="3245"/>
  <c r="J72" i="3245"/>
  <c r="K72" i="3245"/>
  <c r="L72" i="3245"/>
  <c r="M72" i="3245"/>
  <c r="N72" i="3245"/>
  <c r="O72" i="3245"/>
  <c r="AF72" i="3245"/>
  <c r="AG72" i="3245"/>
  <c r="AH72" i="3245"/>
  <c r="AI72" i="3245"/>
  <c r="AJ72" i="3245"/>
  <c r="AL72" i="3245"/>
  <c r="B73" i="3245"/>
  <c r="D73" i="3245"/>
  <c r="E73" i="3245"/>
  <c r="F73" i="3245"/>
  <c r="G73" i="3245"/>
  <c r="H73" i="3245"/>
  <c r="I73" i="3245"/>
  <c r="J73" i="3245"/>
  <c r="K73" i="3245"/>
  <c r="L73" i="3245"/>
  <c r="M73" i="3245"/>
  <c r="N73" i="3245"/>
  <c r="O73" i="3245"/>
  <c r="AF73" i="3245"/>
  <c r="AG73" i="3245"/>
  <c r="AH73" i="3245"/>
  <c r="AI73" i="3245"/>
  <c r="AJ73" i="3245"/>
  <c r="AL73" i="3245"/>
  <c r="B74" i="3245"/>
  <c r="D74" i="3245"/>
  <c r="E74" i="3245"/>
  <c r="F74" i="3245"/>
  <c r="G74" i="3245"/>
  <c r="H74" i="3245"/>
  <c r="I74" i="3245"/>
  <c r="J74" i="3245"/>
  <c r="K74" i="3245"/>
  <c r="L74" i="3245"/>
  <c r="M74" i="3245"/>
  <c r="N74" i="3245"/>
  <c r="O74" i="3245"/>
  <c r="AF74" i="3245"/>
  <c r="AG74" i="3245"/>
  <c r="AH74" i="3245"/>
  <c r="AI74" i="3245"/>
  <c r="AJ74" i="3245"/>
  <c r="AL74" i="3245"/>
  <c r="B75" i="3245"/>
  <c r="D75" i="3245"/>
  <c r="E75" i="3245"/>
  <c r="F75" i="3245"/>
  <c r="G75" i="3245"/>
  <c r="H75" i="3245"/>
  <c r="I75" i="3245"/>
  <c r="J75" i="3245"/>
  <c r="K75" i="3245"/>
  <c r="L75" i="3245"/>
  <c r="M75" i="3245"/>
  <c r="N75" i="3245"/>
  <c r="O75" i="3245"/>
  <c r="AF75" i="3245"/>
  <c r="AG75" i="3245"/>
  <c r="AH75" i="3245"/>
  <c r="AI75" i="3245"/>
  <c r="AJ75" i="3245"/>
  <c r="AL75" i="3245"/>
  <c r="B76" i="3245"/>
  <c r="D76" i="3245"/>
  <c r="E76" i="3245"/>
  <c r="F76" i="3245"/>
  <c r="G76" i="3245"/>
  <c r="H76" i="3245"/>
  <c r="I76" i="3245"/>
  <c r="J76" i="3245"/>
  <c r="K76" i="3245"/>
  <c r="L76" i="3245"/>
  <c r="M76" i="3245"/>
  <c r="N76" i="3245"/>
  <c r="O76" i="3245"/>
  <c r="AF76" i="3245"/>
  <c r="AG76" i="3245"/>
  <c r="AH76" i="3245"/>
  <c r="AI76" i="3245"/>
  <c r="AJ76" i="3245"/>
  <c r="AL76" i="3245"/>
  <c r="B77" i="3245"/>
  <c r="D77" i="3245"/>
  <c r="E77" i="3245"/>
  <c r="F77" i="3245"/>
  <c r="G77" i="3245"/>
  <c r="H77" i="3245"/>
  <c r="I77" i="3245"/>
  <c r="J77" i="3245"/>
  <c r="K77" i="3245"/>
  <c r="L77" i="3245"/>
  <c r="M77" i="3245"/>
  <c r="N77" i="3245"/>
  <c r="O77" i="3245"/>
  <c r="AF77" i="3245"/>
  <c r="AG77" i="3245"/>
  <c r="AH77" i="3245"/>
  <c r="AI77" i="3245"/>
  <c r="AJ77" i="3245"/>
  <c r="AL77" i="3245"/>
  <c r="B78" i="3245"/>
  <c r="D78" i="3245"/>
  <c r="E78" i="3245"/>
  <c r="F78" i="3245"/>
  <c r="G78" i="3245"/>
  <c r="H78" i="3245"/>
  <c r="I78" i="3245"/>
  <c r="J78" i="3245"/>
  <c r="K78" i="3245"/>
  <c r="L78" i="3245"/>
  <c r="M78" i="3245"/>
  <c r="N78" i="3245"/>
  <c r="O78" i="3245"/>
  <c r="AF78" i="3245"/>
  <c r="AG78" i="3245"/>
  <c r="AH78" i="3245"/>
  <c r="AI78" i="3245"/>
  <c r="AJ78" i="3245"/>
  <c r="AL78" i="3245"/>
  <c r="B79" i="3245"/>
  <c r="D79" i="3245"/>
  <c r="E79" i="3245"/>
  <c r="F79" i="3245"/>
  <c r="G79" i="3245"/>
  <c r="H79" i="3245"/>
  <c r="I79" i="3245"/>
  <c r="J79" i="3245"/>
  <c r="K79" i="3245"/>
  <c r="L79" i="3245"/>
  <c r="M79" i="3245"/>
  <c r="N79" i="3245"/>
  <c r="O79" i="3245"/>
  <c r="AF79" i="3245"/>
  <c r="AG79" i="3245"/>
  <c r="AH79" i="3245"/>
  <c r="AI79" i="3245"/>
  <c r="AJ79" i="3245"/>
  <c r="AL79" i="3245"/>
  <c r="B80" i="3245"/>
  <c r="D80" i="3245"/>
  <c r="E80" i="3245"/>
  <c r="F80" i="3245"/>
  <c r="G80" i="3245"/>
  <c r="H80" i="3245"/>
  <c r="I80" i="3245"/>
  <c r="J80" i="3245"/>
  <c r="K80" i="3245"/>
  <c r="L80" i="3245"/>
  <c r="M80" i="3245"/>
  <c r="N80" i="3245"/>
  <c r="O80" i="3245"/>
  <c r="AF80" i="3245"/>
  <c r="AG80" i="3245"/>
  <c r="AH80" i="3245"/>
  <c r="AI80" i="3245"/>
  <c r="AJ80" i="3245"/>
  <c r="AL80" i="3245"/>
  <c r="B81" i="3245"/>
  <c r="D81" i="3245"/>
  <c r="E81" i="3245"/>
  <c r="F81" i="3245"/>
  <c r="G81" i="3245"/>
  <c r="H81" i="3245"/>
  <c r="I81" i="3245"/>
  <c r="J81" i="3245"/>
  <c r="K81" i="3245"/>
  <c r="L81" i="3245"/>
  <c r="M81" i="3245"/>
  <c r="N81" i="3245"/>
  <c r="O81" i="3245"/>
  <c r="AF81" i="3245"/>
  <c r="AG81" i="3245"/>
  <c r="AH81" i="3245"/>
  <c r="AI81" i="3245"/>
  <c r="AJ81" i="3245"/>
  <c r="AL81" i="3245"/>
  <c r="B82" i="3245"/>
  <c r="D82" i="3245"/>
  <c r="E82" i="3245"/>
  <c r="F82" i="3245"/>
  <c r="G82" i="3245"/>
  <c r="H82" i="3245"/>
  <c r="I82" i="3245"/>
  <c r="J82" i="3245"/>
  <c r="K82" i="3245"/>
  <c r="L82" i="3245"/>
  <c r="M82" i="3245"/>
  <c r="N82" i="3245"/>
  <c r="O82" i="3245"/>
  <c r="AF82" i="3245"/>
  <c r="AG82" i="3245"/>
  <c r="AH82" i="3245"/>
  <c r="AI82" i="3245"/>
  <c r="AJ82" i="3245"/>
  <c r="AL82" i="3245"/>
  <c r="B83" i="3245"/>
  <c r="C83" i="3245"/>
  <c r="D83" i="3245"/>
  <c r="E83" i="3245"/>
  <c r="F83" i="3245"/>
  <c r="G83" i="3245"/>
  <c r="H83" i="3245"/>
  <c r="I83" i="3245"/>
  <c r="J83" i="3245"/>
  <c r="K83" i="3245"/>
  <c r="L83" i="3245"/>
  <c r="M83" i="3245"/>
  <c r="N83" i="3245"/>
  <c r="O83" i="3245"/>
  <c r="AF83" i="3245"/>
  <c r="AG83" i="3245"/>
  <c r="AH83" i="3245"/>
  <c r="AI83" i="3245"/>
  <c r="AJ83" i="3245"/>
  <c r="AL83" i="3245"/>
  <c r="B84" i="3245"/>
  <c r="C84" i="3245"/>
  <c r="D84" i="3245"/>
  <c r="M84" i="3245"/>
  <c r="N84" i="3245"/>
  <c r="O84" i="3245"/>
  <c r="AF84" i="3245"/>
  <c r="AG84" i="3245"/>
  <c r="AH84" i="3245"/>
  <c r="AI84" i="3245"/>
  <c r="AJ84" i="3245"/>
  <c r="AL84" i="3245"/>
  <c r="F85" i="3245"/>
  <c r="G85" i="3245"/>
  <c r="H85" i="3245"/>
  <c r="AF85" i="3245"/>
  <c r="AG85" i="3245"/>
  <c r="AH85" i="3245"/>
  <c r="AI85" i="3245"/>
  <c r="AJ85" i="3245"/>
  <c r="AL85" i="3245"/>
  <c r="E86" i="3245"/>
  <c r="F86" i="3245"/>
  <c r="G86" i="3245"/>
  <c r="H86" i="3245"/>
  <c r="I86" i="3245"/>
  <c r="J86" i="3245"/>
  <c r="K86" i="3245"/>
  <c r="L86" i="3245"/>
  <c r="AF86" i="3245"/>
  <c r="AG86" i="3245"/>
  <c r="AH86" i="3245"/>
  <c r="AI86" i="3245"/>
  <c r="AJ86" i="3245"/>
  <c r="AL86" i="3245"/>
  <c r="AF87" i="3245"/>
  <c r="AG87" i="3245"/>
  <c r="AH87" i="3245"/>
  <c r="AI87" i="3245"/>
  <c r="AJ87" i="3245"/>
  <c r="AL87" i="3245"/>
  <c r="B88" i="3245"/>
  <c r="D88" i="3245"/>
  <c r="E88" i="3245"/>
  <c r="F88" i="3245"/>
  <c r="G88" i="3245"/>
  <c r="H88" i="3245"/>
  <c r="I88" i="3245"/>
  <c r="J88" i="3245"/>
  <c r="K88" i="3245"/>
  <c r="L88" i="3245"/>
  <c r="M88" i="3245"/>
  <c r="N88" i="3245"/>
  <c r="O88" i="3245"/>
  <c r="AF88" i="3245"/>
  <c r="AG88" i="3245"/>
  <c r="AH88" i="3245"/>
  <c r="AI88" i="3245"/>
  <c r="AJ88" i="3245"/>
  <c r="AL88" i="3245"/>
  <c r="B89" i="3245"/>
  <c r="E89" i="3245"/>
  <c r="F89" i="3245"/>
  <c r="G89" i="3245"/>
  <c r="H89" i="3245"/>
  <c r="I89" i="3245"/>
  <c r="J89" i="3245"/>
  <c r="K89" i="3245"/>
  <c r="L89" i="3245"/>
  <c r="M89" i="3245"/>
  <c r="N89" i="3245"/>
  <c r="O89" i="3245"/>
  <c r="AF89" i="3245"/>
  <c r="AG89" i="3245"/>
  <c r="AH89" i="3245"/>
  <c r="AI89" i="3245"/>
  <c r="AJ89" i="3245"/>
  <c r="AL89" i="3245"/>
  <c r="B90" i="3245"/>
  <c r="D90" i="3245"/>
  <c r="E90" i="3245"/>
  <c r="F90" i="3245"/>
  <c r="G90" i="3245"/>
  <c r="H90" i="3245"/>
  <c r="I90" i="3245"/>
  <c r="J90" i="3245"/>
  <c r="K90" i="3245"/>
  <c r="L90" i="3245"/>
  <c r="M90" i="3245"/>
  <c r="N90" i="3245"/>
  <c r="O90" i="3245"/>
  <c r="AF90" i="3245"/>
  <c r="AG90" i="3245"/>
  <c r="AH90" i="3245"/>
  <c r="AI90" i="3245"/>
  <c r="AJ90" i="3245"/>
  <c r="AL90" i="3245"/>
  <c r="B91" i="3245"/>
  <c r="C91" i="3245"/>
  <c r="D91" i="3245"/>
  <c r="E91" i="3245"/>
  <c r="F91" i="3245"/>
  <c r="G91" i="3245"/>
  <c r="H91" i="3245"/>
  <c r="I91" i="3245"/>
  <c r="J91" i="3245"/>
  <c r="K91" i="3245"/>
  <c r="L91" i="3245"/>
  <c r="M91" i="3245"/>
  <c r="N91" i="3245"/>
  <c r="O91" i="3245"/>
  <c r="AF91" i="3245"/>
  <c r="AG91" i="3245"/>
  <c r="AH91" i="3245"/>
  <c r="AI91" i="3245"/>
  <c r="AJ91" i="3245"/>
  <c r="AL91" i="3245"/>
  <c r="AF92" i="3245"/>
  <c r="AG92" i="3245"/>
  <c r="AH92" i="3245"/>
  <c r="AI92" i="3245"/>
  <c r="AJ92" i="3245"/>
  <c r="AL92" i="3245"/>
  <c r="AF93" i="3245"/>
  <c r="AG93" i="3245"/>
  <c r="AH93" i="3245"/>
  <c r="AI93" i="3245"/>
  <c r="AJ93" i="3245"/>
  <c r="AL93" i="3245"/>
  <c r="AF94" i="3245"/>
  <c r="AG94" i="3245"/>
  <c r="AH94" i="3245"/>
  <c r="AI94" i="3245"/>
  <c r="AJ94" i="3245"/>
  <c r="AL94" i="3245"/>
  <c r="AF95" i="3245"/>
  <c r="AG95" i="3245"/>
  <c r="AH95" i="3245"/>
  <c r="AI95" i="3245"/>
  <c r="AJ95" i="3245"/>
  <c r="AL95" i="3245"/>
  <c r="AF96" i="3245"/>
  <c r="AG96" i="3245"/>
  <c r="AH96" i="3245"/>
  <c r="AI96" i="3245"/>
  <c r="AJ96" i="3245"/>
  <c r="AL96" i="3245"/>
  <c r="AF97" i="3245"/>
  <c r="AG97" i="3245"/>
  <c r="AH97" i="3245"/>
  <c r="AI97" i="3245"/>
  <c r="AJ97" i="3245"/>
  <c r="AL97" i="3245"/>
  <c r="AF98" i="3245"/>
  <c r="AG98" i="3245"/>
  <c r="AH98" i="3245"/>
  <c r="AI98" i="3245"/>
  <c r="AJ98" i="3245"/>
  <c r="AL98" i="3245"/>
  <c r="AF99" i="3245"/>
  <c r="AG99" i="3245"/>
  <c r="AH99" i="3245"/>
  <c r="AI99" i="3245"/>
  <c r="AJ99" i="3245"/>
  <c r="AL99" i="3245"/>
  <c r="AF100" i="3245"/>
  <c r="AG100" i="3245"/>
  <c r="AH100" i="3245"/>
  <c r="AI100" i="3245"/>
  <c r="AJ100" i="3245"/>
  <c r="AL100" i="3245"/>
  <c r="AF101" i="3245"/>
  <c r="AG101" i="3245"/>
  <c r="AH101" i="3245"/>
  <c r="AI101" i="3245"/>
  <c r="AJ101" i="3245"/>
  <c r="AL101" i="3245"/>
  <c r="AF102" i="3245"/>
  <c r="AG102" i="3245"/>
  <c r="AH102" i="3245"/>
  <c r="AI102" i="3245"/>
  <c r="AJ102" i="3245"/>
  <c r="AL102" i="3245"/>
  <c r="AF103" i="3245"/>
  <c r="AG103" i="3245"/>
  <c r="AH103" i="3245"/>
  <c r="AI103" i="3245"/>
  <c r="AJ103" i="3245"/>
  <c r="AL103" i="3245"/>
  <c r="AF104" i="3245"/>
  <c r="AG104" i="3245"/>
  <c r="AH104" i="3245"/>
  <c r="AI104" i="3245"/>
  <c r="AJ104" i="3245"/>
  <c r="AL104" i="3245"/>
  <c r="AF105" i="3245"/>
  <c r="AG105" i="3245"/>
  <c r="AH105" i="3245"/>
  <c r="AI105" i="3245"/>
  <c r="AJ105" i="3245"/>
  <c r="AL105" i="3245"/>
  <c r="AF106" i="3245"/>
  <c r="AG106" i="3245"/>
  <c r="AH106" i="3245"/>
  <c r="AI106" i="3245"/>
  <c r="AJ106" i="3245"/>
  <c r="AL106" i="3245"/>
  <c r="AF107" i="3245"/>
  <c r="AG107" i="3245"/>
  <c r="AH107" i="3245"/>
  <c r="AI107" i="3245"/>
  <c r="AJ107" i="3245"/>
  <c r="AL107" i="3245"/>
  <c r="AF108" i="3245"/>
  <c r="AG108" i="3245"/>
  <c r="AH108" i="3245"/>
  <c r="AI108" i="3245"/>
  <c r="AJ108" i="3245"/>
  <c r="AL108" i="3245"/>
  <c r="AF109" i="3245"/>
  <c r="AG109" i="3245"/>
  <c r="AH109" i="3245"/>
  <c r="AI109" i="3245"/>
  <c r="AJ109" i="3245"/>
  <c r="AL109" i="3245"/>
  <c r="AF110" i="3245"/>
  <c r="AG110" i="3245"/>
  <c r="AH110" i="3245"/>
  <c r="AI110" i="3245"/>
  <c r="AJ110" i="3245"/>
  <c r="AL110" i="3245"/>
  <c r="AF111" i="3245"/>
  <c r="AG111" i="3245"/>
  <c r="AH111" i="3245"/>
  <c r="AI111" i="3245"/>
  <c r="AJ111" i="3245"/>
  <c r="AL111" i="3245"/>
  <c r="AF112" i="3245"/>
  <c r="AG112" i="3245"/>
  <c r="AH112" i="3245"/>
  <c r="AI112" i="3245"/>
  <c r="AJ112" i="3245"/>
  <c r="AL112" i="3245"/>
  <c r="AF113" i="3245"/>
  <c r="AG113" i="3245"/>
  <c r="AH113" i="3245"/>
  <c r="AI113" i="3245"/>
  <c r="AJ113" i="3245"/>
  <c r="AL113" i="3245"/>
  <c r="AF114" i="3245"/>
  <c r="AG114" i="3245"/>
  <c r="AH114" i="3245"/>
  <c r="AI114" i="3245"/>
  <c r="AJ114" i="3245"/>
  <c r="AL114" i="3245"/>
  <c r="AF115" i="3245"/>
  <c r="AG115" i="3245"/>
  <c r="AH115" i="3245"/>
  <c r="AI115" i="3245"/>
  <c r="AJ115" i="3245"/>
  <c r="AL115" i="3245"/>
  <c r="AF116" i="3245"/>
  <c r="AG116" i="3245"/>
  <c r="AH116" i="3245"/>
  <c r="AI116" i="3245"/>
  <c r="AJ116" i="3245"/>
  <c r="AL116" i="3245"/>
  <c r="AF117" i="3245"/>
  <c r="AG117" i="3245"/>
  <c r="AH117" i="3245"/>
  <c r="AI117" i="3245"/>
  <c r="AJ117" i="3245"/>
  <c r="AL117" i="3245"/>
  <c r="AF118" i="3245"/>
  <c r="AG118" i="3245"/>
  <c r="AH118" i="3245"/>
  <c r="AI118" i="3245"/>
  <c r="AJ118" i="3245"/>
  <c r="AL118" i="3245"/>
  <c r="AF119" i="3245"/>
  <c r="AG119" i="3245"/>
  <c r="AH119" i="3245"/>
  <c r="AI119" i="3245"/>
  <c r="AJ119" i="3245"/>
  <c r="AL119" i="3245"/>
  <c r="AF120" i="3245"/>
  <c r="AG120" i="3245"/>
  <c r="AH120" i="3245"/>
  <c r="AI120" i="3245"/>
  <c r="AJ120" i="3245"/>
  <c r="AL120" i="3245"/>
  <c r="AF121" i="3245"/>
  <c r="AG121" i="3245"/>
  <c r="AH121" i="3245"/>
  <c r="AI121" i="3245"/>
  <c r="AJ121" i="3245"/>
  <c r="AL121" i="3245"/>
  <c r="AF122" i="3245"/>
  <c r="AG122" i="3245"/>
  <c r="AH122" i="3245"/>
  <c r="AI122" i="3245"/>
  <c r="AJ122" i="3245"/>
  <c r="AL122" i="3245"/>
  <c r="AF123" i="3245"/>
  <c r="AG123" i="3245"/>
  <c r="AH123" i="3245"/>
  <c r="AI123" i="3245"/>
  <c r="AJ123" i="3245"/>
  <c r="AL123" i="3245"/>
  <c r="AF124" i="3245"/>
  <c r="AG124" i="3245"/>
  <c r="AH124" i="3245"/>
  <c r="AI124" i="3245"/>
  <c r="AJ124" i="3245"/>
  <c r="AL124" i="3245"/>
  <c r="AF125" i="3245"/>
  <c r="AG125" i="3245"/>
  <c r="AH125" i="3245"/>
  <c r="AI125" i="3245"/>
  <c r="AJ125" i="3245"/>
  <c r="AL125" i="3245"/>
  <c r="AF126" i="3245"/>
  <c r="AG126" i="3245"/>
  <c r="AH126" i="3245"/>
  <c r="AI126" i="3245"/>
  <c r="AJ126" i="3245"/>
  <c r="AL126" i="3245"/>
  <c r="AF127" i="3245"/>
  <c r="AG127" i="3245"/>
  <c r="AH127" i="3245"/>
  <c r="AI127" i="3245"/>
  <c r="AJ127" i="3245"/>
  <c r="AL127" i="3245"/>
  <c r="AF128" i="3245"/>
  <c r="AG128" i="3245"/>
  <c r="AH128" i="3245"/>
  <c r="AI128" i="3245"/>
  <c r="AJ128" i="3245"/>
  <c r="AL128" i="3245"/>
  <c r="AF129" i="3245"/>
  <c r="AG129" i="3245"/>
  <c r="AH129" i="3245"/>
  <c r="AI129" i="3245"/>
  <c r="AJ129" i="3245"/>
  <c r="AL129" i="3245"/>
  <c r="AF130" i="3245"/>
  <c r="AG130" i="3245"/>
  <c r="AH130" i="3245"/>
  <c r="AI130" i="3245"/>
  <c r="AJ130" i="3245"/>
  <c r="AL130" i="3245"/>
  <c r="AF131" i="3245"/>
  <c r="AG131" i="3245"/>
  <c r="AH131" i="3245"/>
  <c r="AI131" i="3245"/>
  <c r="AJ131" i="3245"/>
  <c r="AL131" i="3245"/>
  <c r="AF132" i="3245"/>
  <c r="AG132" i="3245"/>
  <c r="AH132" i="3245"/>
  <c r="AI132" i="3245"/>
  <c r="AJ132" i="3245"/>
  <c r="AL132" i="3245"/>
  <c r="AF133" i="3245"/>
  <c r="AG133" i="3245"/>
  <c r="AH133" i="3245"/>
  <c r="AI133" i="3245"/>
  <c r="AJ133" i="3245"/>
  <c r="AL133" i="3245"/>
  <c r="AF134" i="3245"/>
  <c r="AG134" i="3245"/>
  <c r="AH134" i="3245"/>
  <c r="AI134" i="3245"/>
  <c r="AJ134" i="3245"/>
  <c r="AL134" i="3245"/>
  <c r="AF135" i="3245"/>
  <c r="AG135" i="3245"/>
  <c r="AH135" i="3245"/>
  <c r="AI135" i="3245"/>
  <c r="AJ135" i="3245"/>
  <c r="AL135" i="3245"/>
  <c r="AF136" i="3245"/>
  <c r="AG136" i="3245"/>
  <c r="AH136" i="3245"/>
  <c r="AI136" i="3245"/>
  <c r="AJ136" i="3245"/>
  <c r="AL136" i="3245"/>
  <c r="AF137" i="3245"/>
  <c r="AG137" i="3245"/>
  <c r="AH137" i="3245"/>
  <c r="AI137" i="3245"/>
  <c r="AJ137" i="3245"/>
  <c r="AL137" i="3245"/>
  <c r="AF138" i="3245"/>
  <c r="AG138" i="3245"/>
  <c r="AH138" i="3245"/>
  <c r="AI138" i="3245"/>
  <c r="AJ138" i="3245"/>
  <c r="AL138" i="3245"/>
  <c r="AF139" i="3245"/>
  <c r="AG139" i="3245"/>
  <c r="AH139" i="3245"/>
  <c r="AI139" i="3245"/>
  <c r="AJ139" i="3245"/>
  <c r="AL139" i="3245"/>
  <c r="AF140" i="3245"/>
  <c r="AG140" i="3245"/>
  <c r="AH140" i="3245"/>
  <c r="AI140" i="3245"/>
  <c r="AJ140" i="3245"/>
  <c r="AL140" i="3245"/>
  <c r="AF141" i="3245"/>
  <c r="AG141" i="3245"/>
  <c r="AH141" i="3245"/>
  <c r="AI141" i="3245"/>
  <c r="AJ141" i="3245"/>
  <c r="AL141" i="3245"/>
  <c r="AF142" i="3245"/>
  <c r="AG142" i="3245"/>
  <c r="AH142" i="3245"/>
  <c r="AI142" i="3245"/>
  <c r="AJ142" i="3245"/>
  <c r="AL142" i="3245"/>
  <c r="AF143" i="3245"/>
  <c r="AG143" i="3245"/>
  <c r="AH143" i="3245"/>
  <c r="AI143" i="3245"/>
  <c r="AJ143" i="3245"/>
  <c r="AL143" i="3245"/>
  <c r="AF144" i="3245"/>
  <c r="AG144" i="3245"/>
  <c r="AH144" i="3245"/>
  <c r="AI144" i="3245"/>
  <c r="AJ144" i="3245"/>
  <c r="AL144" i="3245"/>
  <c r="AF145" i="3245"/>
  <c r="AG145" i="3245"/>
  <c r="AH145" i="3245"/>
  <c r="AI145" i="3245"/>
  <c r="AJ145" i="3245"/>
  <c r="AL145" i="3245"/>
  <c r="AF146" i="3245"/>
  <c r="AG146" i="3245"/>
  <c r="AH146" i="3245"/>
  <c r="AI146" i="3245"/>
  <c r="AJ146" i="3245"/>
  <c r="AL146" i="3245"/>
  <c r="AF147" i="3245"/>
  <c r="AG147" i="3245"/>
  <c r="AH147" i="3245"/>
  <c r="AI147" i="3245"/>
  <c r="AJ147" i="3245"/>
  <c r="AL147" i="3245"/>
  <c r="AF148" i="3245"/>
  <c r="AG148" i="3245"/>
  <c r="AH148" i="3245"/>
  <c r="AI148" i="3245"/>
  <c r="AJ148" i="3245"/>
  <c r="AL148" i="3245"/>
  <c r="AF149" i="3245"/>
  <c r="AG149" i="3245"/>
  <c r="AH149" i="3245"/>
  <c r="AI149" i="3245"/>
  <c r="AJ149" i="3245"/>
  <c r="AL149" i="3245"/>
  <c r="AF150" i="3245"/>
  <c r="AG150" i="3245"/>
  <c r="AH150" i="3245"/>
  <c r="AI150" i="3245"/>
  <c r="AJ150" i="3245"/>
  <c r="AL150" i="3245"/>
  <c r="AF151" i="3245"/>
  <c r="AG151" i="3245"/>
  <c r="AH151" i="3245"/>
  <c r="AI151" i="3245"/>
  <c r="AJ151" i="3245"/>
  <c r="AL151" i="3245"/>
  <c r="AF152" i="3245"/>
  <c r="AG152" i="3245"/>
  <c r="AH152" i="3245"/>
  <c r="AI152" i="3245"/>
  <c r="AJ152" i="3245"/>
  <c r="AL152" i="3245"/>
  <c r="AF153" i="3245"/>
  <c r="AG153" i="3245"/>
  <c r="AH153" i="3245"/>
  <c r="AI153" i="3245"/>
  <c r="AJ153" i="3245"/>
  <c r="AL153" i="3245"/>
  <c r="AF154" i="3245"/>
  <c r="AG154" i="3245"/>
  <c r="AH154" i="3245"/>
  <c r="AI154" i="3245"/>
  <c r="AJ154" i="3245"/>
  <c r="AL154" i="3245"/>
  <c r="AF155" i="3245"/>
  <c r="AG155" i="3245"/>
  <c r="AH155" i="3245"/>
  <c r="AI155" i="3245"/>
  <c r="AJ155" i="3245"/>
  <c r="AL155" i="3245"/>
  <c r="AF156" i="3245"/>
  <c r="AG156" i="3245"/>
  <c r="AH156" i="3245"/>
  <c r="AI156" i="3245"/>
  <c r="AJ156" i="3245"/>
  <c r="AL156" i="3245"/>
  <c r="AF157" i="3245"/>
  <c r="AG157" i="3245"/>
  <c r="AH157" i="3245"/>
  <c r="AI157" i="3245"/>
  <c r="AJ157" i="3245"/>
  <c r="AL157" i="3245"/>
  <c r="AF158" i="3245"/>
  <c r="AG158" i="3245"/>
  <c r="AH158" i="3245"/>
  <c r="AI158" i="3245"/>
  <c r="AJ158" i="3245"/>
  <c r="AL158" i="3245"/>
  <c r="AF159" i="3245"/>
  <c r="AG159" i="3245"/>
  <c r="AH159" i="3245"/>
  <c r="AI159" i="3245"/>
  <c r="AJ159" i="3245"/>
  <c r="AL159" i="3245"/>
  <c r="AF160" i="3245"/>
  <c r="AG160" i="3245"/>
  <c r="AH160" i="3245"/>
  <c r="AI160" i="3245"/>
  <c r="AJ160" i="3245"/>
  <c r="AL160" i="3245"/>
  <c r="AF161" i="3245"/>
  <c r="AG161" i="3245"/>
  <c r="AH161" i="3245"/>
  <c r="AI161" i="3245"/>
  <c r="AJ161" i="3245"/>
  <c r="AL161" i="3245"/>
  <c r="AF162" i="3245"/>
  <c r="AG162" i="3245"/>
  <c r="AH162" i="3245"/>
  <c r="AI162" i="3245"/>
  <c r="AJ162" i="3245"/>
  <c r="AL162" i="3245"/>
  <c r="AF163" i="3245"/>
  <c r="AG163" i="3245"/>
  <c r="AH163" i="3245"/>
  <c r="AI163" i="3245"/>
  <c r="AJ163" i="3245"/>
  <c r="AL163" i="3245"/>
  <c r="AF164" i="3245"/>
  <c r="AG164" i="3245"/>
  <c r="AH164" i="3245"/>
  <c r="AI164" i="3245"/>
  <c r="AJ164" i="3245"/>
  <c r="AL164" i="3245"/>
  <c r="AF165" i="3245"/>
  <c r="AG165" i="3245"/>
  <c r="AH165" i="3245"/>
  <c r="AI165" i="3245"/>
  <c r="AJ165" i="3245"/>
  <c r="AL165" i="3245"/>
  <c r="AF166" i="3245"/>
  <c r="AG166" i="3245"/>
  <c r="AH166" i="3245"/>
  <c r="AI166" i="3245"/>
  <c r="AJ166" i="3245"/>
  <c r="AL166" i="3245"/>
  <c r="AF167" i="3245"/>
  <c r="AG167" i="3245"/>
  <c r="AH167" i="3245"/>
  <c r="AI167" i="3245"/>
  <c r="AJ167" i="3245"/>
  <c r="AL167" i="3245"/>
  <c r="AF168" i="3245"/>
  <c r="AG168" i="3245"/>
  <c r="AH168" i="3245"/>
  <c r="AI168" i="3245"/>
  <c r="AJ168" i="3245"/>
  <c r="AL168" i="3245"/>
  <c r="AF169" i="3245"/>
  <c r="AG169" i="3245"/>
  <c r="AH169" i="3245"/>
  <c r="AI169" i="3245"/>
  <c r="AJ169" i="3245"/>
  <c r="AL169" i="3245"/>
  <c r="AF170" i="3245"/>
  <c r="AG170" i="3245"/>
  <c r="AH170" i="3245"/>
  <c r="AI170" i="3245"/>
  <c r="AJ170" i="3245"/>
  <c r="AL170" i="3245"/>
  <c r="AF171" i="3245"/>
  <c r="AG171" i="3245"/>
  <c r="AH171" i="3245"/>
  <c r="AI171" i="3245"/>
  <c r="AJ171" i="3245"/>
  <c r="AL171" i="3245"/>
  <c r="AF172" i="3245"/>
  <c r="AG172" i="3245"/>
  <c r="AH172" i="3245"/>
  <c r="AI172" i="3245"/>
  <c r="AJ172" i="3245"/>
  <c r="AL172" i="3245"/>
  <c r="AF173" i="3245"/>
  <c r="AG173" i="3245"/>
  <c r="AH173" i="3245"/>
  <c r="AI173" i="3245"/>
  <c r="AJ173" i="3245"/>
  <c r="AL173" i="3245"/>
  <c r="AF174" i="3245"/>
  <c r="AG174" i="3245"/>
  <c r="AH174" i="3245"/>
  <c r="AI174" i="3245"/>
  <c r="AJ174" i="3245"/>
  <c r="AL174" i="3245"/>
  <c r="AF175" i="3245"/>
  <c r="AG175" i="3245"/>
  <c r="AH175" i="3245"/>
  <c r="AI175" i="3245"/>
  <c r="AJ175" i="3245"/>
  <c r="AL175" i="3245"/>
  <c r="AF176" i="3245"/>
  <c r="AG176" i="3245"/>
  <c r="AH176" i="3245"/>
  <c r="AI176" i="3245"/>
  <c r="AJ176" i="3245"/>
  <c r="AL176" i="3245"/>
  <c r="AF177" i="3245"/>
  <c r="AG177" i="3245"/>
  <c r="AH177" i="3245"/>
  <c r="AI177" i="3245"/>
  <c r="AJ177" i="3245"/>
  <c r="AL177" i="3245"/>
  <c r="AF178" i="3245"/>
  <c r="AG178" i="3245"/>
  <c r="AH178" i="3245"/>
  <c r="AI178" i="3245"/>
  <c r="AJ178" i="3245"/>
  <c r="AL178" i="3245"/>
  <c r="AF179" i="3245"/>
  <c r="AG179" i="3245"/>
  <c r="AH179" i="3245"/>
  <c r="AI179" i="3245"/>
  <c r="AJ179" i="3245"/>
  <c r="AL179" i="3245"/>
  <c r="AF180" i="3245"/>
  <c r="AG180" i="3245"/>
  <c r="AH180" i="3245"/>
  <c r="AI180" i="3245"/>
  <c r="AJ180" i="3245"/>
  <c r="AL180" i="3245"/>
  <c r="AF181" i="3245"/>
  <c r="AG181" i="3245"/>
  <c r="AH181" i="3245"/>
  <c r="AI181" i="3245"/>
  <c r="AJ181" i="3245"/>
  <c r="AL181" i="3245"/>
  <c r="AF182" i="3245"/>
  <c r="AG182" i="3245"/>
  <c r="AH182" i="3245"/>
  <c r="AI182" i="3245"/>
  <c r="AJ182" i="3245"/>
  <c r="AL182" i="3245"/>
  <c r="AF183" i="3245"/>
  <c r="AG183" i="3245"/>
  <c r="AH183" i="3245"/>
  <c r="AI183" i="3245"/>
  <c r="AJ183" i="3245"/>
  <c r="AL183" i="3245"/>
  <c r="AF184" i="3245"/>
  <c r="AG184" i="3245"/>
  <c r="AH184" i="3245"/>
  <c r="AI184" i="3245"/>
  <c r="AJ184" i="3245"/>
  <c r="AL184" i="3245"/>
  <c r="AF185" i="3245"/>
  <c r="AG185" i="3245"/>
  <c r="AH185" i="3245"/>
  <c r="AI185" i="3245"/>
  <c r="AJ185" i="3245"/>
  <c r="AL185" i="3245"/>
  <c r="AF186" i="3245"/>
  <c r="AG186" i="3245"/>
  <c r="AH186" i="3245"/>
  <c r="AI186" i="3245"/>
  <c r="AJ186" i="3245"/>
  <c r="AL186" i="3245"/>
  <c r="AF187" i="3245"/>
  <c r="AG187" i="3245"/>
  <c r="AH187" i="3245"/>
  <c r="AI187" i="3245"/>
  <c r="AJ187" i="3245"/>
  <c r="AL187" i="3245"/>
  <c r="AF188" i="3245"/>
  <c r="AG188" i="3245"/>
  <c r="AH188" i="3245"/>
  <c r="AI188" i="3245"/>
  <c r="AJ188" i="3245"/>
  <c r="AL188" i="3245"/>
  <c r="AF189" i="3245"/>
  <c r="AG189" i="3245"/>
  <c r="AH189" i="3245"/>
  <c r="AI189" i="3245"/>
  <c r="AJ189" i="3245"/>
  <c r="AL189" i="3245"/>
  <c r="AF190" i="3245"/>
  <c r="AG190" i="3245"/>
  <c r="AH190" i="3245"/>
  <c r="AI190" i="3245"/>
  <c r="AJ190" i="3245"/>
  <c r="AL190" i="3245"/>
  <c r="AF191" i="3245"/>
  <c r="AG191" i="3245"/>
  <c r="AH191" i="3245"/>
  <c r="AI191" i="3245"/>
  <c r="AJ191" i="3245"/>
  <c r="AL191" i="3245"/>
  <c r="AF192" i="3245"/>
  <c r="AG192" i="3245"/>
  <c r="AH192" i="3245"/>
  <c r="AI192" i="3245"/>
  <c r="AJ192" i="3245"/>
  <c r="AL192" i="3245"/>
  <c r="AF193" i="3245"/>
  <c r="AG193" i="3245"/>
  <c r="AH193" i="3245"/>
  <c r="AI193" i="3245"/>
  <c r="AJ193" i="3245"/>
  <c r="AL193" i="3245"/>
  <c r="AF194" i="3245"/>
  <c r="AG194" i="3245"/>
  <c r="AH194" i="3245"/>
  <c r="AI194" i="3245"/>
  <c r="AJ194" i="3245"/>
  <c r="AL194" i="3245"/>
  <c r="AF195" i="3245"/>
  <c r="AG195" i="3245"/>
  <c r="AH195" i="3245"/>
  <c r="AI195" i="3245"/>
  <c r="AJ195" i="3245"/>
  <c r="AL195" i="3245"/>
  <c r="AF196" i="3245"/>
  <c r="AG196" i="3245"/>
  <c r="AH196" i="3245"/>
  <c r="AI196" i="3245"/>
  <c r="AJ196" i="3245"/>
  <c r="AL196" i="3245"/>
  <c r="AF197" i="3245"/>
  <c r="AG197" i="3245"/>
  <c r="AH197" i="3245"/>
  <c r="AI197" i="3245"/>
  <c r="AJ197" i="3245"/>
  <c r="AL197" i="3245"/>
  <c r="AF198" i="3245"/>
  <c r="AG198" i="3245"/>
  <c r="AH198" i="3245"/>
  <c r="AI198" i="3245"/>
  <c r="AJ198" i="3245"/>
  <c r="AL198" i="3245"/>
  <c r="AF199" i="3245"/>
  <c r="AG199" i="3245"/>
  <c r="AH199" i="3245"/>
  <c r="AI199" i="3245"/>
  <c r="AJ199" i="3245"/>
  <c r="AL199" i="3245"/>
  <c r="AF200" i="3245"/>
  <c r="AG200" i="3245"/>
  <c r="AH200" i="3245"/>
  <c r="AI200" i="3245"/>
  <c r="AJ200" i="3245"/>
  <c r="AL200" i="3245"/>
  <c r="AF201" i="3245"/>
  <c r="AG201" i="3245"/>
  <c r="AH201" i="3245"/>
  <c r="AI201" i="3245"/>
  <c r="AJ201" i="3245"/>
  <c r="AL201" i="3245"/>
  <c r="AF202" i="3245"/>
  <c r="AG202" i="3245"/>
  <c r="AH202" i="3245"/>
  <c r="AI202" i="3245"/>
  <c r="AJ202" i="3245"/>
  <c r="AL202" i="3245"/>
  <c r="AF203" i="3245"/>
  <c r="AG203" i="3245"/>
  <c r="AH203" i="3245"/>
  <c r="AI203" i="3245"/>
  <c r="AJ203" i="3245"/>
  <c r="AL203" i="3245"/>
  <c r="AF204" i="3245"/>
  <c r="AG204" i="3245"/>
  <c r="AH204" i="3245"/>
  <c r="AI204" i="3245"/>
  <c r="AJ204" i="3245"/>
  <c r="AL204" i="3245"/>
  <c r="AF205" i="3245"/>
  <c r="AG205" i="3245"/>
  <c r="AH205" i="3245"/>
  <c r="AI205" i="3245"/>
  <c r="AJ205" i="3245"/>
  <c r="AL205" i="3245"/>
  <c r="AF206" i="3245"/>
  <c r="AG206" i="3245"/>
  <c r="AH206" i="3245"/>
  <c r="AI206" i="3245"/>
  <c r="AJ206" i="3245"/>
  <c r="AL206" i="3245"/>
  <c r="AF207" i="3245"/>
  <c r="AG207" i="3245"/>
  <c r="AH207" i="3245"/>
  <c r="AI207" i="3245"/>
  <c r="AJ207" i="3245"/>
  <c r="AL207" i="3245"/>
  <c r="AF208" i="3245"/>
  <c r="AG208" i="3245"/>
  <c r="AH208" i="3245"/>
  <c r="AI208" i="3245"/>
  <c r="AJ208" i="3245"/>
  <c r="AL208" i="3245"/>
  <c r="AF209" i="3245"/>
  <c r="AG209" i="3245"/>
  <c r="AH209" i="3245"/>
  <c r="AI209" i="3245"/>
  <c r="AJ209" i="3245"/>
  <c r="AL209" i="3245"/>
  <c r="AF210" i="3245"/>
  <c r="AG210" i="3245"/>
  <c r="AH210" i="3245"/>
  <c r="AI210" i="3245"/>
  <c r="AJ210" i="3245"/>
  <c r="AL210" i="3245"/>
  <c r="AF211" i="3245"/>
  <c r="AG211" i="3245"/>
  <c r="AH211" i="3245"/>
  <c r="AI211" i="3245"/>
  <c r="AJ211" i="3245"/>
  <c r="AL211" i="3245"/>
  <c r="AF212" i="3245"/>
  <c r="AG212" i="3245"/>
  <c r="AH212" i="3245"/>
  <c r="AI212" i="3245"/>
  <c r="AJ212" i="3245"/>
  <c r="AL212" i="3245"/>
  <c r="AF213" i="3245"/>
  <c r="AG213" i="3245"/>
  <c r="AH213" i="3245"/>
  <c r="AI213" i="3245"/>
  <c r="AJ213" i="3245"/>
  <c r="AL213" i="3245"/>
  <c r="AF214" i="3245"/>
  <c r="AG214" i="3245"/>
  <c r="AH214" i="3245"/>
  <c r="AI214" i="3245"/>
  <c r="AJ214" i="3245"/>
  <c r="AL214" i="3245"/>
  <c r="AF215" i="3245"/>
  <c r="AG215" i="3245"/>
  <c r="AH215" i="3245"/>
  <c r="AI215" i="3245"/>
  <c r="AJ215" i="3245"/>
  <c r="AL215" i="3245"/>
  <c r="AF216" i="3245"/>
  <c r="AG216" i="3245"/>
  <c r="AH216" i="3245"/>
  <c r="AI216" i="3245"/>
  <c r="AJ216" i="3245"/>
  <c r="AL216" i="3245"/>
  <c r="AF217" i="3245"/>
  <c r="AG217" i="3245"/>
  <c r="AH217" i="3245"/>
  <c r="AI217" i="3245"/>
  <c r="AJ217" i="3245"/>
  <c r="AL217" i="3245"/>
  <c r="AF218" i="3245"/>
  <c r="AG218" i="3245"/>
  <c r="AH218" i="3245"/>
  <c r="AI218" i="3245"/>
  <c r="AJ218" i="3245"/>
  <c r="AL218" i="3245"/>
  <c r="AF219" i="3245"/>
  <c r="AG219" i="3245"/>
  <c r="AH219" i="3245"/>
  <c r="AI219" i="3245"/>
  <c r="AJ219" i="3245"/>
  <c r="AL219" i="3245"/>
  <c r="AF220" i="3245"/>
  <c r="AG220" i="3245"/>
  <c r="AH220" i="3245"/>
  <c r="AI220" i="3245"/>
  <c r="AJ220" i="3245"/>
  <c r="AL220" i="3245"/>
  <c r="AF221" i="3245"/>
  <c r="AG221" i="3245"/>
  <c r="AH221" i="3245"/>
  <c r="AI221" i="3245"/>
  <c r="AJ221" i="3245"/>
  <c r="AL221" i="3245"/>
  <c r="AF222" i="3245"/>
  <c r="AG222" i="3245"/>
  <c r="AH222" i="3245"/>
  <c r="AI222" i="3245"/>
  <c r="AJ222" i="3245"/>
  <c r="AL222" i="3245"/>
  <c r="AF223" i="3245"/>
  <c r="AG223" i="3245"/>
  <c r="AH223" i="3245"/>
  <c r="AI223" i="3245"/>
  <c r="AJ223" i="3245"/>
  <c r="AL223" i="3245"/>
  <c r="AF224" i="3245"/>
  <c r="AG224" i="3245"/>
  <c r="AH224" i="3245"/>
  <c r="AI224" i="3245"/>
  <c r="AJ224" i="3245"/>
  <c r="AL224" i="3245"/>
  <c r="AF225" i="3245"/>
  <c r="AG225" i="3245"/>
  <c r="AH225" i="3245"/>
  <c r="AI225" i="3245"/>
  <c r="AJ225" i="3245"/>
  <c r="AL225" i="3245"/>
  <c r="AF226" i="3245"/>
  <c r="AG226" i="3245"/>
  <c r="AH226" i="3245"/>
  <c r="AI226" i="3245"/>
  <c r="AJ226" i="3245"/>
  <c r="AL226" i="3245"/>
  <c r="AF227" i="3245"/>
  <c r="AG227" i="3245"/>
  <c r="AH227" i="3245"/>
  <c r="AI227" i="3245"/>
  <c r="AJ227" i="3245"/>
  <c r="AL227" i="3245"/>
  <c r="AF228" i="3245"/>
  <c r="AG228" i="3245"/>
  <c r="AH228" i="3245"/>
  <c r="AI228" i="3245"/>
  <c r="AJ228" i="3245"/>
  <c r="AL228" i="3245"/>
  <c r="AF229" i="3245"/>
  <c r="AG229" i="3245"/>
  <c r="AH229" i="3245"/>
  <c r="AI229" i="3245"/>
  <c r="AJ229" i="3245"/>
  <c r="AL229" i="3245"/>
  <c r="AF230" i="3245"/>
  <c r="AG230" i="3245"/>
  <c r="AH230" i="3245"/>
  <c r="AI230" i="3245"/>
  <c r="AJ230" i="3245"/>
  <c r="AL230" i="3245"/>
  <c r="AF231" i="3245"/>
  <c r="AG231" i="3245"/>
  <c r="AH231" i="3245"/>
  <c r="AI231" i="3245"/>
  <c r="AJ231" i="3245"/>
  <c r="AL231" i="3245"/>
  <c r="AF232" i="3245"/>
  <c r="AG232" i="3245"/>
  <c r="AH232" i="3245"/>
  <c r="AI232" i="3245"/>
  <c r="AJ232" i="3245"/>
  <c r="AL232" i="3245"/>
  <c r="AF233" i="3245"/>
  <c r="AG233" i="3245"/>
  <c r="AH233" i="3245"/>
  <c r="AI233" i="3245"/>
  <c r="AJ233" i="3245"/>
  <c r="AL233" i="3245"/>
  <c r="AF234" i="3245"/>
  <c r="AG234" i="3245"/>
  <c r="AH234" i="3245"/>
  <c r="AI234" i="3245"/>
  <c r="AJ234" i="3245"/>
  <c r="AL234" i="3245"/>
  <c r="AF235" i="3245"/>
  <c r="AG235" i="3245"/>
  <c r="AH235" i="3245"/>
  <c r="AI235" i="3245"/>
  <c r="AJ235" i="3245"/>
  <c r="AL235" i="3245"/>
  <c r="AF236" i="3245"/>
  <c r="AG236" i="3245"/>
  <c r="AH236" i="3245"/>
  <c r="AI236" i="3245"/>
  <c r="AJ236" i="3245"/>
  <c r="AL236" i="3245"/>
  <c r="AF237" i="3245"/>
  <c r="AG237" i="3245"/>
  <c r="AH237" i="3245"/>
  <c r="AI237" i="3245"/>
  <c r="AJ237" i="3245"/>
  <c r="AL237" i="3245"/>
  <c r="AF238" i="3245"/>
  <c r="AG238" i="3245"/>
  <c r="AH238" i="3245"/>
  <c r="AI238" i="3245"/>
  <c r="AJ238" i="3245"/>
  <c r="AL238" i="3245"/>
  <c r="AF239" i="3245"/>
  <c r="AG239" i="3245"/>
  <c r="AH239" i="3245"/>
  <c r="AI239" i="3245"/>
  <c r="AJ239" i="3245"/>
  <c r="AL239" i="3245"/>
  <c r="AF240" i="3245"/>
  <c r="AG240" i="3245"/>
  <c r="AH240" i="3245"/>
  <c r="AI240" i="3245"/>
  <c r="AJ240" i="3245"/>
  <c r="AL240" i="3245"/>
  <c r="AF241" i="3245"/>
  <c r="AG241" i="3245"/>
  <c r="AH241" i="3245"/>
  <c r="AI241" i="3245"/>
  <c r="AJ241" i="3245"/>
  <c r="AL241" i="3245"/>
  <c r="AF242" i="3245"/>
  <c r="AG242" i="3245"/>
  <c r="AH242" i="3245"/>
  <c r="AI242" i="3245"/>
  <c r="AJ242" i="3245"/>
  <c r="AL242" i="3245"/>
  <c r="AF243" i="3245"/>
  <c r="AG243" i="3245"/>
  <c r="AH243" i="3245"/>
  <c r="AI243" i="3245"/>
  <c r="AJ243" i="3245"/>
  <c r="AL243" i="3245"/>
  <c r="AF244" i="3245"/>
  <c r="AG244" i="3245"/>
  <c r="AH244" i="3245"/>
  <c r="AI244" i="3245"/>
  <c r="AJ244" i="3245"/>
  <c r="AL244" i="3245"/>
  <c r="AF245" i="3245"/>
  <c r="AG245" i="3245"/>
  <c r="AH245" i="3245"/>
  <c r="AI245" i="3245"/>
  <c r="AJ245" i="3245"/>
  <c r="AL245" i="3245"/>
  <c r="AF246" i="3245"/>
  <c r="AG246" i="3245"/>
  <c r="AH246" i="3245"/>
  <c r="AI246" i="3245"/>
  <c r="AJ246" i="3245"/>
  <c r="AL246" i="3245"/>
  <c r="AF247" i="3245"/>
  <c r="AG247" i="3245"/>
  <c r="AH247" i="3245"/>
  <c r="AI247" i="3245"/>
  <c r="AJ247" i="3245"/>
  <c r="AL247" i="3245"/>
  <c r="AF248" i="3245"/>
  <c r="AG248" i="3245"/>
  <c r="AH248" i="3245"/>
  <c r="AI248" i="3245"/>
  <c r="AJ248" i="3245"/>
  <c r="AL248" i="3245"/>
  <c r="AF249" i="3245"/>
  <c r="AG249" i="3245"/>
  <c r="AH249" i="3245"/>
  <c r="AI249" i="3245"/>
  <c r="AJ249" i="3245"/>
  <c r="AL249" i="3245"/>
  <c r="AF250" i="3245"/>
  <c r="AG250" i="3245"/>
  <c r="AH250" i="3245"/>
  <c r="AI250" i="3245"/>
  <c r="AJ250" i="3245"/>
  <c r="AL250" i="3245"/>
  <c r="AF251" i="3245"/>
  <c r="AG251" i="3245"/>
  <c r="AH251" i="3245"/>
  <c r="AI251" i="3245"/>
  <c r="AJ251" i="3245"/>
  <c r="AL251" i="3245"/>
  <c r="AF252" i="3245"/>
  <c r="AG252" i="3245"/>
  <c r="AH252" i="3245"/>
  <c r="AI252" i="3245"/>
  <c r="AJ252" i="3245"/>
  <c r="AL252" i="3245"/>
  <c r="AF253" i="3245"/>
  <c r="AG253" i="3245"/>
  <c r="AH253" i="3245"/>
  <c r="AI253" i="3245"/>
  <c r="AJ253" i="3245"/>
  <c r="AL253" i="3245"/>
  <c r="AF254" i="3245"/>
  <c r="AG254" i="3245"/>
  <c r="AH254" i="3245"/>
  <c r="AI254" i="3245"/>
  <c r="AJ254" i="3245"/>
  <c r="AL254" i="3245"/>
  <c r="AF255" i="3245"/>
  <c r="AG255" i="3245"/>
  <c r="AH255" i="3245"/>
  <c r="AI255" i="3245"/>
  <c r="AJ255" i="3245"/>
  <c r="AL255" i="3245"/>
  <c r="AF256" i="3245"/>
  <c r="AG256" i="3245"/>
  <c r="AH256" i="3245"/>
  <c r="AI256" i="3245"/>
  <c r="AJ256" i="3245"/>
  <c r="AL256" i="3245"/>
  <c r="AF257" i="3245"/>
  <c r="AG257" i="3245"/>
  <c r="AH257" i="3245"/>
  <c r="AI257" i="3245"/>
  <c r="AJ257" i="3245"/>
  <c r="AL257" i="3245"/>
  <c r="AF258" i="3245"/>
  <c r="AG258" i="3245"/>
  <c r="AH258" i="3245"/>
  <c r="AI258" i="3245"/>
  <c r="AJ258" i="3245"/>
  <c r="AL258" i="3245"/>
  <c r="AF259" i="3245"/>
  <c r="AG259" i="3245"/>
  <c r="AH259" i="3245"/>
  <c r="AI259" i="3245"/>
  <c r="AJ259" i="3245"/>
  <c r="AL259" i="3245"/>
  <c r="AF260" i="3245"/>
  <c r="AG260" i="3245"/>
  <c r="AH260" i="3245"/>
  <c r="AI260" i="3245"/>
  <c r="AJ260" i="3245"/>
  <c r="AL260" i="3245"/>
  <c r="AF261" i="3245"/>
  <c r="AG261" i="3245"/>
  <c r="AH261" i="3245"/>
  <c r="AI261" i="3245"/>
  <c r="AJ261" i="3245"/>
  <c r="AL261" i="3245"/>
  <c r="AF262" i="3245"/>
  <c r="AG262" i="3245"/>
  <c r="AH262" i="3245"/>
  <c r="AI262" i="3245"/>
  <c r="AJ262" i="3245"/>
  <c r="AL262" i="3245"/>
  <c r="AF263" i="3245"/>
  <c r="AG263" i="3245"/>
  <c r="AH263" i="3245"/>
  <c r="AI263" i="3245"/>
  <c r="AJ263" i="3245"/>
  <c r="AL263" i="3245"/>
  <c r="AF264" i="3245"/>
  <c r="AG264" i="3245"/>
  <c r="AH264" i="3245"/>
  <c r="AI264" i="3245"/>
  <c r="AJ264" i="3245"/>
  <c r="AL264" i="3245"/>
  <c r="AF265" i="3245"/>
  <c r="AG265" i="3245"/>
  <c r="AH265" i="3245"/>
  <c r="AI265" i="3245"/>
  <c r="AJ265" i="3245"/>
  <c r="AL265" i="3245"/>
  <c r="AF266" i="3245"/>
  <c r="AG266" i="3245"/>
  <c r="AH266" i="3245"/>
  <c r="AI266" i="3245"/>
  <c r="AJ266" i="3245"/>
  <c r="AL266" i="3245"/>
  <c r="AF267" i="3245"/>
  <c r="AG267" i="3245"/>
  <c r="AH267" i="3245"/>
  <c r="AI267" i="3245"/>
  <c r="AJ267" i="3245"/>
  <c r="AL267" i="3245"/>
  <c r="AF268" i="3245"/>
  <c r="AG268" i="3245"/>
  <c r="AH268" i="3245"/>
  <c r="AI268" i="3245"/>
  <c r="AJ268" i="3245"/>
  <c r="AL268" i="3245"/>
  <c r="AF269" i="3245"/>
  <c r="AG269" i="3245"/>
  <c r="AH269" i="3245"/>
  <c r="AI269" i="3245"/>
  <c r="AJ269" i="3245"/>
  <c r="AL269" i="3245"/>
  <c r="AF270" i="3245"/>
  <c r="AG270" i="3245"/>
  <c r="AH270" i="3245"/>
  <c r="AI270" i="3245"/>
  <c r="AJ270" i="3245"/>
  <c r="AL270" i="3245"/>
  <c r="AF271" i="3245"/>
  <c r="AG271" i="3245"/>
  <c r="AH271" i="3245"/>
  <c r="AI271" i="3245"/>
  <c r="AJ271" i="3245"/>
  <c r="AL271" i="3245"/>
  <c r="AF272" i="3245"/>
  <c r="AG272" i="3245"/>
  <c r="AH272" i="3245"/>
  <c r="AI272" i="3245"/>
  <c r="AJ272" i="3245"/>
  <c r="AL272" i="3245"/>
  <c r="AF273" i="3245"/>
  <c r="AG273" i="3245"/>
  <c r="AH273" i="3245"/>
  <c r="AI273" i="3245"/>
  <c r="AJ273" i="3245"/>
  <c r="AL273" i="3245"/>
  <c r="AF274" i="3245"/>
  <c r="AG274" i="3245"/>
  <c r="AH274" i="3245"/>
  <c r="AI274" i="3245"/>
  <c r="AJ274" i="3245"/>
  <c r="AL274" i="3245"/>
  <c r="AF275" i="3245"/>
  <c r="AG275" i="3245"/>
  <c r="AH275" i="3245"/>
  <c r="AI275" i="3245"/>
  <c r="AJ275" i="3245"/>
  <c r="AL275" i="3245"/>
  <c r="AF276" i="3245"/>
  <c r="AG276" i="3245"/>
  <c r="AH276" i="3245"/>
  <c r="AI276" i="3245"/>
  <c r="AJ276" i="3245"/>
  <c r="AL276" i="3245"/>
  <c r="AF277" i="3245"/>
  <c r="AG277" i="3245"/>
  <c r="AH277" i="3245"/>
  <c r="AI277" i="3245"/>
  <c r="AJ277" i="3245"/>
  <c r="AL277" i="3245"/>
  <c r="AF278" i="3245"/>
  <c r="AG278" i="3245"/>
  <c r="AH278" i="3245"/>
  <c r="AI278" i="3245"/>
  <c r="AJ278" i="3245"/>
  <c r="AL278" i="3245"/>
  <c r="AF279" i="3245"/>
  <c r="AG279" i="3245"/>
  <c r="AH279" i="3245"/>
  <c r="AI279" i="3245"/>
  <c r="AJ279" i="3245"/>
  <c r="AL279" i="3245"/>
  <c r="AF280" i="3245"/>
  <c r="AG280" i="3245"/>
  <c r="AH280" i="3245"/>
  <c r="AI280" i="3245"/>
  <c r="AJ280" i="3245"/>
  <c r="AL280" i="3245"/>
  <c r="AF281" i="3245"/>
  <c r="AG281" i="3245"/>
  <c r="AH281" i="3245"/>
  <c r="AI281" i="3245"/>
  <c r="AJ281" i="3245"/>
  <c r="AL281" i="3245"/>
  <c r="AF282" i="3245"/>
  <c r="AG282" i="3245"/>
  <c r="AH282" i="3245"/>
  <c r="AI282" i="3245"/>
  <c r="AJ282" i="3245"/>
  <c r="AL282" i="3245"/>
  <c r="AF283" i="3245"/>
  <c r="AG283" i="3245"/>
  <c r="AH283" i="3245"/>
  <c r="AI283" i="3245"/>
  <c r="AJ283" i="3245"/>
  <c r="AL283" i="3245"/>
  <c r="AF284" i="3245"/>
  <c r="AG284" i="3245"/>
  <c r="AH284" i="3245"/>
  <c r="AI284" i="3245"/>
  <c r="AJ284" i="3245"/>
  <c r="AL284" i="3245"/>
  <c r="AF285" i="3245"/>
  <c r="AG285" i="3245"/>
  <c r="AH285" i="3245"/>
  <c r="AI285" i="3245"/>
  <c r="AJ285" i="3245"/>
  <c r="AL285" i="3245"/>
  <c r="AF286" i="3245"/>
  <c r="AG286" i="3245"/>
  <c r="AH286" i="3245"/>
  <c r="AI286" i="3245"/>
  <c r="AJ286" i="3245"/>
  <c r="AL286" i="3245"/>
  <c r="AF287" i="3245"/>
  <c r="AG287" i="3245"/>
  <c r="AH287" i="3245"/>
  <c r="AI287" i="3245"/>
  <c r="AJ287" i="3245"/>
  <c r="AL287" i="3245"/>
  <c r="AF288" i="3245"/>
  <c r="AG288" i="3245"/>
  <c r="AH288" i="3245"/>
  <c r="AI288" i="3245"/>
  <c r="AJ288" i="3245"/>
  <c r="AL288" i="3245"/>
  <c r="AF289" i="3245"/>
  <c r="AG289" i="3245"/>
  <c r="AH289" i="3245"/>
  <c r="AI289" i="3245"/>
  <c r="AJ289" i="3245"/>
  <c r="AL289" i="3245"/>
  <c r="AF290" i="3245"/>
  <c r="AG290" i="3245"/>
  <c r="AH290" i="3245"/>
  <c r="AI290" i="3245"/>
  <c r="AJ290" i="3245"/>
  <c r="AL290" i="3245"/>
  <c r="AF291" i="3245"/>
  <c r="AG291" i="3245"/>
  <c r="AH291" i="3245"/>
  <c r="AI291" i="3245"/>
  <c r="AJ291" i="3245"/>
  <c r="AL291" i="3245"/>
  <c r="AF292" i="3245"/>
  <c r="AG292" i="3245"/>
  <c r="AH292" i="3245"/>
  <c r="AI292" i="3245"/>
  <c r="AJ292" i="3245"/>
  <c r="AL292" i="3245"/>
  <c r="AF293" i="3245"/>
  <c r="AG293" i="3245"/>
  <c r="AH293" i="3245"/>
  <c r="AI293" i="3245"/>
  <c r="AJ293" i="3245"/>
  <c r="AL293" i="3245"/>
  <c r="AF294" i="3245"/>
  <c r="AG294" i="3245"/>
  <c r="AH294" i="3245"/>
  <c r="AI294" i="3245"/>
  <c r="AJ294" i="3245"/>
  <c r="AL294" i="3245"/>
  <c r="AF295" i="3245"/>
  <c r="AG295" i="3245"/>
  <c r="AH295" i="3245"/>
  <c r="AI295" i="3245"/>
  <c r="AJ295" i="3245"/>
  <c r="AL295" i="3245"/>
  <c r="AF296" i="3245"/>
  <c r="AG296" i="3245"/>
  <c r="AH296" i="3245"/>
  <c r="AI296" i="3245"/>
  <c r="AJ296" i="3245"/>
  <c r="AL296" i="3245"/>
  <c r="AF297" i="3245"/>
  <c r="AG297" i="3245"/>
  <c r="AH297" i="3245"/>
  <c r="AI297" i="3245"/>
  <c r="AJ297" i="3245"/>
  <c r="AL297" i="3245"/>
  <c r="AF298" i="3245"/>
  <c r="AG298" i="3245"/>
  <c r="AH298" i="3245"/>
  <c r="AI298" i="3245"/>
  <c r="AJ298" i="3245"/>
  <c r="AL298" i="3245"/>
  <c r="AF299" i="3245"/>
  <c r="AG299" i="3245"/>
  <c r="AH299" i="3245"/>
  <c r="AI299" i="3245"/>
  <c r="AJ299" i="3245"/>
  <c r="AL299" i="3245"/>
  <c r="AF300" i="3245"/>
  <c r="AG300" i="3245"/>
  <c r="AH300" i="3245"/>
  <c r="AI300" i="3245"/>
  <c r="AJ300" i="3245"/>
  <c r="AL300" i="3245"/>
  <c r="AF301" i="3245"/>
  <c r="AG301" i="3245"/>
  <c r="AH301" i="3245"/>
  <c r="AI301" i="3245"/>
  <c r="AJ301" i="3245"/>
  <c r="AL301" i="3245"/>
  <c r="AF302" i="3245"/>
  <c r="AG302" i="3245"/>
  <c r="AH302" i="3245"/>
  <c r="AI302" i="3245"/>
  <c r="AJ302" i="3245"/>
  <c r="AL302" i="3245"/>
  <c r="AF303" i="3245"/>
  <c r="AG303" i="3245"/>
  <c r="AH303" i="3245"/>
  <c r="AI303" i="3245"/>
  <c r="AJ303" i="3245"/>
  <c r="AL303" i="3245"/>
  <c r="AF304" i="3245"/>
  <c r="AG304" i="3245"/>
  <c r="AH304" i="3245"/>
  <c r="AI304" i="3245"/>
  <c r="AJ304" i="3245"/>
  <c r="AL304" i="3245"/>
  <c r="AF305" i="3245"/>
  <c r="AG305" i="3245"/>
  <c r="AH305" i="3245"/>
  <c r="AI305" i="3245"/>
  <c r="AJ305" i="3245"/>
  <c r="AL305" i="3245"/>
  <c r="AF306" i="3245"/>
  <c r="AG306" i="3245"/>
  <c r="AH306" i="3245"/>
  <c r="AI306" i="3245"/>
  <c r="AJ306" i="3245"/>
  <c r="AL306" i="3245"/>
  <c r="AF307" i="3245"/>
  <c r="AG307" i="3245"/>
  <c r="AH307" i="3245"/>
  <c r="AI307" i="3245"/>
  <c r="AJ307" i="3245"/>
  <c r="AL307" i="3245"/>
  <c r="AF308" i="3245"/>
  <c r="AG308" i="3245"/>
  <c r="AH308" i="3245"/>
  <c r="AI308" i="3245"/>
  <c r="AJ308" i="3245"/>
  <c r="AL308" i="3245"/>
  <c r="AF309" i="3245"/>
  <c r="AG309" i="3245"/>
  <c r="AH309" i="3245"/>
  <c r="AI309" i="3245"/>
  <c r="AJ309" i="3245"/>
  <c r="AL309" i="3245"/>
  <c r="AF310" i="3245"/>
  <c r="AG310" i="3245"/>
  <c r="AH310" i="3245"/>
  <c r="AI310" i="3245"/>
  <c r="AJ310" i="3245"/>
  <c r="AL310" i="3245"/>
  <c r="AF311" i="3245"/>
  <c r="AG311" i="3245"/>
  <c r="AH311" i="3245"/>
  <c r="AI311" i="3245"/>
  <c r="AJ311" i="3245"/>
  <c r="AL311" i="3245"/>
  <c r="AF312" i="3245"/>
  <c r="AG312" i="3245"/>
  <c r="AH312" i="3245"/>
  <c r="AI312" i="3245"/>
  <c r="AJ312" i="3245"/>
  <c r="AL312" i="3245"/>
  <c r="AF313" i="3245"/>
  <c r="AG313" i="3245"/>
  <c r="AH313" i="3245"/>
  <c r="AI313" i="3245"/>
  <c r="AJ313" i="3245"/>
  <c r="AL313" i="3245"/>
  <c r="AF314" i="3245"/>
  <c r="AG314" i="3245"/>
  <c r="AH314" i="3245"/>
  <c r="AI314" i="3245"/>
  <c r="AJ314" i="3245"/>
  <c r="AL314" i="3245"/>
  <c r="AF315" i="3245"/>
  <c r="AG315" i="3245"/>
  <c r="AH315" i="3245"/>
  <c r="AI315" i="3245"/>
  <c r="AJ315" i="3245"/>
  <c r="AL315" i="3245"/>
  <c r="AF316" i="3245"/>
  <c r="AG316" i="3245"/>
  <c r="AH316" i="3245"/>
  <c r="AI316" i="3245"/>
  <c r="AJ316" i="3245"/>
  <c r="AL316" i="3245"/>
  <c r="AF317" i="3245"/>
  <c r="AG317" i="3245"/>
  <c r="AH317" i="3245"/>
  <c r="AI317" i="3245"/>
  <c r="AJ317" i="3245"/>
  <c r="AL317" i="3245"/>
  <c r="AF318" i="3245"/>
  <c r="AG318" i="3245"/>
  <c r="AH318" i="3245"/>
  <c r="AI318" i="3245"/>
  <c r="AJ318" i="3245"/>
  <c r="AL318" i="3245"/>
  <c r="AF319" i="3245"/>
  <c r="AG319" i="3245"/>
  <c r="AH319" i="3245"/>
  <c r="AI319" i="3245"/>
  <c r="AJ319" i="3245"/>
  <c r="AL319" i="3245"/>
  <c r="AF320" i="3245"/>
  <c r="AG320" i="3245"/>
  <c r="AH320" i="3245"/>
  <c r="AI320" i="3245"/>
  <c r="AJ320" i="3245"/>
  <c r="AL320" i="3245"/>
  <c r="AF321" i="3245"/>
  <c r="AG321" i="3245"/>
  <c r="AH321" i="3245"/>
  <c r="AI321" i="3245"/>
  <c r="AJ321" i="3245"/>
  <c r="AL321" i="3245"/>
  <c r="AF322" i="3245"/>
  <c r="AG322" i="3245"/>
  <c r="AH322" i="3245"/>
  <c r="AI322" i="3245"/>
  <c r="AJ322" i="3245"/>
  <c r="AL322" i="3245"/>
  <c r="AF323" i="3245"/>
  <c r="AG323" i="3245"/>
  <c r="AH323" i="3245"/>
  <c r="AI323" i="3245"/>
  <c r="AJ323" i="3245"/>
  <c r="AL323" i="3245"/>
  <c r="AF324" i="3245"/>
  <c r="AG324" i="3245"/>
  <c r="AH324" i="3245"/>
  <c r="AI324" i="3245"/>
  <c r="AJ324" i="3245"/>
  <c r="AL324" i="3245"/>
  <c r="AF325" i="3245"/>
  <c r="AG325" i="3245"/>
  <c r="AH325" i="3245"/>
  <c r="AI325" i="3245"/>
  <c r="AJ325" i="3245"/>
  <c r="AL325" i="3245"/>
  <c r="AF326" i="3245"/>
  <c r="AG326" i="3245"/>
  <c r="AH326" i="3245"/>
  <c r="AI326" i="3245"/>
  <c r="AJ326" i="3245"/>
  <c r="AL326" i="3245"/>
  <c r="AF327" i="3245"/>
  <c r="AG327" i="3245"/>
  <c r="AH327" i="3245"/>
  <c r="AI327" i="3245"/>
  <c r="AJ327" i="3245"/>
  <c r="AL327" i="3245"/>
  <c r="AF328" i="3245"/>
  <c r="AG328" i="3245"/>
  <c r="AH328" i="3245"/>
  <c r="AI328" i="3245"/>
  <c r="AJ328" i="3245"/>
  <c r="AL328" i="3245"/>
  <c r="AF329" i="3245"/>
  <c r="AG329" i="3245"/>
  <c r="AH329" i="3245"/>
  <c r="AI329" i="3245"/>
  <c r="AJ329" i="3245"/>
  <c r="AL329" i="3245"/>
  <c r="AF330" i="3245"/>
  <c r="AG330" i="3245"/>
  <c r="AH330" i="3245"/>
  <c r="AI330" i="3245"/>
  <c r="AJ330" i="3245"/>
  <c r="AL330" i="3245"/>
  <c r="AF331" i="3245"/>
  <c r="AG331" i="3245"/>
  <c r="AH331" i="3245"/>
  <c r="AI331" i="3245"/>
  <c r="AJ331" i="3245"/>
  <c r="AL331" i="3245"/>
  <c r="AF332" i="3245"/>
  <c r="AG332" i="3245"/>
  <c r="AH332" i="3245"/>
  <c r="AI332" i="3245"/>
  <c r="AJ332" i="3245"/>
  <c r="AL332" i="3245"/>
  <c r="AF333" i="3245"/>
  <c r="AG333" i="3245"/>
  <c r="AH333" i="3245"/>
  <c r="AI333" i="3245"/>
  <c r="AJ333" i="3245"/>
  <c r="AL333" i="3245"/>
  <c r="AF334" i="3245"/>
  <c r="AG334" i="3245"/>
  <c r="AH334" i="3245"/>
  <c r="AI334" i="3245"/>
  <c r="AJ334" i="3245"/>
  <c r="AL334" i="3245"/>
  <c r="AF335" i="3245"/>
  <c r="AG335" i="3245"/>
  <c r="AH335" i="3245"/>
  <c r="AI335" i="3245"/>
  <c r="AJ335" i="3245"/>
  <c r="AL335" i="3245"/>
  <c r="AF336" i="3245"/>
  <c r="AG336" i="3245"/>
  <c r="AH336" i="3245"/>
  <c r="AI336" i="3245"/>
  <c r="AJ336" i="3245"/>
  <c r="AL336" i="3245"/>
  <c r="AF337" i="3245"/>
  <c r="AG337" i="3245"/>
  <c r="AH337" i="3245"/>
  <c r="AI337" i="3245"/>
  <c r="AJ337" i="3245"/>
  <c r="AL337" i="3245"/>
  <c r="AF338" i="3245"/>
  <c r="AG338" i="3245"/>
  <c r="AH338" i="3245"/>
  <c r="AI338" i="3245"/>
  <c r="AJ338" i="3245"/>
  <c r="AL338" i="3245"/>
  <c r="AF339" i="3245"/>
  <c r="AG339" i="3245"/>
  <c r="AH339" i="3245"/>
  <c r="AI339" i="3245"/>
  <c r="AJ339" i="3245"/>
  <c r="AL339" i="3245"/>
  <c r="AF340" i="3245"/>
  <c r="AG340" i="3245"/>
  <c r="AH340" i="3245"/>
  <c r="AI340" i="3245"/>
  <c r="AJ340" i="3245"/>
  <c r="AL340" i="3245"/>
  <c r="AF341" i="3245"/>
  <c r="AG341" i="3245"/>
  <c r="AH341" i="3245"/>
  <c r="AI341" i="3245"/>
  <c r="AJ341" i="3245"/>
  <c r="AL341" i="3245"/>
  <c r="AF342" i="3245"/>
  <c r="AG342" i="3245"/>
  <c r="AH342" i="3245"/>
  <c r="AI342" i="3245"/>
  <c r="AJ342" i="3245"/>
  <c r="AL342" i="3245"/>
  <c r="AF343" i="3245"/>
  <c r="AG343" i="3245"/>
  <c r="AH343" i="3245"/>
  <c r="AI343" i="3245"/>
  <c r="AJ343" i="3245"/>
  <c r="AL343" i="3245"/>
  <c r="AF344" i="3245"/>
  <c r="AG344" i="3245"/>
  <c r="AH344" i="3245"/>
  <c r="AI344" i="3245"/>
  <c r="AJ344" i="3245"/>
  <c r="AL344" i="3245"/>
  <c r="AF345" i="3245"/>
  <c r="AG345" i="3245"/>
  <c r="AH345" i="3245"/>
  <c r="AI345" i="3245"/>
  <c r="AJ345" i="3245"/>
  <c r="AL345" i="3245"/>
  <c r="AF346" i="3245"/>
  <c r="AG346" i="3245"/>
  <c r="AH346" i="3245"/>
  <c r="AI346" i="3245"/>
  <c r="AJ346" i="3245"/>
  <c r="AL346" i="3245"/>
  <c r="AF347" i="3245"/>
  <c r="AG347" i="3245"/>
  <c r="AH347" i="3245"/>
  <c r="AI347" i="3245"/>
  <c r="AJ347" i="3245"/>
  <c r="AL347" i="3245"/>
  <c r="AF348" i="3245"/>
  <c r="AG348" i="3245"/>
  <c r="AH348" i="3245"/>
  <c r="AI348" i="3245"/>
  <c r="AJ348" i="3245"/>
  <c r="AL348" i="3245"/>
  <c r="AF349" i="3245"/>
  <c r="AG349" i="3245"/>
  <c r="AH349" i="3245"/>
  <c r="AI349" i="3245"/>
  <c r="AJ349" i="3245"/>
  <c r="AL349" i="3245"/>
  <c r="AF350" i="3245"/>
  <c r="AG350" i="3245"/>
  <c r="AH350" i="3245"/>
  <c r="AI350" i="3245"/>
  <c r="AJ350" i="3245"/>
  <c r="AL350" i="3245"/>
  <c r="AF351" i="3245"/>
  <c r="AG351" i="3245"/>
  <c r="AH351" i="3245"/>
  <c r="AI351" i="3245"/>
  <c r="AJ351" i="3245"/>
  <c r="AL351" i="3245"/>
  <c r="AF352" i="3245"/>
  <c r="AG352" i="3245"/>
  <c r="AH352" i="3245"/>
  <c r="AI352" i="3245"/>
  <c r="AJ352" i="3245"/>
  <c r="AL352" i="3245"/>
  <c r="AF353" i="3245"/>
  <c r="AG353" i="3245"/>
  <c r="AH353" i="3245"/>
  <c r="AI353" i="3245"/>
  <c r="AJ353" i="3245"/>
  <c r="AL353" i="3245"/>
  <c r="AF354" i="3245"/>
  <c r="AG354" i="3245"/>
  <c r="AH354" i="3245"/>
  <c r="AI354" i="3245"/>
  <c r="AJ354" i="3245"/>
  <c r="AL354" i="3245"/>
  <c r="AF355" i="3245"/>
  <c r="AG355" i="3245"/>
  <c r="AH355" i="3245"/>
  <c r="AI355" i="3245"/>
  <c r="AJ355" i="3245"/>
  <c r="AL355" i="3245"/>
  <c r="AF356" i="3245"/>
  <c r="AG356" i="3245"/>
  <c r="AH356" i="3245"/>
  <c r="AI356" i="3245"/>
  <c r="AJ356" i="3245"/>
  <c r="AL356" i="3245"/>
  <c r="AF357" i="3245"/>
  <c r="AG357" i="3245"/>
  <c r="AH357" i="3245"/>
  <c r="AI357" i="3245"/>
  <c r="AJ357" i="3245"/>
  <c r="AL357" i="3245"/>
  <c r="AF358" i="3245"/>
  <c r="AG358" i="3245"/>
  <c r="AH358" i="3245"/>
  <c r="AI358" i="3245"/>
  <c r="AJ358" i="3245"/>
  <c r="AL358" i="3245"/>
  <c r="AF359" i="3245"/>
  <c r="AG359" i="3245"/>
  <c r="AH359" i="3245"/>
  <c r="AI359" i="3245"/>
  <c r="AJ359" i="3245"/>
  <c r="AL359" i="3245"/>
  <c r="AF360" i="3245"/>
  <c r="AG360" i="3245"/>
  <c r="AH360" i="3245"/>
  <c r="AI360" i="3245"/>
  <c r="AJ360" i="3245"/>
  <c r="AL360" i="3245"/>
  <c r="AF361" i="3245"/>
  <c r="AG361" i="3245"/>
  <c r="AH361" i="3245"/>
  <c r="AI361" i="3245"/>
  <c r="AJ361" i="3245"/>
  <c r="AL361" i="3245"/>
  <c r="AF362" i="3245"/>
  <c r="AG362" i="3245"/>
  <c r="AH362" i="3245"/>
  <c r="AI362" i="3245"/>
  <c r="AJ362" i="3245"/>
  <c r="AL362" i="3245"/>
  <c r="AF363" i="3245"/>
  <c r="AG363" i="3245"/>
  <c r="AH363" i="3245"/>
  <c r="AI363" i="3245"/>
  <c r="AJ363" i="3245"/>
  <c r="AL363" i="3245"/>
  <c r="AF364" i="3245"/>
  <c r="AG364" i="3245"/>
  <c r="AH364" i="3245"/>
  <c r="AI364" i="3245"/>
  <c r="AJ364" i="3245"/>
  <c r="AL364" i="3245"/>
  <c r="AF365" i="3245"/>
  <c r="AG365" i="3245"/>
  <c r="AH365" i="3245"/>
  <c r="AI365" i="3245"/>
  <c r="AJ365" i="3245"/>
  <c r="AL365" i="3245"/>
  <c r="AF366" i="3245"/>
  <c r="AG366" i="3245"/>
  <c r="AH366" i="3245"/>
  <c r="AI366" i="3245"/>
  <c r="AJ366" i="3245"/>
  <c r="AL366" i="3245"/>
  <c r="AF367" i="3245"/>
  <c r="AG367" i="3245"/>
  <c r="AH367" i="3245"/>
  <c r="AI367" i="3245"/>
  <c r="AJ367" i="3245"/>
  <c r="AL367" i="3245"/>
  <c r="AF368" i="3245"/>
  <c r="AG368" i="3245"/>
  <c r="AH368" i="3245"/>
  <c r="AI368" i="3245"/>
  <c r="AJ368" i="3245"/>
  <c r="AL368" i="3245"/>
  <c r="AF369" i="3245"/>
  <c r="AG369" i="3245"/>
  <c r="AH369" i="3245"/>
  <c r="AI369" i="3245"/>
  <c r="AJ369" i="3245"/>
  <c r="AL369" i="3245"/>
  <c r="AF370" i="3245"/>
  <c r="AG370" i="3245"/>
  <c r="AH370" i="3245"/>
  <c r="AI370" i="3245"/>
  <c r="AJ370" i="3245"/>
  <c r="AL370" i="3245"/>
  <c r="AF371" i="3245"/>
  <c r="AG371" i="3245"/>
  <c r="AH371" i="3245"/>
  <c r="AI371" i="3245"/>
  <c r="AJ371" i="3245"/>
  <c r="AL371" i="3245"/>
  <c r="AF372" i="3245"/>
  <c r="AG372" i="3245"/>
  <c r="AH372" i="3245"/>
  <c r="AI372" i="3245"/>
  <c r="AJ372" i="3245"/>
  <c r="AL372" i="3245"/>
  <c r="AF373" i="3245"/>
  <c r="AG373" i="3245"/>
  <c r="AH373" i="3245"/>
  <c r="AI373" i="3245"/>
  <c r="AJ373" i="3245"/>
  <c r="AL373" i="3245"/>
  <c r="AF374" i="3245"/>
  <c r="AG374" i="3245"/>
  <c r="AH374" i="3245"/>
  <c r="AI374" i="3245"/>
  <c r="AJ374" i="3245"/>
  <c r="AL374" i="3245"/>
  <c r="AF375" i="3245"/>
  <c r="AG375" i="3245"/>
  <c r="AH375" i="3245"/>
  <c r="AI375" i="3245"/>
  <c r="AJ375" i="3245"/>
  <c r="AL375" i="3245"/>
  <c r="AF376" i="3245"/>
  <c r="AG376" i="3245"/>
  <c r="AH376" i="3245"/>
  <c r="AI376" i="3245"/>
  <c r="AJ376" i="3245"/>
  <c r="AL376" i="3245"/>
  <c r="AF377" i="3245"/>
  <c r="AG377" i="3245"/>
  <c r="AH377" i="3245"/>
  <c r="AI377" i="3245"/>
  <c r="AJ377" i="3245"/>
  <c r="AL377" i="3245"/>
  <c r="AF378" i="3245"/>
  <c r="AG378" i="3245"/>
  <c r="AH378" i="3245"/>
  <c r="AI378" i="3245"/>
  <c r="AJ378" i="3245"/>
  <c r="AL378" i="3245"/>
  <c r="AF379" i="3245"/>
  <c r="AG379" i="3245"/>
  <c r="AH379" i="3245"/>
  <c r="AI379" i="3245"/>
  <c r="AJ379" i="3245"/>
  <c r="AL379" i="3245"/>
  <c r="AF380" i="3245"/>
  <c r="AG380" i="3245"/>
  <c r="AH380" i="3245"/>
  <c r="AI380" i="3245"/>
  <c r="AJ380" i="3245"/>
  <c r="AL380" i="3245"/>
  <c r="AF381" i="3245"/>
  <c r="AG381" i="3245"/>
  <c r="AH381" i="3245"/>
  <c r="AI381" i="3245"/>
  <c r="AJ381" i="3245"/>
  <c r="AL381" i="3245"/>
  <c r="AF382" i="3245"/>
  <c r="AG382" i="3245"/>
  <c r="AH382" i="3245"/>
  <c r="AI382" i="3245"/>
  <c r="AJ382" i="3245"/>
  <c r="AL382" i="3245"/>
  <c r="AF383" i="3245"/>
  <c r="AG383" i="3245"/>
  <c r="AH383" i="3245"/>
  <c r="AI383" i="3245"/>
  <c r="AJ383" i="3245"/>
  <c r="AL383" i="3245"/>
  <c r="AF384" i="3245"/>
  <c r="AG384" i="3245"/>
  <c r="AH384" i="3245"/>
  <c r="AI384" i="3245"/>
  <c r="AJ384" i="3245"/>
  <c r="AL384" i="3245"/>
  <c r="AF385" i="3245"/>
  <c r="AG385" i="3245"/>
  <c r="AH385" i="3245"/>
  <c r="AI385" i="3245"/>
  <c r="AJ385" i="3245"/>
  <c r="AL385" i="3245"/>
  <c r="AF386" i="3245"/>
  <c r="AG386" i="3245"/>
  <c r="AH386" i="3245"/>
  <c r="AI386" i="3245"/>
  <c r="AJ386" i="3245"/>
  <c r="AL386" i="3245"/>
  <c r="AF387" i="3245"/>
  <c r="AG387" i="3245"/>
  <c r="AH387" i="3245"/>
  <c r="AI387" i="3245"/>
  <c r="AJ387" i="3245"/>
  <c r="AL387" i="3245"/>
  <c r="AF388" i="3245"/>
  <c r="AG388" i="3245"/>
  <c r="AH388" i="3245"/>
  <c r="AI388" i="3245"/>
  <c r="AJ388" i="3245"/>
  <c r="AL388" i="3245"/>
  <c r="AF389" i="3245"/>
  <c r="AG389" i="3245"/>
  <c r="AH389" i="3245"/>
  <c r="AI389" i="3245"/>
  <c r="AJ389" i="3245"/>
  <c r="AL389" i="3245"/>
  <c r="AF390" i="3245"/>
  <c r="AG390" i="3245"/>
  <c r="AH390" i="3245"/>
  <c r="AI390" i="3245"/>
  <c r="AJ390" i="3245"/>
  <c r="AL390" i="3245"/>
  <c r="AF391" i="3245"/>
  <c r="AG391" i="3245"/>
  <c r="AH391" i="3245"/>
  <c r="AI391" i="3245"/>
  <c r="AJ391" i="3245"/>
  <c r="AL391" i="3245"/>
  <c r="AF392" i="3245"/>
  <c r="AG392" i="3245"/>
  <c r="AH392" i="3245"/>
  <c r="AI392" i="3245"/>
  <c r="AJ392" i="3245"/>
  <c r="AL392" i="3245"/>
  <c r="AF393" i="3245"/>
  <c r="AG393" i="3245"/>
  <c r="AH393" i="3245"/>
  <c r="AI393" i="3245"/>
  <c r="AJ393" i="3245"/>
  <c r="AL393" i="3245"/>
  <c r="AF394" i="3245"/>
  <c r="AG394" i="3245"/>
  <c r="AH394" i="3245"/>
  <c r="AI394" i="3245"/>
  <c r="AJ394" i="3245"/>
  <c r="AL394" i="3245"/>
  <c r="AF395" i="3245"/>
  <c r="AG395" i="3245"/>
  <c r="AH395" i="3245"/>
  <c r="AI395" i="3245"/>
  <c r="AJ395" i="3245"/>
  <c r="AL395" i="3245"/>
  <c r="AF396" i="3245"/>
  <c r="AG396" i="3245"/>
  <c r="AH396" i="3245"/>
  <c r="AI396" i="3245"/>
  <c r="AJ396" i="3245"/>
  <c r="AL396" i="3245"/>
  <c r="AF397" i="3245"/>
  <c r="AG397" i="3245"/>
  <c r="AH397" i="3245"/>
  <c r="AI397" i="3245"/>
  <c r="AJ397" i="3245"/>
  <c r="AL397" i="3245"/>
  <c r="AF398" i="3245"/>
  <c r="AG398" i="3245"/>
  <c r="AH398" i="3245"/>
  <c r="AI398" i="3245"/>
  <c r="AJ398" i="3245"/>
  <c r="AL398" i="3245"/>
  <c r="AF399" i="3245"/>
  <c r="AG399" i="3245"/>
  <c r="AH399" i="3245"/>
  <c r="AI399" i="3245"/>
  <c r="AJ399" i="3245"/>
  <c r="AL399" i="3245"/>
  <c r="AF400" i="3245"/>
  <c r="AG400" i="3245"/>
  <c r="AH400" i="3245"/>
  <c r="AI400" i="3245"/>
  <c r="AJ400" i="3245"/>
  <c r="AL400" i="3245"/>
  <c r="AF401" i="3245"/>
  <c r="AG401" i="3245"/>
  <c r="AH401" i="3245"/>
  <c r="AI401" i="3245"/>
  <c r="AJ401" i="3245"/>
  <c r="AL401" i="3245"/>
  <c r="AF402" i="3245"/>
  <c r="AG402" i="3245"/>
  <c r="AH402" i="3245"/>
  <c r="AI402" i="3245"/>
  <c r="AJ402" i="3245"/>
  <c r="AL402" i="3245"/>
  <c r="AF403" i="3245"/>
  <c r="AG403" i="3245"/>
  <c r="AH403" i="3245"/>
  <c r="AI403" i="3245"/>
  <c r="AJ403" i="3245"/>
  <c r="AL403" i="3245"/>
  <c r="AF404" i="3245"/>
  <c r="AG404" i="3245"/>
  <c r="AH404" i="3245"/>
  <c r="AI404" i="3245"/>
  <c r="AJ404" i="3245"/>
  <c r="AL404" i="3245"/>
  <c r="AF405" i="3245"/>
  <c r="AG405" i="3245"/>
  <c r="AH405" i="3245"/>
  <c r="AI405" i="3245"/>
  <c r="AJ405" i="3245"/>
  <c r="AL405" i="3245"/>
  <c r="AF406" i="3245"/>
  <c r="AG406" i="3245"/>
  <c r="AH406" i="3245"/>
  <c r="AI406" i="3245"/>
  <c r="AJ406" i="3245"/>
  <c r="AL406" i="3245"/>
  <c r="AF407" i="3245"/>
  <c r="AG407" i="3245"/>
  <c r="AH407" i="3245"/>
  <c r="AI407" i="3245"/>
  <c r="AJ407" i="3245"/>
  <c r="AL407" i="3245"/>
  <c r="AF408" i="3245"/>
  <c r="AG408" i="3245"/>
  <c r="AH408" i="3245"/>
  <c r="AI408" i="3245"/>
  <c r="AJ408" i="3245"/>
  <c r="AL408" i="3245"/>
  <c r="AF409" i="3245"/>
  <c r="AG409" i="3245"/>
  <c r="AH409" i="3245"/>
  <c r="AI409" i="3245"/>
  <c r="AJ409" i="3245"/>
  <c r="AL409" i="3245"/>
  <c r="AF410" i="3245"/>
  <c r="AG410" i="3245"/>
  <c r="AH410" i="3245"/>
  <c r="AI410" i="3245"/>
  <c r="AJ410" i="3245"/>
  <c r="AL410" i="3245"/>
  <c r="AF411" i="3245"/>
  <c r="AG411" i="3245"/>
  <c r="AH411" i="3245"/>
  <c r="AI411" i="3245"/>
  <c r="AJ411" i="3245"/>
  <c r="AL411" i="3245"/>
  <c r="AF412" i="3245"/>
  <c r="AG412" i="3245"/>
  <c r="AH412" i="3245"/>
  <c r="AI412" i="3245"/>
  <c r="AJ412" i="3245"/>
  <c r="AL412" i="3245"/>
  <c r="AF413" i="3245"/>
  <c r="AG413" i="3245"/>
  <c r="AH413" i="3245"/>
  <c r="AI413" i="3245"/>
  <c r="AJ413" i="3245"/>
  <c r="AL413" i="3245"/>
  <c r="AF414" i="3245"/>
  <c r="AG414" i="3245"/>
  <c r="AH414" i="3245"/>
  <c r="AI414" i="3245"/>
  <c r="AJ414" i="3245"/>
  <c r="AL414" i="3245"/>
  <c r="AF415" i="3245"/>
  <c r="AG415" i="3245"/>
  <c r="AH415" i="3245"/>
  <c r="AI415" i="3245"/>
  <c r="AJ415" i="3245"/>
  <c r="AL415" i="3245"/>
  <c r="AF416" i="3245"/>
  <c r="AG416" i="3245"/>
  <c r="AH416" i="3245"/>
  <c r="AI416" i="3245"/>
  <c r="AJ416" i="3245"/>
  <c r="AL416" i="3245"/>
  <c r="AF417" i="3245"/>
  <c r="AG417" i="3245"/>
  <c r="AH417" i="3245"/>
  <c r="AI417" i="3245"/>
  <c r="AJ417" i="3245"/>
  <c r="AL417" i="3245"/>
  <c r="AF418" i="3245"/>
  <c r="AG418" i="3245"/>
  <c r="AH418" i="3245"/>
  <c r="AI418" i="3245"/>
  <c r="AJ418" i="3245"/>
  <c r="AL418" i="3245"/>
  <c r="AF419" i="3245"/>
  <c r="AG419" i="3245"/>
  <c r="AH419" i="3245"/>
  <c r="AI419" i="3245"/>
  <c r="AJ419" i="3245"/>
  <c r="AL419" i="3245"/>
  <c r="AF420" i="3245"/>
  <c r="AG420" i="3245"/>
  <c r="AH420" i="3245"/>
  <c r="AI420" i="3245"/>
  <c r="AJ420" i="3245"/>
  <c r="AL420" i="3245"/>
  <c r="AF421" i="3245"/>
  <c r="AG421" i="3245"/>
  <c r="AH421" i="3245"/>
  <c r="AI421" i="3245"/>
  <c r="AJ421" i="3245"/>
  <c r="AL421" i="3245"/>
  <c r="AF422" i="3245"/>
  <c r="AG422" i="3245"/>
  <c r="AH422" i="3245"/>
  <c r="AI422" i="3245"/>
  <c r="AJ422" i="3245"/>
  <c r="AL422" i="3245"/>
  <c r="AF423" i="3245"/>
  <c r="AG423" i="3245"/>
  <c r="AH423" i="3245"/>
  <c r="AI423" i="3245"/>
  <c r="AJ423" i="3245"/>
  <c r="AL423" i="3245"/>
  <c r="AF424" i="3245"/>
  <c r="AG424" i="3245"/>
  <c r="AH424" i="3245"/>
  <c r="AI424" i="3245"/>
  <c r="AJ424" i="3245"/>
  <c r="AL424" i="3245"/>
  <c r="AF425" i="3245"/>
  <c r="AG425" i="3245"/>
  <c r="AH425" i="3245"/>
  <c r="AI425" i="3245"/>
  <c r="AJ425" i="3245"/>
  <c r="AL425" i="3245"/>
  <c r="AF426" i="3245"/>
  <c r="AG426" i="3245"/>
  <c r="AH426" i="3245"/>
  <c r="AI426" i="3245"/>
  <c r="AJ426" i="3245"/>
  <c r="AL426" i="3245"/>
  <c r="AF427" i="3245"/>
  <c r="AG427" i="3245"/>
  <c r="AH427" i="3245"/>
  <c r="AI427" i="3245"/>
  <c r="AJ427" i="3245"/>
  <c r="AL427" i="3245"/>
  <c r="AF428" i="3245"/>
  <c r="AG428" i="3245"/>
  <c r="AH428" i="3245"/>
  <c r="AI428" i="3245"/>
  <c r="AJ428" i="3245"/>
  <c r="AL428" i="3245"/>
  <c r="AF429" i="3245"/>
  <c r="AG429" i="3245"/>
  <c r="AH429" i="3245"/>
  <c r="AI429" i="3245"/>
  <c r="AJ429" i="3245"/>
  <c r="AL429" i="3245"/>
  <c r="AF430" i="3245"/>
  <c r="AG430" i="3245"/>
  <c r="AH430" i="3245"/>
  <c r="AI430" i="3245"/>
  <c r="AJ430" i="3245"/>
  <c r="AL430" i="3245"/>
  <c r="AF431" i="3245"/>
  <c r="AG431" i="3245"/>
  <c r="AH431" i="3245"/>
  <c r="AI431" i="3245"/>
  <c r="AJ431" i="3245"/>
  <c r="AL431" i="3245"/>
  <c r="AF432" i="3245"/>
  <c r="AG432" i="3245"/>
  <c r="AH432" i="3245"/>
  <c r="AI432" i="3245"/>
  <c r="AJ432" i="3245"/>
  <c r="AL432" i="3245"/>
  <c r="AF433" i="3245"/>
  <c r="AG433" i="3245"/>
  <c r="AH433" i="3245"/>
  <c r="AI433" i="3245"/>
  <c r="AJ433" i="3245"/>
  <c r="AL433" i="3245"/>
  <c r="AF434" i="3245"/>
  <c r="AG434" i="3245"/>
  <c r="AH434" i="3245"/>
  <c r="AI434" i="3245"/>
  <c r="AJ434" i="3245"/>
  <c r="AL434" i="3245"/>
  <c r="AF435" i="3245"/>
  <c r="AG435" i="3245"/>
  <c r="AH435" i="3245"/>
  <c r="AI435" i="3245"/>
  <c r="AJ435" i="3245"/>
  <c r="AL435" i="3245"/>
  <c r="AF436" i="3245"/>
  <c r="AG436" i="3245"/>
  <c r="AH436" i="3245"/>
  <c r="AI436" i="3245"/>
  <c r="AJ436" i="3245"/>
  <c r="AL436" i="3245"/>
  <c r="AF437" i="3245"/>
  <c r="AG437" i="3245"/>
  <c r="AH437" i="3245"/>
  <c r="AI437" i="3245"/>
  <c r="AJ437" i="3245"/>
  <c r="AL437" i="3245"/>
  <c r="AF438" i="3245"/>
  <c r="AG438" i="3245"/>
  <c r="AH438" i="3245"/>
  <c r="AI438" i="3245"/>
  <c r="AJ438" i="3245"/>
  <c r="AL438" i="3245"/>
  <c r="AF439" i="3245"/>
  <c r="AG439" i="3245"/>
  <c r="AH439" i="3245"/>
  <c r="AI439" i="3245"/>
  <c r="AJ439" i="3245"/>
  <c r="AL439" i="3245"/>
  <c r="AF440" i="3245"/>
  <c r="AG440" i="3245"/>
  <c r="AH440" i="3245"/>
  <c r="AI440" i="3245"/>
  <c r="AJ440" i="3245"/>
  <c r="AL440" i="3245"/>
  <c r="AF441" i="3245"/>
  <c r="AG441" i="3245"/>
  <c r="AH441" i="3245"/>
  <c r="AI441" i="3245"/>
  <c r="AJ441" i="3245"/>
  <c r="AL441" i="3245"/>
  <c r="AF442" i="3245"/>
  <c r="AG442" i="3245"/>
  <c r="AH442" i="3245"/>
  <c r="AI442" i="3245"/>
  <c r="AJ442" i="3245"/>
  <c r="AL442" i="3245"/>
  <c r="AF443" i="3245"/>
  <c r="AG443" i="3245"/>
  <c r="AH443" i="3245"/>
  <c r="AI443" i="3245"/>
  <c r="AJ443" i="3245"/>
  <c r="AL443" i="3245"/>
  <c r="AF444" i="3245"/>
  <c r="AG444" i="3245"/>
  <c r="AH444" i="3245"/>
  <c r="AI444" i="3245"/>
  <c r="AJ444" i="3245"/>
  <c r="AL444" i="3245"/>
  <c r="AF445" i="3245"/>
  <c r="AG445" i="3245"/>
  <c r="AH445" i="3245"/>
  <c r="AI445" i="3245"/>
  <c r="AJ445" i="3245"/>
  <c r="AL445" i="3245"/>
  <c r="AF446" i="3245"/>
  <c r="AG446" i="3245"/>
  <c r="AH446" i="3245"/>
  <c r="AI446" i="3245"/>
  <c r="AJ446" i="3245"/>
  <c r="AL446" i="3245"/>
  <c r="AF447" i="3245"/>
  <c r="AG447" i="3245"/>
  <c r="AH447" i="3245"/>
  <c r="AI447" i="3245"/>
  <c r="AJ447" i="3245"/>
  <c r="AL447" i="3245"/>
  <c r="AF448" i="3245"/>
  <c r="AG448" i="3245"/>
  <c r="AH448" i="3245"/>
  <c r="AI448" i="3245"/>
  <c r="AJ448" i="3245"/>
  <c r="AL448" i="3245"/>
  <c r="AF449" i="3245"/>
  <c r="AG449" i="3245"/>
  <c r="AH449" i="3245"/>
  <c r="AI449" i="3245"/>
  <c r="AJ449" i="3245"/>
  <c r="AL449" i="3245"/>
  <c r="AF450" i="3245"/>
  <c r="AG450" i="3245"/>
  <c r="AH450" i="3245"/>
  <c r="AI450" i="3245"/>
  <c r="AJ450" i="3245"/>
  <c r="AL450" i="3245"/>
  <c r="AF451" i="3245"/>
  <c r="AG451" i="3245"/>
  <c r="AH451" i="3245"/>
  <c r="AI451" i="3245"/>
  <c r="AJ451" i="3245"/>
  <c r="AL451" i="3245"/>
  <c r="AF452" i="3245"/>
  <c r="AG452" i="3245"/>
  <c r="AH452" i="3245"/>
  <c r="AI452" i="3245"/>
  <c r="AJ452" i="3245"/>
  <c r="AL452" i="3245"/>
  <c r="AF453" i="3245"/>
  <c r="AG453" i="3245"/>
  <c r="AH453" i="3245"/>
  <c r="AI453" i="3245"/>
  <c r="AJ453" i="3245"/>
  <c r="AL453" i="3245"/>
  <c r="AF454" i="3245"/>
  <c r="AG454" i="3245"/>
  <c r="AH454" i="3245"/>
  <c r="AI454" i="3245"/>
  <c r="AJ454" i="3245"/>
  <c r="AL454" i="3245"/>
  <c r="AF455" i="3245"/>
  <c r="AG455" i="3245"/>
  <c r="AH455" i="3245"/>
  <c r="AI455" i="3245"/>
  <c r="AJ455" i="3245"/>
  <c r="AL455" i="3245"/>
  <c r="AF456" i="3245"/>
  <c r="AG456" i="3245"/>
  <c r="AH456" i="3245"/>
  <c r="AI456" i="3245"/>
  <c r="AJ456" i="3245"/>
  <c r="AL456" i="3245"/>
  <c r="AF457" i="3245"/>
  <c r="AG457" i="3245"/>
  <c r="AH457" i="3245"/>
  <c r="AI457" i="3245"/>
  <c r="AJ457" i="3245"/>
  <c r="AL457" i="3245"/>
  <c r="AF458" i="3245"/>
  <c r="AG458" i="3245"/>
  <c r="AH458" i="3245"/>
  <c r="AI458" i="3245"/>
  <c r="AJ458" i="3245"/>
  <c r="AL458" i="3245"/>
  <c r="AF459" i="3245"/>
  <c r="AG459" i="3245"/>
  <c r="AH459" i="3245"/>
  <c r="AI459" i="3245"/>
  <c r="AJ459" i="3245"/>
  <c r="AL459" i="3245"/>
  <c r="AF460" i="3245"/>
  <c r="AG460" i="3245"/>
  <c r="AH460" i="3245"/>
  <c r="AI460" i="3245"/>
  <c r="AJ460" i="3245"/>
  <c r="AL460" i="3245"/>
  <c r="AF461" i="3245"/>
  <c r="AG461" i="3245"/>
  <c r="AH461" i="3245"/>
  <c r="AI461" i="3245"/>
  <c r="AJ461" i="3245"/>
  <c r="AL461" i="3245"/>
  <c r="AF462" i="3245"/>
  <c r="AG462" i="3245"/>
  <c r="AH462" i="3245"/>
  <c r="AI462" i="3245"/>
  <c r="AJ462" i="3245"/>
  <c r="AL462" i="3245"/>
  <c r="AF463" i="3245"/>
  <c r="AG463" i="3245"/>
  <c r="AH463" i="3245"/>
  <c r="AI463" i="3245"/>
  <c r="AJ463" i="3245"/>
  <c r="AL463" i="3245"/>
  <c r="AF464" i="3245"/>
  <c r="AG464" i="3245"/>
  <c r="AH464" i="3245"/>
  <c r="AI464" i="3245"/>
  <c r="AJ464" i="3245"/>
  <c r="AL464" i="3245"/>
  <c r="AF465" i="3245"/>
  <c r="AG465" i="3245"/>
  <c r="AH465" i="3245"/>
  <c r="AI465" i="3245"/>
  <c r="AJ465" i="3245"/>
  <c r="AL465" i="3245"/>
  <c r="AF466" i="3245"/>
  <c r="AG466" i="3245"/>
  <c r="AH466" i="3245"/>
  <c r="AI466" i="3245"/>
  <c r="AJ466" i="3245"/>
  <c r="AL466" i="3245"/>
  <c r="AF467" i="3245"/>
  <c r="AG467" i="3245"/>
  <c r="AH467" i="3245"/>
  <c r="AI467" i="3245"/>
  <c r="AJ467" i="3245"/>
  <c r="AL467" i="3245"/>
  <c r="AF468" i="3245"/>
  <c r="AG468" i="3245"/>
  <c r="AH468" i="3245"/>
  <c r="AI468" i="3245"/>
  <c r="AJ468" i="3245"/>
  <c r="AL468" i="3245"/>
  <c r="AF469" i="3245"/>
  <c r="AG469" i="3245"/>
  <c r="AH469" i="3245"/>
  <c r="AI469" i="3245"/>
  <c r="AJ469" i="3245"/>
  <c r="AL469" i="3245"/>
  <c r="AF470" i="3245"/>
  <c r="AG470" i="3245"/>
  <c r="AH470" i="3245"/>
  <c r="AI470" i="3245"/>
  <c r="AJ470" i="3245"/>
  <c r="AL470" i="3245"/>
  <c r="AF471" i="3245"/>
  <c r="AG471" i="3245"/>
  <c r="AH471" i="3245"/>
  <c r="AI471" i="3245"/>
  <c r="AJ471" i="3245"/>
  <c r="AL471" i="3245"/>
  <c r="AF472" i="3245"/>
  <c r="AG472" i="3245"/>
  <c r="AH472" i="3245"/>
  <c r="AI472" i="3245"/>
  <c r="AJ472" i="3245"/>
  <c r="AL472" i="3245"/>
  <c r="AF473" i="3245"/>
  <c r="AG473" i="3245"/>
  <c r="AH473" i="3245"/>
  <c r="AI473" i="3245"/>
  <c r="AJ473" i="3245"/>
  <c r="AL473" i="3245"/>
  <c r="AF474" i="3245"/>
  <c r="AG474" i="3245"/>
  <c r="AH474" i="3245"/>
  <c r="AI474" i="3245"/>
  <c r="AJ474" i="3245"/>
  <c r="AL474" i="3245"/>
  <c r="AF475" i="3245"/>
  <c r="AG475" i="3245"/>
  <c r="AH475" i="3245"/>
  <c r="AI475" i="3245"/>
  <c r="AJ475" i="3245"/>
  <c r="AL475" i="3245"/>
  <c r="AF476" i="3245"/>
  <c r="AG476" i="3245"/>
  <c r="AH476" i="3245"/>
  <c r="AI476" i="3245"/>
  <c r="AJ476" i="3245"/>
  <c r="AL476" i="3245"/>
  <c r="AF477" i="3245"/>
  <c r="AG477" i="3245"/>
  <c r="AH477" i="3245"/>
  <c r="AI477" i="3245"/>
  <c r="AJ477" i="3245"/>
  <c r="AL477" i="3245"/>
  <c r="AF478" i="3245"/>
  <c r="AG478" i="3245"/>
  <c r="AH478" i="3245"/>
  <c r="AI478" i="3245"/>
  <c r="AJ478" i="3245"/>
  <c r="AL478" i="3245"/>
  <c r="AF479" i="3245"/>
  <c r="AG479" i="3245"/>
  <c r="AH479" i="3245"/>
  <c r="AI479" i="3245"/>
  <c r="AJ479" i="3245"/>
  <c r="AL479" i="3245"/>
  <c r="AF480" i="3245"/>
  <c r="AG480" i="3245"/>
  <c r="AH480" i="3245"/>
  <c r="AI480" i="3245"/>
  <c r="AJ480" i="3245"/>
  <c r="AL480" i="3245"/>
  <c r="AF481" i="3245"/>
  <c r="AG481" i="3245"/>
  <c r="AH481" i="3245"/>
  <c r="AI481" i="3245"/>
  <c r="AJ481" i="3245"/>
  <c r="AL481" i="3245"/>
  <c r="AF482" i="3245"/>
  <c r="AG482" i="3245"/>
  <c r="AH482" i="3245"/>
  <c r="AI482" i="3245"/>
  <c r="AJ482" i="3245"/>
  <c r="AL482" i="3245"/>
  <c r="AF483" i="3245"/>
  <c r="AG483" i="3245"/>
  <c r="AH483" i="3245"/>
  <c r="AI483" i="3245"/>
  <c r="AJ483" i="3245"/>
  <c r="AL483" i="3245"/>
  <c r="AF484" i="3245"/>
  <c r="AG484" i="3245"/>
  <c r="AH484" i="3245"/>
  <c r="AI484" i="3245"/>
  <c r="AJ484" i="3245"/>
  <c r="AL484" i="3245"/>
  <c r="AF485" i="3245"/>
  <c r="AG485" i="3245"/>
  <c r="AH485" i="3245"/>
  <c r="AI485" i="3245"/>
  <c r="AJ485" i="3245"/>
  <c r="AL485" i="3245"/>
  <c r="AF486" i="3245"/>
  <c r="AG486" i="3245"/>
  <c r="AH486" i="3245"/>
  <c r="AI486" i="3245"/>
  <c r="AJ486" i="3245"/>
  <c r="AL486" i="3245"/>
  <c r="AF487" i="3245"/>
  <c r="AG487" i="3245"/>
  <c r="AH487" i="3245"/>
  <c r="AI487" i="3245"/>
  <c r="AJ487" i="3245"/>
  <c r="AL487" i="3245"/>
  <c r="AF488" i="3245"/>
  <c r="AG488" i="3245"/>
  <c r="AH488" i="3245"/>
  <c r="AI488" i="3245"/>
  <c r="AJ488" i="3245"/>
  <c r="AL488" i="3245"/>
  <c r="AF489" i="3245"/>
  <c r="AG489" i="3245"/>
  <c r="AH489" i="3245"/>
  <c r="AI489" i="3245"/>
  <c r="AJ489" i="3245"/>
  <c r="AL489" i="3245"/>
  <c r="AF490" i="3245"/>
  <c r="AG490" i="3245"/>
  <c r="AH490" i="3245"/>
  <c r="AI490" i="3245"/>
  <c r="AJ490" i="3245"/>
  <c r="AL490" i="3245"/>
  <c r="AF491" i="3245"/>
  <c r="AG491" i="3245"/>
  <c r="AH491" i="3245"/>
  <c r="AI491" i="3245"/>
  <c r="AJ491" i="3245"/>
  <c r="AL491" i="3245"/>
  <c r="AF492" i="3245"/>
  <c r="AG492" i="3245"/>
  <c r="AH492" i="3245"/>
  <c r="AI492" i="3245"/>
  <c r="AJ492" i="3245"/>
  <c r="AL492" i="3245"/>
  <c r="AF493" i="3245"/>
  <c r="AG493" i="3245"/>
  <c r="AH493" i="3245"/>
  <c r="AI493" i="3245"/>
  <c r="AJ493" i="3245"/>
  <c r="AL493" i="3245"/>
  <c r="AF494" i="3245"/>
  <c r="AG494" i="3245"/>
  <c r="AH494" i="3245"/>
  <c r="AI494" i="3245"/>
  <c r="AJ494" i="3245"/>
  <c r="AL494" i="3245"/>
  <c r="AF495" i="3245"/>
  <c r="AG495" i="3245"/>
  <c r="AH495" i="3245"/>
  <c r="AI495" i="3245"/>
  <c r="AJ495" i="3245"/>
  <c r="AL495" i="3245"/>
  <c r="AF496" i="3245"/>
  <c r="AG496" i="3245"/>
  <c r="AH496" i="3245"/>
  <c r="AI496" i="3245"/>
  <c r="AJ496" i="3245"/>
  <c r="AL496" i="3245"/>
  <c r="AF497" i="3245"/>
  <c r="AG497" i="3245"/>
  <c r="AH497" i="3245"/>
  <c r="AI497" i="3245"/>
  <c r="AJ497" i="3245"/>
  <c r="AL497" i="3245"/>
  <c r="AF498" i="3245"/>
  <c r="AG498" i="3245"/>
  <c r="AH498" i="3245"/>
  <c r="AI498" i="3245"/>
  <c r="AJ498" i="3245"/>
  <c r="AL498" i="3245"/>
  <c r="AF499" i="3245"/>
  <c r="AG499" i="3245"/>
  <c r="AH499" i="3245"/>
  <c r="AI499" i="3245"/>
  <c r="AJ499" i="3245"/>
  <c r="AL499" i="3245"/>
  <c r="AF500" i="3245"/>
  <c r="AG500" i="3245"/>
  <c r="AH500" i="3245"/>
  <c r="AI500" i="3245"/>
  <c r="AJ500" i="3245"/>
  <c r="AL500" i="3245"/>
  <c r="AF501" i="3245"/>
  <c r="AG501" i="3245"/>
  <c r="AH501" i="3245"/>
  <c r="AI501" i="3245"/>
  <c r="AJ501" i="3245"/>
  <c r="AL501" i="3245"/>
  <c r="AF502" i="3245"/>
  <c r="AG502" i="3245"/>
  <c r="AH502" i="3245"/>
  <c r="AI502" i="3245"/>
  <c r="AJ502" i="3245"/>
  <c r="AL502" i="3245"/>
  <c r="AF503" i="3245"/>
  <c r="AG503" i="3245"/>
  <c r="AH503" i="3245"/>
  <c r="AI503" i="3245"/>
  <c r="AJ503" i="3245"/>
  <c r="AL503" i="3245"/>
  <c r="AF504" i="3245"/>
  <c r="AG504" i="3245"/>
  <c r="AH504" i="3245"/>
  <c r="AI504" i="3245"/>
  <c r="AJ504" i="3245"/>
  <c r="AL504" i="3245"/>
  <c r="AF505" i="3245"/>
  <c r="AG505" i="3245"/>
  <c r="AH505" i="3245"/>
  <c r="AI505" i="3245"/>
  <c r="AJ505" i="3245"/>
  <c r="AL505" i="3245"/>
  <c r="AF506" i="3245"/>
  <c r="AG506" i="3245"/>
  <c r="AH506" i="3245"/>
  <c r="AI506" i="3245"/>
  <c r="AJ506" i="3245"/>
  <c r="AL506" i="3245"/>
  <c r="AF507" i="3245"/>
  <c r="AG507" i="3245"/>
  <c r="AH507" i="3245"/>
  <c r="AI507" i="3245"/>
  <c r="AJ507" i="3245"/>
  <c r="AL507" i="3245"/>
  <c r="AF508" i="3245"/>
  <c r="AG508" i="3245"/>
  <c r="AH508" i="3245"/>
  <c r="AI508" i="3245"/>
  <c r="AJ508" i="3245"/>
  <c r="AL508" i="3245"/>
  <c r="AF509" i="3245"/>
  <c r="AG509" i="3245"/>
  <c r="AH509" i="3245"/>
  <c r="AI509" i="3245"/>
  <c r="AJ509" i="3245"/>
  <c r="AL509" i="3245"/>
  <c r="AF510" i="3245"/>
  <c r="AG510" i="3245"/>
  <c r="AH510" i="3245"/>
  <c r="AI510" i="3245"/>
  <c r="AJ510" i="3245"/>
  <c r="AL510" i="3245"/>
  <c r="AF511" i="3245"/>
  <c r="AG511" i="3245"/>
  <c r="AH511" i="3245"/>
  <c r="AI511" i="3245"/>
  <c r="AJ511" i="3245"/>
  <c r="AL511" i="3245"/>
  <c r="AF512" i="3245"/>
  <c r="AG512" i="3245"/>
  <c r="AH512" i="3245"/>
  <c r="AI512" i="3245"/>
  <c r="AJ512" i="3245"/>
  <c r="AL512" i="3245"/>
  <c r="AF513" i="3245"/>
  <c r="AG513" i="3245"/>
  <c r="AH513" i="3245"/>
  <c r="AI513" i="3245"/>
  <c r="AJ513" i="3245"/>
  <c r="AL513" i="3245"/>
  <c r="AF514" i="3245"/>
  <c r="AG514" i="3245"/>
  <c r="AH514" i="3245"/>
  <c r="AI514" i="3245"/>
  <c r="AJ514" i="3245"/>
  <c r="AL514" i="3245"/>
  <c r="AF515" i="3245"/>
  <c r="AG515" i="3245"/>
  <c r="AH515" i="3245"/>
  <c r="AI515" i="3245"/>
  <c r="AJ515" i="3245"/>
  <c r="AL515" i="3245"/>
  <c r="AF516" i="3245"/>
  <c r="AG516" i="3245"/>
  <c r="AH516" i="3245"/>
  <c r="AI516" i="3245"/>
  <c r="AJ516" i="3245"/>
  <c r="AL516" i="3245"/>
  <c r="AF517" i="3245"/>
  <c r="AG517" i="3245"/>
  <c r="AH517" i="3245"/>
  <c r="AI517" i="3245"/>
  <c r="AJ517" i="3245"/>
  <c r="AL517" i="3245"/>
  <c r="AF518" i="3245"/>
  <c r="AG518" i="3245"/>
  <c r="AH518" i="3245"/>
  <c r="AI518" i="3245"/>
  <c r="AJ518" i="3245"/>
  <c r="AL518" i="3245"/>
  <c r="AF519" i="3245"/>
  <c r="AG519" i="3245"/>
  <c r="AH519" i="3245"/>
  <c r="AI519" i="3245"/>
  <c r="AJ519" i="3245"/>
  <c r="AL519" i="3245"/>
  <c r="AF520" i="3245"/>
  <c r="AG520" i="3245"/>
  <c r="AH520" i="3245"/>
  <c r="AI520" i="3245"/>
  <c r="AJ520" i="3245"/>
  <c r="AL520" i="3245"/>
  <c r="AF521" i="3245"/>
  <c r="AG521" i="3245"/>
  <c r="AH521" i="3245"/>
  <c r="AI521" i="3245"/>
  <c r="AJ521" i="3245"/>
  <c r="AL521" i="3245"/>
  <c r="AF522" i="3245"/>
  <c r="AG522" i="3245"/>
  <c r="AH522" i="3245"/>
  <c r="AI522" i="3245"/>
  <c r="AJ522" i="3245"/>
  <c r="AL522" i="3245"/>
  <c r="AF523" i="3245"/>
  <c r="AG523" i="3245"/>
  <c r="AH523" i="3245"/>
  <c r="AI523" i="3245"/>
  <c r="AJ523" i="3245"/>
  <c r="AL523" i="3245"/>
  <c r="AF524" i="3245"/>
  <c r="AG524" i="3245"/>
  <c r="AH524" i="3245"/>
  <c r="AI524" i="3245"/>
  <c r="AJ524" i="3245"/>
  <c r="AL524" i="3245"/>
  <c r="AF525" i="3245"/>
  <c r="AG525" i="3245"/>
  <c r="AH525" i="3245"/>
  <c r="AI525" i="3245"/>
  <c r="AJ525" i="3245"/>
  <c r="AL525" i="3245"/>
  <c r="AF526" i="3245"/>
  <c r="AG526" i="3245"/>
  <c r="AH526" i="3245"/>
  <c r="AI526" i="3245"/>
  <c r="AJ526" i="3245"/>
  <c r="AL526" i="3245"/>
  <c r="AF527" i="3245"/>
  <c r="AG527" i="3245"/>
  <c r="AH527" i="3245"/>
  <c r="AI527" i="3245"/>
  <c r="AJ527" i="3245"/>
  <c r="AL527" i="3245"/>
  <c r="AF528" i="3245"/>
  <c r="AG528" i="3245"/>
  <c r="AH528" i="3245"/>
  <c r="AI528" i="3245"/>
  <c r="AJ528" i="3245"/>
  <c r="AL528" i="3245"/>
  <c r="AF529" i="3245"/>
  <c r="AG529" i="3245"/>
  <c r="AH529" i="3245"/>
  <c r="AI529" i="3245"/>
  <c r="AJ529" i="3245"/>
  <c r="AL529" i="3245"/>
  <c r="AF530" i="3245"/>
  <c r="AG530" i="3245"/>
  <c r="AH530" i="3245"/>
  <c r="AI530" i="3245"/>
  <c r="AJ530" i="3245"/>
  <c r="AL530" i="3245"/>
  <c r="AF531" i="3245"/>
  <c r="AG531" i="3245"/>
  <c r="AH531" i="3245"/>
  <c r="AI531" i="3245"/>
  <c r="AJ531" i="3245"/>
  <c r="AL531" i="3245"/>
  <c r="AF532" i="3245"/>
  <c r="AG532" i="3245"/>
  <c r="AH532" i="3245"/>
  <c r="AI532" i="3245"/>
  <c r="AJ532" i="3245"/>
  <c r="AL532" i="3245"/>
  <c r="AF533" i="3245"/>
  <c r="AG533" i="3245"/>
  <c r="AH533" i="3245"/>
  <c r="AI533" i="3245"/>
  <c r="AJ533" i="3245"/>
  <c r="AL533" i="3245"/>
  <c r="AF534" i="3245"/>
  <c r="AG534" i="3245"/>
  <c r="AH534" i="3245"/>
  <c r="AI534" i="3245"/>
  <c r="AJ534" i="3245"/>
  <c r="AL534" i="3245"/>
  <c r="AF535" i="3245"/>
  <c r="AG535" i="3245"/>
  <c r="AH535" i="3245"/>
  <c r="AI535" i="3245"/>
  <c r="AJ535" i="3245"/>
  <c r="AL535" i="3245"/>
  <c r="AF536" i="3245"/>
  <c r="AG536" i="3245"/>
  <c r="AH536" i="3245"/>
  <c r="AI536" i="3245"/>
  <c r="AJ536" i="3245"/>
  <c r="AL536" i="3245"/>
  <c r="AF537" i="3245"/>
  <c r="AG537" i="3245"/>
  <c r="AH537" i="3245"/>
  <c r="AI537" i="3245"/>
  <c r="AJ537" i="3245"/>
  <c r="AL537" i="3245"/>
  <c r="AF538" i="3245"/>
  <c r="AG538" i="3245"/>
  <c r="AH538" i="3245"/>
  <c r="AI538" i="3245"/>
  <c r="AJ538" i="3245"/>
  <c r="AL538" i="3245"/>
  <c r="AF539" i="3245"/>
  <c r="AG539" i="3245"/>
  <c r="AH539" i="3245"/>
  <c r="AI539" i="3245"/>
  <c r="AJ539" i="3245"/>
  <c r="AL539" i="3245"/>
  <c r="AF540" i="3245"/>
  <c r="AG540" i="3245"/>
  <c r="AH540" i="3245"/>
  <c r="AI540" i="3245"/>
  <c r="AJ540" i="3245"/>
  <c r="AL540" i="3245"/>
  <c r="AF541" i="3245"/>
  <c r="AG541" i="3245"/>
  <c r="AH541" i="3245"/>
  <c r="AI541" i="3245"/>
  <c r="AJ541" i="3245"/>
  <c r="AL541" i="3245"/>
  <c r="AF542" i="3245"/>
  <c r="AG542" i="3245"/>
  <c r="AH542" i="3245"/>
  <c r="AI542" i="3245"/>
  <c r="AJ542" i="3245"/>
  <c r="AL542" i="3245"/>
  <c r="AF543" i="3245"/>
  <c r="AG543" i="3245"/>
  <c r="AH543" i="3245"/>
  <c r="AI543" i="3245"/>
  <c r="AJ543" i="3245"/>
  <c r="AL543" i="3245"/>
  <c r="AF544" i="3245"/>
  <c r="AG544" i="3245"/>
  <c r="AH544" i="3245"/>
  <c r="AI544" i="3245"/>
  <c r="AJ544" i="3245"/>
  <c r="AL544" i="3245"/>
  <c r="AF545" i="3245"/>
  <c r="AG545" i="3245"/>
  <c r="AH545" i="3245"/>
  <c r="AI545" i="3245"/>
  <c r="AJ545" i="3245"/>
  <c r="AL545" i="3245"/>
  <c r="AF546" i="3245"/>
  <c r="AG546" i="3245"/>
  <c r="AH546" i="3245"/>
  <c r="AI546" i="3245"/>
  <c r="AJ546" i="3245"/>
  <c r="AL546" i="3245"/>
  <c r="AF547" i="3245"/>
  <c r="AG547" i="3245"/>
  <c r="AH547" i="3245"/>
  <c r="AI547" i="3245"/>
  <c r="AJ547" i="3245"/>
  <c r="AL547" i="3245"/>
  <c r="AF548" i="3245"/>
  <c r="AG548" i="3245"/>
  <c r="AH548" i="3245"/>
  <c r="AI548" i="3245"/>
  <c r="AJ548" i="3245"/>
  <c r="AL548" i="3245"/>
  <c r="AF549" i="3245"/>
  <c r="AG549" i="3245"/>
  <c r="AH549" i="3245"/>
  <c r="AI549" i="3245"/>
  <c r="AJ549" i="3245"/>
  <c r="AL549" i="3245"/>
  <c r="AF550" i="3245"/>
  <c r="AG550" i="3245"/>
  <c r="AH550" i="3245"/>
  <c r="AI550" i="3245"/>
  <c r="AJ550" i="3245"/>
  <c r="AL550" i="3245"/>
  <c r="AF551" i="3245"/>
  <c r="AG551" i="3245"/>
  <c r="AH551" i="3245"/>
  <c r="AI551" i="3245"/>
  <c r="AJ551" i="3245"/>
  <c r="AL551" i="3245"/>
  <c r="AF552" i="3245"/>
  <c r="AG552" i="3245"/>
  <c r="AH552" i="3245"/>
  <c r="AI552" i="3245"/>
  <c r="AJ552" i="3245"/>
  <c r="AL552" i="3245"/>
  <c r="AF553" i="3245"/>
  <c r="AG553" i="3245"/>
  <c r="AH553" i="3245"/>
  <c r="AI553" i="3245"/>
  <c r="AJ553" i="3245"/>
  <c r="AL553" i="3245"/>
  <c r="AF554" i="3245"/>
  <c r="AG554" i="3245"/>
  <c r="AH554" i="3245"/>
  <c r="AI554" i="3245"/>
  <c r="AJ554" i="3245"/>
  <c r="AL554" i="3245"/>
  <c r="AF555" i="3245"/>
  <c r="AG555" i="3245"/>
  <c r="AH555" i="3245"/>
  <c r="AI555" i="3245"/>
  <c r="AJ555" i="3245"/>
  <c r="AL555" i="3245"/>
  <c r="AF556" i="3245"/>
  <c r="AG556" i="3245"/>
  <c r="AH556" i="3245"/>
  <c r="AI556" i="3245"/>
  <c r="AJ556" i="3245"/>
  <c r="AL556" i="3245"/>
  <c r="AF557" i="3245"/>
  <c r="AG557" i="3245"/>
  <c r="AH557" i="3245"/>
  <c r="AI557" i="3245"/>
  <c r="AJ557" i="3245"/>
  <c r="AL557" i="3245"/>
  <c r="AF558" i="3245"/>
  <c r="AG558" i="3245"/>
  <c r="AH558" i="3245"/>
  <c r="AI558" i="3245"/>
  <c r="AJ558" i="3245"/>
  <c r="AL558" i="3245"/>
  <c r="AF559" i="3245"/>
  <c r="AG559" i="3245"/>
  <c r="AH559" i="3245"/>
  <c r="AI559" i="3245"/>
  <c r="AJ559" i="3245"/>
  <c r="AL559" i="3245"/>
  <c r="AF560" i="3245"/>
  <c r="AG560" i="3245"/>
  <c r="AH560" i="3245"/>
  <c r="AI560" i="3245"/>
  <c r="AJ560" i="3245"/>
  <c r="AL560" i="3245"/>
  <c r="AF561" i="3245"/>
  <c r="AG561" i="3245"/>
  <c r="AH561" i="3245"/>
  <c r="AI561" i="3245"/>
  <c r="AJ561" i="3245"/>
  <c r="AL561" i="3245"/>
  <c r="AF562" i="3245"/>
  <c r="AG562" i="3245"/>
  <c r="AH562" i="3245"/>
  <c r="AI562" i="3245"/>
  <c r="AJ562" i="3245"/>
  <c r="AL562" i="3245"/>
  <c r="AF563" i="3245"/>
  <c r="AG563" i="3245"/>
  <c r="AH563" i="3245"/>
  <c r="AI563" i="3245"/>
  <c r="AJ563" i="3245"/>
  <c r="AL563" i="3245"/>
  <c r="AF564" i="3245"/>
  <c r="AG564" i="3245"/>
  <c r="AH564" i="3245"/>
  <c r="AI564" i="3245"/>
  <c r="AJ564" i="3245"/>
  <c r="AL564" i="3245"/>
  <c r="AF565" i="3245"/>
  <c r="AG565" i="3245"/>
  <c r="AH565" i="3245"/>
  <c r="AI565" i="3245"/>
  <c r="AJ565" i="3245"/>
  <c r="AL565" i="3245"/>
  <c r="AF566" i="3245"/>
  <c r="AG566" i="3245"/>
  <c r="AH566" i="3245"/>
  <c r="AI566" i="3245"/>
  <c r="AJ566" i="3245"/>
  <c r="AL566" i="3245"/>
  <c r="AF567" i="3245"/>
  <c r="AG567" i="3245"/>
  <c r="AH567" i="3245"/>
  <c r="AI567" i="3245"/>
  <c r="AJ567" i="3245"/>
  <c r="AL567" i="3245"/>
  <c r="AF568" i="3245"/>
  <c r="AG568" i="3245"/>
  <c r="AH568" i="3245"/>
  <c r="AI568" i="3245"/>
  <c r="AJ568" i="3245"/>
  <c r="AL568" i="3245"/>
  <c r="AF569" i="3245"/>
  <c r="AG569" i="3245"/>
  <c r="AH569" i="3245"/>
  <c r="AI569" i="3245"/>
  <c r="AJ569" i="3245"/>
  <c r="AL569" i="3245"/>
  <c r="AF570" i="3245"/>
  <c r="AG570" i="3245"/>
  <c r="AH570" i="3245"/>
  <c r="AI570" i="3245"/>
  <c r="AJ570" i="3245"/>
  <c r="AL570" i="3245"/>
  <c r="AF571" i="3245"/>
  <c r="AG571" i="3245"/>
  <c r="AH571" i="3245"/>
  <c r="AI571" i="3245"/>
  <c r="AJ571" i="3245"/>
  <c r="AL571" i="3245"/>
  <c r="AF572" i="3245"/>
  <c r="AG572" i="3245"/>
  <c r="AH572" i="3245"/>
  <c r="AI572" i="3245"/>
  <c r="AJ572" i="3245"/>
  <c r="AL572" i="3245"/>
  <c r="AF573" i="3245"/>
  <c r="AG573" i="3245"/>
  <c r="AH573" i="3245"/>
  <c r="AI573" i="3245"/>
  <c r="AJ573" i="3245"/>
  <c r="AL573" i="3245"/>
  <c r="AF574" i="3245"/>
  <c r="AG574" i="3245"/>
  <c r="AH574" i="3245"/>
  <c r="AI574" i="3245"/>
  <c r="AJ574" i="3245"/>
  <c r="AL574" i="3245"/>
  <c r="AF575" i="3245"/>
  <c r="AG575" i="3245"/>
  <c r="AH575" i="3245"/>
  <c r="AI575" i="3245"/>
  <c r="AJ575" i="3245"/>
  <c r="AL575" i="3245"/>
  <c r="AF576" i="3245"/>
  <c r="AG576" i="3245"/>
  <c r="AH576" i="3245"/>
  <c r="AI576" i="3245"/>
  <c r="AJ576" i="3245"/>
  <c r="AL576" i="3245"/>
  <c r="AF577" i="3245"/>
  <c r="AG577" i="3245"/>
  <c r="AH577" i="3245"/>
  <c r="AI577" i="3245"/>
  <c r="AJ577" i="3245"/>
  <c r="AL577" i="3245"/>
  <c r="AF578" i="3245"/>
  <c r="AG578" i="3245"/>
  <c r="AH578" i="3245"/>
  <c r="AI578" i="3245"/>
  <c r="AJ578" i="3245"/>
  <c r="AL578" i="3245"/>
  <c r="AF579" i="3245"/>
  <c r="AG579" i="3245"/>
  <c r="AH579" i="3245"/>
  <c r="AI579" i="3245"/>
  <c r="AJ579" i="3245"/>
  <c r="AL579" i="3245"/>
  <c r="AF580" i="3245"/>
  <c r="AG580" i="3245"/>
  <c r="AH580" i="3245"/>
  <c r="AI580" i="3245"/>
  <c r="AJ580" i="3245"/>
  <c r="AL580" i="3245"/>
  <c r="AF581" i="3245"/>
  <c r="AG581" i="3245"/>
  <c r="AH581" i="3245"/>
  <c r="AI581" i="3245"/>
  <c r="AJ581" i="3245"/>
  <c r="AL581" i="3245"/>
  <c r="AF582" i="3245"/>
  <c r="AG582" i="3245"/>
  <c r="AH582" i="3245"/>
  <c r="AI582" i="3245"/>
  <c r="AJ582" i="3245"/>
  <c r="AL582" i="3245"/>
  <c r="AF583" i="3245"/>
  <c r="AG583" i="3245"/>
  <c r="AH583" i="3245"/>
  <c r="AI583" i="3245"/>
  <c r="AJ583" i="3245"/>
  <c r="AL583" i="3245"/>
  <c r="AF584" i="3245"/>
  <c r="AG584" i="3245"/>
  <c r="AH584" i="3245"/>
  <c r="AI584" i="3245"/>
  <c r="AJ584" i="3245"/>
  <c r="AL584" i="3245"/>
  <c r="AF585" i="3245"/>
  <c r="AG585" i="3245"/>
  <c r="AH585" i="3245"/>
  <c r="AI585" i="3245"/>
  <c r="AJ585" i="3245"/>
  <c r="AL585" i="3245"/>
  <c r="AF586" i="3245"/>
  <c r="AG586" i="3245"/>
  <c r="AH586" i="3245"/>
  <c r="AI586" i="3245"/>
  <c r="AJ586" i="3245"/>
  <c r="AL586" i="3245"/>
  <c r="AF587" i="3245"/>
  <c r="AG587" i="3245"/>
  <c r="AH587" i="3245"/>
  <c r="AI587" i="3245"/>
  <c r="AJ587" i="3245"/>
  <c r="AL587" i="3245"/>
  <c r="AF588" i="3245"/>
  <c r="AG588" i="3245"/>
  <c r="AH588" i="3245"/>
  <c r="AI588" i="3245"/>
  <c r="AJ588" i="3245"/>
  <c r="AL588" i="3245"/>
  <c r="AF589" i="3245"/>
  <c r="AG589" i="3245"/>
  <c r="AH589" i="3245"/>
  <c r="AI589" i="3245"/>
  <c r="AJ589" i="3245"/>
  <c r="AL589" i="3245"/>
  <c r="AF590" i="3245"/>
  <c r="AG590" i="3245"/>
  <c r="AH590" i="3245"/>
  <c r="AI590" i="3245"/>
  <c r="AJ590" i="3245"/>
  <c r="AL590" i="3245"/>
  <c r="AF591" i="3245"/>
  <c r="AG591" i="3245"/>
  <c r="AH591" i="3245"/>
  <c r="AI591" i="3245"/>
  <c r="AJ591" i="3245"/>
  <c r="AL591" i="3245"/>
  <c r="AF592" i="3245"/>
  <c r="AG592" i="3245"/>
  <c r="AH592" i="3245"/>
  <c r="AI592" i="3245"/>
  <c r="AJ592" i="3245"/>
  <c r="AL592" i="3245"/>
  <c r="AF593" i="3245"/>
  <c r="AG593" i="3245"/>
  <c r="AH593" i="3245"/>
  <c r="AI593" i="3245"/>
  <c r="AJ593" i="3245"/>
  <c r="AL593" i="3245"/>
  <c r="AF594" i="3245"/>
  <c r="AG594" i="3245"/>
  <c r="AH594" i="3245"/>
  <c r="AI594" i="3245"/>
  <c r="AJ594" i="3245"/>
  <c r="AL594" i="3245"/>
  <c r="AF595" i="3245"/>
  <c r="AG595" i="3245"/>
  <c r="AH595" i="3245"/>
  <c r="AI595" i="3245"/>
  <c r="AJ595" i="3245"/>
  <c r="AL595" i="3245"/>
  <c r="AF596" i="3245"/>
  <c r="AG596" i="3245"/>
  <c r="AH596" i="3245"/>
  <c r="AI596" i="3245"/>
  <c r="AJ596" i="3245"/>
  <c r="AL596" i="3245"/>
  <c r="AF597" i="3245"/>
  <c r="AG597" i="3245"/>
  <c r="AH597" i="3245"/>
  <c r="AI597" i="3245"/>
  <c r="AJ597" i="3245"/>
  <c r="AL597" i="3245"/>
  <c r="AF598" i="3245"/>
  <c r="AG598" i="3245"/>
  <c r="AH598" i="3245"/>
  <c r="AI598" i="3245"/>
  <c r="AJ598" i="3245"/>
  <c r="AL598" i="3245"/>
  <c r="AF599" i="3245"/>
  <c r="AG599" i="3245"/>
  <c r="AH599" i="3245"/>
  <c r="AI599" i="3245"/>
  <c r="AJ599" i="3245"/>
  <c r="AL599" i="3245"/>
  <c r="AF600" i="3245"/>
  <c r="AG600" i="3245"/>
  <c r="AH600" i="3245"/>
  <c r="AI600" i="3245"/>
  <c r="AJ600" i="3245"/>
  <c r="AL600" i="3245"/>
  <c r="AF601" i="3245"/>
  <c r="AG601" i="3245"/>
  <c r="AH601" i="3245"/>
  <c r="AI601" i="3245"/>
  <c r="AJ601" i="3245"/>
  <c r="AL601" i="3245"/>
  <c r="AF602" i="3245"/>
  <c r="AG602" i="3245"/>
  <c r="AH602" i="3245"/>
  <c r="AI602" i="3245"/>
  <c r="AJ602" i="3245"/>
  <c r="AL602" i="3245"/>
  <c r="AF603" i="3245"/>
  <c r="AG603" i="3245"/>
  <c r="AH603" i="3245"/>
  <c r="AI603" i="3245"/>
  <c r="AJ603" i="3245"/>
  <c r="AL603" i="3245"/>
  <c r="AF604" i="3245"/>
  <c r="AG604" i="3245"/>
  <c r="AH604" i="3245"/>
  <c r="AI604" i="3245"/>
  <c r="AJ604" i="3245"/>
  <c r="AL604" i="3245"/>
  <c r="AF605" i="3245"/>
  <c r="AG605" i="3245"/>
  <c r="AH605" i="3245"/>
  <c r="AI605" i="3245"/>
  <c r="AJ605" i="3245"/>
  <c r="AL605" i="3245"/>
  <c r="AF606" i="3245"/>
  <c r="AG606" i="3245"/>
  <c r="AH606" i="3245"/>
  <c r="AI606" i="3245"/>
  <c r="AJ606" i="3245"/>
  <c r="AL606" i="3245"/>
  <c r="AF607" i="3245"/>
  <c r="AG607" i="3245"/>
  <c r="AH607" i="3245"/>
  <c r="AI607" i="3245"/>
  <c r="AJ607" i="3245"/>
  <c r="AL607" i="3245"/>
  <c r="AF608" i="3245"/>
  <c r="AG608" i="3245"/>
  <c r="AH608" i="3245"/>
  <c r="AI608" i="3245"/>
  <c r="AJ608" i="3245"/>
  <c r="AL608" i="3245"/>
  <c r="AF609" i="3245"/>
  <c r="AG609" i="3245"/>
  <c r="AH609" i="3245"/>
  <c r="AI609" i="3245"/>
  <c r="AJ609" i="3245"/>
  <c r="AL609" i="3245"/>
  <c r="AF610" i="3245"/>
  <c r="AG610" i="3245"/>
  <c r="AH610" i="3245"/>
  <c r="AI610" i="3245"/>
  <c r="AJ610" i="3245"/>
  <c r="AL610" i="3245"/>
  <c r="AF611" i="3245"/>
  <c r="AG611" i="3245"/>
  <c r="AH611" i="3245"/>
  <c r="AI611" i="3245"/>
  <c r="AJ611" i="3245"/>
  <c r="AL611" i="3245"/>
  <c r="AF612" i="3245"/>
  <c r="AG612" i="3245"/>
  <c r="AH612" i="3245"/>
  <c r="AI612" i="3245"/>
  <c r="AJ612" i="3245"/>
  <c r="AL612" i="3245"/>
  <c r="AF613" i="3245"/>
  <c r="AG613" i="3245"/>
  <c r="AH613" i="3245"/>
  <c r="AI613" i="3245"/>
  <c r="AJ613" i="3245"/>
  <c r="AL613" i="3245"/>
  <c r="AF614" i="3245"/>
  <c r="AG614" i="3245"/>
  <c r="AH614" i="3245"/>
  <c r="AI614" i="3245"/>
  <c r="AJ614" i="3245"/>
  <c r="AL614" i="3245"/>
  <c r="AF615" i="3245"/>
  <c r="AG615" i="3245"/>
  <c r="AH615" i="3245"/>
  <c r="AI615" i="3245"/>
  <c r="AJ615" i="3245"/>
  <c r="AL615" i="3245"/>
  <c r="AF616" i="3245"/>
  <c r="AG616" i="3245"/>
  <c r="AH616" i="3245"/>
  <c r="AI616" i="3245"/>
  <c r="AJ616" i="3245"/>
  <c r="AL616" i="3245"/>
  <c r="AF617" i="3245"/>
  <c r="AG617" i="3245"/>
  <c r="AH617" i="3245"/>
  <c r="AI617" i="3245"/>
  <c r="AJ617" i="3245"/>
  <c r="AL617" i="3245"/>
  <c r="AF618" i="3245"/>
  <c r="AG618" i="3245"/>
  <c r="AH618" i="3245"/>
  <c r="AI618" i="3245"/>
  <c r="AJ618" i="3245"/>
  <c r="AL618" i="3245"/>
  <c r="AF619" i="3245"/>
  <c r="AG619" i="3245"/>
  <c r="AH619" i="3245"/>
  <c r="AI619" i="3245"/>
  <c r="AJ619" i="3245"/>
  <c r="AL619" i="3245"/>
  <c r="AF620" i="3245"/>
  <c r="AG620" i="3245"/>
  <c r="AH620" i="3245"/>
  <c r="AI620" i="3245"/>
  <c r="AJ620" i="3245"/>
  <c r="AL620" i="3245"/>
  <c r="AF621" i="3245"/>
  <c r="AG621" i="3245"/>
  <c r="AH621" i="3245"/>
  <c r="AI621" i="3245"/>
  <c r="AJ621" i="3245"/>
  <c r="AL621" i="3245"/>
  <c r="AF622" i="3245"/>
  <c r="AG622" i="3245"/>
  <c r="AH622" i="3245"/>
  <c r="AI622" i="3245"/>
  <c r="AJ622" i="3245"/>
  <c r="AL622" i="3245"/>
  <c r="AF623" i="3245"/>
  <c r="AG623" i="3245"/>
  <c r="AH623" i="3245"/>
  <c r="AI623" i="3245"/>
  <c r="AJ623" i="3245"/>
  <c r="AL623" i="3245"/>
  <c r="AF624" i="3245"/>
  <c r="AG624" i="3245"/>
  <c r="AH624" i="3245"/>
  <c r="AI624" i="3245"/>
  <c r="AJ624" i="3245"/>
  <c r="AL624" i="3245"/>
  <c r="AF625" i="3245"/>
  <c r="AG625" i="3245"/>
  <c r="AH625" i="3245"/>
  <c r="AI625" i="3245"/>
  <c r="AJ625" i="3245"/>
  <c r="AL625" i="3245"/>
  <c r="AF626" i="3245"/>
  <c r="AG626" i="3245"/>
  <c r="AH626" i="3245"/>
  <c r="AI626" i="3245"/>
  <c r="AJ626" i="3245"/>
  <c r="AL626" i="3245"/>
  <c r="AF627" i="3245"/>
  <c r="AG627" i="3245"/>
  <c r="AH627" i="3245"/>
  <c r="AI627" i="3245"/>
  <c r="AJ627" i="3245"/>
  <c r="AL627" i="3245"/>
  <c r="AF628" i="3245"/>
  <c r="AG628" i="3245"/>
  <c r="AH628" i="3245"/>
  <c r="AI628" i="3245"/>
  <c r="AJ628" i="3245"/>
  <c r="AL628" i="3245"/>
  <c r="AF629" i="3245"/>
  <c r="AG629" i="3245"/>
  <c r="AH629" i="3245"/>
  <c r="AI629" i="3245"/>
  <c r="AJ629" i="3245"/>
  <c r="AL629" i="3245"/>
  <c r="AF630" i="3245"/>
  <c r="AG630" i="3245"/>
  <c r="AH630" i="3245"/>
  <c r="AI630" i="3245"/>
  <c r="AJ630" i="3245"/>
  <c r="AL630" i="3245"/>
  <c r="AF631" i="3245"/>
  <c r="AG631" i="3245"/>
  <c r="AH631" i="3245"/>
  <c r="AI631" i="3245"/>
  <c r="AJ631" i="3245"/>
  <c r="AL631" i="3245"/>
  <c r="AF632" i="3245"/>
  <c r="AG632" i="3245"/>
  <c r="AH632" i="3245"/>
  <c r="AI632" i="3245"/>
  <c r="AJ632" i="3245"/>
  <c r="AL632" i="3245"/>
  <c r="AF633" i="3245"/>
  <c r="AG633" i="3245"/>
  <c r="AH633" i="3245"/>
  <c r="AI633" i="3245"/>
  <c r="AJ633" i="3245"/>
  <c r="AL633" i="3245"/>
  <c r="AF634" i="3245"/>
  <c r="AG634" i="3245"/>
  <c r="AH634" i="3245"/>
  <c r="AI634" i="3245"/>
  <c r="AJ634" i="3245"/>
  <c r="AL634" i="3245"/>
  <c r="AF635" i="3245"/>
  <c r="AG635" i="3245"/>
  <c r="AH635" i="3245"/>
  <c r="AI635" i="3245"/>
  <c r="AJ635" i="3245"/>
  <c r="AL635" i="3245"/>
  <c r="AF636" i="3245"/>
  <c r="AG636" i="3245"/>
  <c r="AH636" i="3245"/>
  <c r="AI636" i="3245"/>
  <c r="AJ636" i="3245"/>
  <c r="AL636" i="3245"/>
  <c r="AF637" i="3245"/>
  <c r="AG637" i="3245"/>
  <c r="AH637" i="3245"/>
  <c r="AI637" i="3245"/>
  <c r="AJ637" i="3245"/>
  <c r="AL637" i="3245"/>
  <c r="AF638" i="3245"/>
  <c r="AG638" i="3245"/>
  <c r="AH638" i="3245"/>
  <c r="AI638" i="3245"/>
  <c r="AJ638" i="3245"/>
  <c r="AL638" i="3245"/>
  <c r="AF639" i="3245"/>
  <c r="AG639" i="3245"/>
  <c r="AH639" i="3245"/>
  <c r="AI639" i="3245"/>
  <c r="AJ639" i="3245"/>
  <c r="AL639" i="3245"/>
  <c r="AF640" i="3245"/>
  <c r="AG640" i="3245"/>
  <c r="AH640" i="3245"/>
  <c r="AI640" i="3245"/>
  <c r="AJ640" i="3245"/>
  <c r="AL640" i="3245"/>
  <c r="AF641" i="3245"/>
  <c r="AG641" i="3245"/>
  <c r="AH641" i="3245"/>
  <c r="AI641" i="3245"/>
  <c r="AJ641" i="3245"/>
  <c r="AL641" i="3245"/>
  <c r="AF642" i="3245"/>
  <c r="AG642" i="3245"/>
  <c r="AH642" i="3245"/>
  <c r="AI642" i="3245"/>
  <c r="AJ642" i="3245"/>
  <c r="AL642" i="3245"/>
  <c r="AF643" i="3245"/>
  <c r="AG643" i="3245"/>
  <c r="AH643" i="3245"/>
  <c r="AI643" i="3245"/>
  <c r="AJ643" i="3245"/>
  <c r="AL643" i="3245"/>
  <c r="AF644" i="3245"/>
  <c r="AG644" i="3245"/>
  <c r="AH644" i="3245"/>
  <c r="AI644" i="3245"/>
  <c r="AJ644" i="3245"/>
  <c r="AL644" i="3245"/>
  <c r="AF645" i="3245"/>
  <c r="AG645" i="3245"/>
  <c r="AH645" i="3245"/>
  <c r="AI645" i="3245"/>
  <c r="AJ645" i="3245"/>
  <c r="AL645" i="3245"/>
  <c r="AF646" i="3245"/>
  <c r="AG646" i="3245"/>
  <c r="AH646" i="3245"/>
  <c r="AI646" i="3245"/>
  <c r="AJ646" i="3245"/>
  <c r="AL646" i="3245"/>
  <c r="AF647" i="3245"/>
  <c r="AG647" i="3245"/>
  <c r="AH647" i="3245"/>
  <c r="AI647" i="3245"/>
  <c r="AJ647" i="3245"/>
  <c r="AL647" i="3245"/>
  <c r="AF648" i="3245"/>
  <c r="AG648" i="3245"/>
  <c r="AH648" i="3245"/>
  <c r="AI648" i="3245"/>
  <c r="AJ648" i="3245"/>
  <c r="AL648" i="3245"/>
  <c r="AF649" i="3245"/>
  <c r="AG649" i="3245"/>
  <c r="AH649" i="3245"/>
  <c r="AI649" i="3245"/>
  <c r="AJ649" i="3245"/>
  <c r="AL649" i="3245"/>
  <c r="AF650" i="3245"/>
  <c r="AG650" i="3245"/>
  <c r="AH650" i="3245"/>
  <c r="AI650" i="3245"/>
  <c r="AJ650" i="3245"/>
  <c r="AL650" i="3245"/>
  <c r="AF651" i="3245"/>
  <c r="AG651" i="3245"/>
  <c r="AH651" i="3245"/>
  <c r="AI651" i="3245"/>
  <c r="AJ651" i="3245"/>
  <c r="AL651" i="3245"/>
  <c r="AF652" i="3245"/>
  <c r="AG652" i="3245"/>
  <c r="AH652" i="3245"/>
  <c r="AI652" i="3245"/>
  <c r="AJ652" i="3245"/>
  <c r="AL652" i="3245"/>
  <c r="AF653" i="3245"/>
  <c r="AG653" i="3245"/>
  <c r="AH653" i="3245"/>
  <c r="AI653" i="3245"/>
  <c r="AJ653" i="3245"/>
  <c r="AL653" i="3245"/>
  <c r="AF654" i="3245"/>
  <c r="AG654" i="3245"/>
  <c r="AH654" i="3245"/>
  <c r="AI654" i="3245"/>
  <c r="AJ654" i="3245"/>
  <c r="AL654" i="3245"/>
  <c r="AF655" i="3245"/>
  <c r="AG655" i="3245"/>
  <c r="AH655" i="3245"/>
  <c r="AI655" i="3245"/>
  <c r="AJ655" i="3245"/>
  <c r="AL655" i="3245"/>
  <c r="AF656" i="3245"/>
  <c r="AG656" i="3245"/>
  <c r="AH656" i="3245"/>
  <c r="AI656" i="3245"/>
  <c r="AJ656" i="3245"/>
  <c r="AL656" i="3245"/>
  <c r="AF657" i="3245"/>
  <c r="AG657" i="3245"/>
  <c r="AH657" i="3245"/>
  <c r="AI657" i="3245"/>
  <c r="AJ657" i="3245"/>
  <c r="AL657" i="3245"/>
  <c r="AF658" i="3245"/>
  <c r="AG658" i="3245"/>
  <c r="AH658" i="3245"/>
  <c r="AI658" i="3245"/>
  <c r="AJ658" i="3245"/>
  <c r="AL658" i="3245"/>
  <c r="AF659" i="3245"/>
  <c r="AG659" i="3245"/>
  <c r="AH659" i="3245"/>
  <c r="AI659" i="3245"/>
  <c r="AJ659" i="3245"/>
  <c r="AL659" i="3245"/>
  <c r="AF660" i="3245"/>
  <c r="AG660" i="3245"/>
  <c r="AH660" i="3245"/>
  <c r="AI660" i="3245"/>
  <c r="AJ660" i="3245"/>
  <c r="AL660" i="3245"/>
  <c r="AF661" i="3245"/>
  <c r="AG661" i="3245"/>
  <c r="AH661" i="3245"/>
  <c r="AI661" i="3245"/>
  <c r="AJ661" i="3245"/>
  <c r="AL661" i="3245"/>
  <c r="AF662" i="3245"/>
  <c r="AG662" i="3245"/>
  <c r="AH662" i="3245"/>
  <c r="AI662" i="3245"/>
  <c r="AJ662" i="3245"/>
  <c r="AL662" i="3245"/>
  <c r="AF663" i="3245"/>
  <c r="AG663" i="3245"/>
  <c r="AH663" i="3245"/>
  <c r="AI663" i="3245"/>
  <c r="AJ663" i="3245"/>
  <c r="AL663" i="3245"/>
  <c r="AF664" i="3245"/>
  <c r="AG664" i="3245"/>
  <c r="AH664" i="3245"/>
  <c r="AI664" i="3245"/>
  <c r="AJ664" i="3245"/>
  <c r="AL664" i="3245"/>
  <c r="AF665" i="3245"/>
  <c r="AG665" i="3245"/>
  <c r="AH665" i="3245"/>
  <c r="AI665" i="3245"/>
  <c r="AJ665" i="3245"/>
  <c r="AL665" i="3245"/>
  <c r="AF666" i="3245"/>
  <c r="AG666" i="3245"/>
  <c r="AH666" i="3245"/>
  <c r="AI666" i="3245"/>
  <c r="AJ666" i="3245"/>
  <c r="AL666" i="3245"/>
  <c r="AF667" i="3245"/>
  <c r="AG667" i="3245"/>
  <c r="AH667" i="3245"/>
  <c r="AI667" i="3245"/>
  <c r="AJ667" i="3245"/>
  <c r="AL667" i="3245"/>
  <c r="AF668" i="3245"/>
  <c r="AG668" i="3245"/>
  <c r="AH668" i="3245"/>
  <c r="AI668" i="3245"/>
  <c r="AJ668" i="3245"/>
  <c r="AL668" i="3245"/>
  <c r="AF669" i="3245"/>
  <c r="AG669" i="3245"/>
  <c r="AH669" i="3245"/>
  <c r="AI669" i="3245"/>
  <c r="AJ669" i="3245"/>
  <c r="AL669" i="3245"/>
  <c r="AF670" i="3245"/>
  <c r="AG670" i="3245"/>
  <c r="AH670" i="3245"/>
  <c r="AI670" i="3245"/>
  <c r="AJ670" i="3245"/>
  <c r="AL670" i="3245"/>
  <c r="AF671" i="3245"/>
  <c r="AG671" i="3245"/>
  <c r="AH671" i="3245"/>
  <c r="AI671" i="3245"/>
  <c r="AJ671" i="3245"/>
  <c r="AL671" i="3245"/>
  <c r="AF672" i="3245"/>
  <c r="AG672" i="3245"/>
  <c r="AH672" i="3245"/>
  <c r="AI672" i="3245"/>
  <c r="AJ672" i="3245"/>
  <c r="AL672" i="3245"/>
  <c r="AF673" i="3245"/>
  <c r="AG673" i="3245"/>
  <c r="AH673" i="3245"/>
  <c r="AI673" i="3245"/>
  <c r="AJ673" i="3245"/>
  <c r="AL673" i="3245"/>
  <c r="AF674" i="3245"/>
  <c r="AG674" i="3245"/>
  <c r="AH674" i="3245"/>
  <c r="AI674" i="3245"/>
  <c r="AJ674" i="3245"/>
  <c r="AL674" i="3245"/>
  <c r="AF675" i="3245"/>
  <c r="AG675" i="3245"/>
  <c r="AH675" i="3245"/>
  <c r="AI675" i="3245"/>
  <c r="AJ675" i="3245"/>
  <c r="AL675" i="3245"/>
  <c r="AF676" i="3245"/>
  <c r="AG676" i="3245"/>
  <c r="AH676" i="3245"/>
  <c r="AI676" i="3245"/>
  <c r="AJ676" i="3245"/>
  <c r="AL676" i="3245"/>
  <c r="AF677" i="3245"/>
  <c r="AG677" i="3245"/>
  <c r="AH677" i="3245"/>
  <c r="AI677" i="3245"/>
  <c r="AJ677" i="3245"/>
  <c r="AL677" i="3245"/>
  <c r="AF678" i="3245"/>
  <c r="AG678" i="3245"/>
  <c r="AH678" i="3245"/>
  <c r="AI678" i="3245"/>
  <c r="AJ678" i="3245"/>
  <c r="AL678" i="3245"/>
  <c r="AF679" i="3245"/>
  <c r="AG679" i="3245"/>
  <c r="AH679" i="3245"/>
  <c r="AI679" i="3245"/>
  <c r="AJ679" i="3245"/>
  <c r="AL679" i="3245"/>
  <c r="AF680" i="3245"/>
  <c r="AG680" i="3245"/>
  <c r="AH680" i="3245"/>
  <c r="AI680" i="3245"/>
  <c r="AJ680" i="3245"/>
  <c r="AL680" i="3245"/>
  <c r="AF681" i="3245"/>
  <c r="AG681" i="3245"/>
  <c r="AH681" i="3245"/>
  <c r="AI681" i="3245"/>
  <c r="AJ681" i="3245"/>
  <c r="AL681" i="3245"/>
  <c r="AF682" i="3245"/>
  <c r="AG682" i="3245"/>
  <c r="AH682" i="3245"/>
  <c r="AI682" i="3245"/>
  <c r="AJ682" i="3245"/>
  <c r="AL682" i="3245"/>
  <c r="AF683" i="3245"/>
  <c r="AG683" i="3245"/>
  <c r="AH683" i="3245"/>
  <c r="AI683" i="3245"/>
  <c r="AJ683" i="3245"/>
  <c r="AL683" i="3245"/>
  <c r="AF684" i="3245"/>
  <c r="AG684" i="3245"/>
  <c r="AH684" i="3245"/>
  <c r="AI684" i="3245"/>
  <c r="AJ684" i="3245"/>
  <c r="AL684" i="3245"/>
  <c r="AF685" i="3245"/>
  <c r="AG685" i="3245"/>
  <c r="AH685" i="3245"/>
  <c r="AI685" i="3245"/>
  <c r="AJ685" i="3245"/>
  <c r="AL685" i="3245"/>
  <c r="AF686" i="3245"/>
  <c r="AG686" i="3245"/>
  <c r="AH686" i="3245"/>
  <c r="AI686" i="3245"/>
  <c r="AJ686" i="3245"/>
  <c r="AL686" i="3245"/>
  <c r="AF687" i="3245"/>
  <c r="AG687" i="3245"/>
  <c r="AH687" i="3245"/>
  <c r="AI687" i="3245"/>
  <c r="AJ687" i="3245"/>
  <c r="AL687" i="3245"/>
  <c r="AF688" i="3245"/>
  <c r="AG688" i="3245"/>
  <c r="AH688" i="3245"/>
  <c r="AI688" i="3245"/>
  <c r="AJ688" i="3245"/>
  <c r="AL688" i="3245"/>
  <c r="AF689" i="3245"/>
  <c r="AG689" i="3245"/>
  <c r="AH689" i="3245"/>
  <c r="AI689" i="3245"/>
  <c r="AJ689" i="3245"/>
  <c r="AL689" i="3245"/>
  <c r="AF690" i="3245"/>
  <c r="AG690" i="3245"/>
  <c r="AH690" i="3245"/>
  <c r="AI690" i="3245"/>
  <c r="AJ690" i="3245"/>
  <c r="AL690" i="3245"/>
  <c r="AF691" i="3245"/>
  <c r="AG691" i="3245"/>
  <c r="AH691" i="3245"/>
  <c r="AI691" i="3245"/>
  <c r="AJ691" i="3245"/>
  <c r="AL691" i="3245"/>
  <c r="AF692" i="3245"/>
  <c r="AG692" i="3245"/>
  <c r="AH692" i="3245"/>
  <c r="AI692" i="3245"/>
  <c r="AJ692" i="3245"/>
  <c r="AL692" i="3245"/>
  <c r="AF693" i="3245"/>
  <c r="AG693" i="3245"/>
  <c r="AH693" i="3245"/>
  <c r="AI693" i="3245"/>
  <c r="AJ693" i="3245"/>
  <c r="AL693" i="3245"/>
  <c r="AF694" i="3245"/>
  <c r="AG694" i="3245"/>
  <c r="AH694" i="3245"/>
  <c r="AI694" i="3245"/>
  <c r="AJ694" i="3245"/>
  <c r="AL694" i="3245"/>
  <c r="AF695" i="3245"/>
  <c r="AG695" i="3245"/>
  <c r="AH695" i="3245"/>
  <c r="AI695" i="3245"/>
  <c r="AJ695" i="3245"/>
  <c r="AL695" i="3245"/>
  <c r="AF696" i="3245"/>
  <c r="AG696" i="3245"/>
  <c r="AH696" i="3245"/>
  <c r="AI696" i="3245"/>
  <c r="AJ696" i="3245"/>
  <c r="AL696" i="3245"/>
  <c r="AF697" i="3245"/>
  <c r="AG697" i="3245"/>
  <c r="AH697" i="3245"/>
  <c r="AI697" i="3245"/>
  <c r="AJ697" i="3245"/>
  <c r="AL697" i="3245"/>
  <c r="AF698" i="3245"/>
  <c r="AG698" i="3245"/>
  <c r="AH698" i="3245"/>
  <c r="AI698" i="3245"/>
  <c r="AJ698" i="3245"/>
  <c r="AL698" i="3245"/>
  <c r="AF699" i="3245"/>
  <c r="AG699" i="3245"/>
  <c r="AH699" i="3245"/>
  <c r="AI699" i="3245"/>
  <c r="AJ699" i="3245"/>
  <c r="AL699" i="3245"/>
  <c r="AF700" i="3245"/>
  <c r="AG700" i="3245"/>
  <c r="AH700" i="3245"/>
  <c r="AI700" i="3245"/>
  <c r="AJ700" i="3245"/>
  <c r="AL700" i="3245"/>
  <c r="AF701" i="3245"/>
  <c r="AG701" i="3245"/>
  <c r="AH701" i="3245"/>
  <c r="AI701" i="3245"/>
  <c r="AJ701" i="3245"/>
  <c r="AL701" i="3245"/>
  <c r="AF702" i="3245"/>
  <c r="AG702" i="3245"/>
  <c r="AH702" i="3245"/>
  <c r="AI702" i="3245"/>
  <c r="AJ702" i="3245"/>
  <c r="AL702" i="3245"/>
  <c r="AF703" i="3245"/>
  <c r="AG703" i="3245"/>
  <c r="AH703" i="3245"/>
  <c r="AI703" i="3245"/>
  <c r="AJ703" i="3245"/>
  <c r="AL703" i="3245"/>
  <c r="AF704" i="3245"/>
  <c r="AG704" i="3245"/>
  <c r="AH704" i="3245"/>
  <c r="AI704" i="3245"/>
  <c r="AJ704" i="3245"/>
  <c r="AL704" i="3245"/>
  <c r="AF705" i="3245"/>
  <c r="AG705" i="3245"/>
  <c r="AH705" i="3245"/>
  <c r="AI705" i="3245"/>
  <c r="AJ705" i="3245"/>
  <c r="AL705" i="3245"/>
  <c r="AF706" i="3245"/>
  <c r="AG706" i="3245"/>
  <c r="AH706" i="3245"/>
  <c r="AI706" i="3245"/>
  <c r="AJ706" i="3245"/>
  <c r="AL706" i="3245"/>
  <c r="AF707" i="3245"/>
  <c r="AG707" i="3245"/>
  <c r="AH707" i="3245"/>
  <c r="AI707" i="3245"/>
  <c r="AJ707" i="3245"/>
  <c r="AL707" i="3245"/>
  <c r="AF708" i="3245"/>
  <c r="AG708" i="3245"/>
  <c r="AH708" i="3245"/>
  <c r="AI708" i="3245"/>
  <c r="AJ708" i="3245"/>
  <c r="AL708" i="3245"/>
  <c r="AF709" i="3245"/>
  <c r="AG709" i="3245"/>
  <c r="AH709" i="3245"/>
  <c r="AI709" i="3245"/>
  <c r="AJ709" i="3245"/>
  <c r="AL709" i="3245"/>
  <c r="AF710" i="3245"/>
  <c r="AG710" i="3245"/>
  <c r="AH710" i="3245"/>
  <c r="AI710" i="3245"/>
  <c r="AJ710" i="3245"/>
  <c r="AL710" i="3245"/>
  <c r="AF711" i="3245"/>
  <c r="AG711" i="3245"/>
  <c r="AH711" i="3245"/>
  <c r="AI711" i="3245"/>
  <c r="AJ711" i="3245"/>
  <c r="AL711" i="3245"/>
  <c r="AF712" i="3245"/>
  <c r="AG712" i="3245"/>
  <c r="AH712" i="3245"/>
  <c r="AI712" i="3245"/>
  <c r="AJ712" i="3245"/>
  <c r="AL712" i="3245"/>
  <c r="AF713" i="3245"/>
  <c r="AG713" i="3245"/>
  <c r="AH713" i="3245"/>
  <c r="AI713" i="3245"/>
  <c r="AJ713" i="3245"/>
  <c r="AL713" i="3245"/>
  <c r="AF714" i="3245"/>
  <c r="AG714" i="3245"/>
  <c r="AH714" i="3245"/>
  <c r="AI714" i="3245"/>
  <c r="AJ714" i="3245"/>
  <c r="AL714" i="3245"/>
  <c r="AF715" i="3245"/>
  <c r="AG715" i="3245"/>
  <c r="AH715" i="3245"/>
  <c r="AI715" i="3245"/>
  <c r="AJ715" i="3245"/>
  <c r="AL715" i="3245"/>
  <c r="AF716" i="3245"/>
  <c r="AG716" i="3245"/>
  <c r="AH716" i="3245"/>
  <c r="AI716" i="3245"/>
  <c r="AJ716" i="3245"/>
  <c r="AL716" i="3245"/>
  <c r="AF717" i="3245"/>
  <c r="AG717" i="3245"/>
  <c r="AH717" i="3245"/>
  <c r="AI717" i="3245"/>
  <c r="AJ717" i="3245"/>
  <c r="AL717" i="3245"/>
  <c r="AF718" i="3245"/>
  <c r="AG718" i="3245"/>
  <c r="AH718" i="3245"/>
  <c r="AI718" i="3245"/>
  <c r="AJ718" i="3245"/>
  <c r="AL718" i="3245"/>
  <c r="AF719" i="3245"/>
  <c r="AG719" i="3245"/>
  <c r="AH719" i="3245"/>
  <c r="AI719" i="3245"/>
  <c r="AJ719" i="3245"/>
  <c r="AL719" i="3245"/>
  <c r="AF720" i="3245"/>
  <c r="AG720" i="3245"/>
  <c r="AH720" i="3245"/>
  <c r="AI720" i="3245"/>
  <c r="AJ720" i="3245"/>
  <c r="AL720" i="3245"/>
  <c r="AF721" i="3245"/>
  <c r="AG721" i="3245"/>
  <c r="AH721" i="3245"/>
  <c r="AI721" i="3245"/>
  <c r="AJ721" i="3245"/>
  <c r="AL721" i="3245"/>
  <c r="AF722" i="3245"/>
  <c r="AG722" i="3245"/>
  <c r="AH722" i="3245"/>
  <c r="AI722" i="3245"/>
  <c r="AJ722" i="3245"/>
  <c r="AL722" i="3245"/>
  <c r="AF723" i="3245"/>
  <c r="AG723" i="3245"/>
  <c r="AH723" i="3245"/>
  <c r="AI723" i="3245"/>
  <c r="AJ723" i="3245"/>
  <c r="AL723" i="3245"/>
  <c r="AF724" i="3245"/>
  <c r="AG724" i="3245"/>
  <c r="AH724" i="3245"/>
  <c r="AI724" i="3245"/>
  <c r="AJ724" i="3245"/>
  <c r="AL724" i="3245"/>
  <c r="AF725" i="3245"/>
  <c r="AG725" i="3245"/>
  <c r="AH725" i="3245"/>
  <c r="AI725" i="3245"/>
  <c r="AJ725" i="3245"/>
  <c r="AL725" i="3245"/>
  <c r="AF726" i="3245"/>
  <c r="AG726" i="3245"/>
  <c r="AH726" i="3245"/>
  <c r="AI726" i="3245"/>
  <c r="AJ726" i="3245"/>
  <c r="AL726" i="3245"/>
  <c r="AF727" i="3245"/>
  <c r="AG727" i="3245"/>
  <c r="AH727" i="3245"/>
  <c r="AI727" i="3245"/>
  <c r="AJ727" i="3245"/>
  <c r="AL727" i="3245"/>
  <c r="AF728" i="3245"/>
  <c r="AG728" i="3245"/>
  <c r="AH728" i="3245"/>
  <c r="AI728" i="3245"/>
  <c r="AJ728" i="3245"/>
  <c r="AL728" i="3245"/>
  <c r="AF729" i="3245"/>
  <c r="AG729" i="3245"/>
  <c r="AH729" i="3245"/>
  <c r="AI729" i="3245"/>
  <c r="AJ729" i="3245"/>
  <c r="AL729" i="3245"/>
  <c r="AF730" i="3245"/>
  <c r="AG730" i="3245"/>
  <c r="AH730" i="3245"/>
  <c r="AI730" i="3245"/>
  <c r="AJ730" i="3245"/>
  <c r="AL730" i="3245"/>
  <c r="AF731" i="3245"/>
  <c r="AG731" i="3245"/>
  <c r="AH731" i="3245"/>
  <c r="AI731" i="3245"/>
  <c r="AJ731" i="3245"/>
  <c r="AL731" i="3245"/>
  <c r="AF732" i="3245"/>
  <c r="AG732" i="3245"/>
  <c r="AH732" i="3245"/>
  <c r="AI732" i="3245"/>
  <c r="AJ732" i="3245"/>
  <c r="AL732" i="3245"/>
  <c r="AF733" i="3245"/>
  <c r="AG733" i="3245"/>
  <c r="AH733" i="3245"/>
  <c r="AI733" i="3245"/>
  <c r="AJ733" i="3245"/>
  <c r="AL733" i="3245"/>
  <c r="AF734" i="3245"/>
  <c r="AG734" i="3245"/>
  <c r="AH734" i="3245"/>
  <c r="AI734" i="3245"/>
  <c r="AJ734" i="3245"/>
  <c r="AL734" i="3245"/>
  <c r="AF735" i="3245"/>
  <c r="AG735" i="3245"/>
  <c r="AH735" i="3245"/>
  <c r="AI735" i="3245"/>
  <c r="AJ735" i="3245"/>
  <c r="AL735" i="3245"/>
  <c r="AF736" i="3245"/>
  <c r="AG736" i="3245"/>
  <c r="AH736" i="3245"/>
  <c r="AI736" i="3245"/>
  <c r="AJ736" i="3245"/>
  <c r="AL736" i="3245"/>
  <c r="AF737" i="3245"/>
  <c r="AG737" i="3245"/>
  <c r="AH737" i="3245"/>
  <c r="AI737" i="3245"/>
  <c r="AJ737" i="3245"/>
  <c r="AL737" i="3245"/>
  <c r="AF738" i="3245"/>
  <c r="AG738" i="3245"/>
  <c r="AH738" i="3245"/>
  <c r="AI738" i="3245"/>
  <c r="AJ738" i="3245"/>
  <c r="AL738" i="3245"/>
  <c r="AF739" i="3245"/>
  <c r="AG739" i="3245"/>
  <c r="AH739" i="3245"/>
  <c r="AI739" i="3245"/>
  <c r="AJ739" i="3245"/>
  <c r="AL739" i="3245"/>
  <c r="AF740" i="3245"/>
  <c r="AG740" i="3245"/>
  <c r="AH740" i="3245"/>
  <c r="AI740" i="3245"/>
  <c r="AJ740" i="3245"/>
  <c r="AL740" i="3245"/>
  <c r="AF741" i="3245"/>
  <c r="AG741" i="3245"/>
  <c r="AH741" i="3245"/>
  <c r="AI741" i="3245"/>
  <c r="AJ741" i="3245"/>
  <c r="AL741" i="3245"/>
  <c r="AF742" i="3245"/>
  <c r="AG742" i="3245"/>
  <c r="AH742" i="3245"/>
  <c r="AI742" i="3245"/>
  <c r="AJ742" i="3245"/>
  <c r="AL742" i="3245"/>
  <c r="AF743" i="3245"/>
  <c r="AG743" i="3245"/>
  <c r="AH743" i="3245"/>
  <c r="AI743" i="3245"/>
  <c r="AJ743" i="3245"/>
  <c r="AL743" i="3245"/>
  <c r="AF744" i="3245"/>
  <c r="AG744" i="3245"/>
  <c r="AH744" i="3245"/>
  <c r="AI744" i="3245"/>
  <c r="AJ744" i="3245"/>
  <c r="AL744" i="3245"/>
  <c r="AF745" i="3245"/>
  <c r="AG745" i="3245"/>
  <c r="AH745" i="3245"/>
  <c r="AI745" i="3245"/>
  <c r="AJ745" i="3245"/>
  <c r="AL745" i="3245"/>
  <c r="AF746" i="3245"/>
  <c r="AG746" i="3245"/>
  <c r="AH746" i="3245"/>
  <c r="AI746" i="3245"/>
  <c r="AJ746" i="3245"/>
  <c r="AL746" i="3245"/>
  <c r="AF747" i="3245"/>
  <c r="AG747" i="3245"/>
  <c r="AH747" i="3245"/>
  <c r="AI747" i="3245"/>
  <c r="AJ747" i="3245"/>
  <c r="AL747" i="3245"/>
  <c r="AF748" i="3245"/>
  <c r="AG748" i="3245"/>
  <c r="AH748" i="3245"/>
  <c r="AI748" i="3245"/>
  <c r="AJ748" i="3245"/>
  <c r="AL748" i="3245"/>
  <c r="AF749" i="3245"/>
  <c r="AG749" i="3245"/>
  <c r="AH749" i="3245"/>
  <c r="AI749" i="3245"/>
  <c r="AJ749" i="3245"/>
  <c r="AL749" i="3245"/>
  <c r="AF750" i="3245"/>
  <c r="AG750" i="3245"/>
  <c r="AH750" i="3245"/>
  <c r="AI750" i="3245"/>
  <c r="AJ750" i="3245"/>
  <c r="AL750" i="3245"/>
  <c r="AF751" i="3245"/>
  <c r="AG751" i="3245"/>
  <c r="AH751" i="3245"/>
  <c r="AI751" i="3245"/>
  <c r="AJ751" i="3245"/>
  <c r="AL751" i="3245"/>
  <c r="AF752" i="3245"/>
  <c r="AG752" i="3245"/>
  <c r="AH752" i="3245"/>
  <c r="AI752" i="3245"/>
  <c r="AJ752" i="3245"/>
  <c r="AL752" i="3245"/>
  <c r="AF753" i="3245"/>
  <c r="AG753" i="3245"/>
  <c r="AH753" i="3245"/>
  <c r="AI753" i="3245"/>
  <c r="AJ753" i="3245"/>
  <c r="AL753" i="3245"/>
  <c r="AF754" i="3245"/>
  <c r="AG754" i="3245"/>
  <c r="AH754" i="3245"/>
  <c r="AI754" i="3245"/>
  <c r="AJ754" i="3245"/>
  <c r="AL754" i="3245"/>
  <c r="AF755" i="3245"/>
  <c r="AG755" i="3245"/>
  <c r="AH755" i="3245"/>
  <c r="AI755" i="3245"/>
  <c r="AJ755" i="3245"/>
  <c r="AL755" i="3245"/>
  <c r="AF756" i="3245"/>
  <c r="AG756" i="3245"/>
  <c r="AH756" i="3245"/>
  <c r="AI756" i="3245"/>
  <c r="AJ756" i="3245"/>
  <c r="AL756" i="3245"/>
  <c r="AF757" i="3245"/>
  <c r="AG757" i="3245"/>
  <c r="AH757" i="3245"/>
  <c r="AI757" i="3245"/>
  <c r="AJ757" i="3245"/>
  <c r="AL757" i="3245"/>
  <c r="AF758" i="3245"/>
  <c r="AG758" i="3245"/>
  <c r="AH758" i="3245"/>
  <c r="AI758" i="3245"/>
  <c r="AJ758" i="3245"/>
  <c r="AL758" i="3245"/>
  <c r="AF759" i="3245"/>
  <c r="AG759" i="3245"/>
  <c r="AH759" i="3245"/>
  <c r="AI759" i="3245"/>
  <c r="AJ759" i="3245"/>
  <c r="AL759" i="3245"/>
  <c r="AF760" i="3245"/>
  <c r="AG760" i="3245"/>
  <c r="AH760" i="3245"/>
  <c r="AI760" i="3245"/>
  <c r="AJ760" i="3245"/>
  <c r="AL760" i="3245"/>
  <c r="AF761" i="3245"/>
  <c r="AG761" i="3245"/>
  <c r="AH761" i="3245"/>
  <c r="AI761" i="3245"/>
  <c r="AJ761" i="3245"/>
  <c r="AL761" i="3245"/>
  <c r="AF762" i="3245"/>
  <c r="AG762" i="3245"/>
  <c r="AH762" i="3245"/>
  <c r="AI762" i="3245"/>
  <c r="AJ762" i="3245"/>
  <c r="AL762" i="3245"/>
  <c r="AF763" i="3245"/>
  <c r="AG763" i="3245"/>
  <c r="AH763" i="3245"/>
  <c r="AI763" i="3245"/>
  <c r="AJ763" i="3245"/>
  <c r="AL763" i="3245"/>
  <c r="AF764" i="3245"/>
  <c r="AG764" i="3245"/>
  <c r="AH764" i="3245"/>
  <c r="AI764" i="3245"/>
  <c r="AJ764" i="3245"/>
  <c r="AL764" i="3245"/>
  <c r="AF765" i="3245"/>
  <c r="AG765" i="3245"/>
  <c r="AH765" i="3245"/>
  <c r="AI765" i="3245"/>
  <c r="AJ765" i="3245"/>
  <c r="AL765" i="3245"/>
  <c r="AF766" i="3245"/>
  <c r="AG766" i="3245"/>
  <c r="AH766" i="3245"/>
  <c r="AI766" i="3245"/>
  <c r="AJ766" i="3245"/>
  <c r="AL766" i="3245"/>
  <c r="AF767" i="3245"/>
  <c r="AG767" i="3245"/>
  <c r="AH767" i="3245"/>
  <c r="AI767" i="3245"/>
  <c r="AJ767" i="3245"/>
  <c r="AL767" i="3245"/>
  <c r="AF768" i="3245"/>
  <c r="AG768" i="3245"/>
  <c r="AH768" i="3245"/>
  <c r="AI768" i="3245"/>
  <c r="AJ768" i="3245"/>
  <c r="AL768" i="3245"/>
  <c r="AF769" i="3245"/>
  <c r="AG769" i="3245"/>
  <c r="AH769" i="3245"/>
  <c r="AI769" i="3245"/>
  <c r="AJ769" i="3245"/>
  <c r="AL769" i="3245"/>
  <c r="AF770" i="3245"/>
  <c r="AG770" i="3245"/>
  <c r="AH770" i="3245"/>
  <c r="AI770" i="3245"/>
  <c r="AJ770" i="3245"/>
  <c r="AL770" i="3245"/>
  <c r="AF771" i="3245"/>
  <c r="AG771" i="3245"/>
  <c r="AH771" i="3245"/>
  <c r="AI771" i="3245"/>
  <c r="AJ771" i="3245"/>
  <c r="AL771" i="3245"/>
  <c r="AF772" i="3245"/>
  <c r="AG772" i="3245"/>
  <c r="AH772" i="3245"/>
  <c r="AI772" i="3245"/>
  <c r="AJ772" i="3245"/>
  <c r="AL772" i="3245"/>
  <c r="AF773" i="3245"/>
  <c r="AG773" i="3245"/>
  <c r="AH773" i="3245"/>
  <c r="AI773" i="3245"/>
  <c r="AJ773" i="3245"/>
  <c r="AL773" i="3245"/>
  <c r="AF774" i="3245"/>
  <c r="AG774" i="3245"/>
  <c r="AH774" i="3245"/>
  <c r="AI774" i="3245"/>
  <c r="AJ774" i="3245"/>
  <c r="AL774" i="3245"/>
  <c r="AF775" i="3245"/>
  <c r="AG775" i="3245"/>
  <c r="AH775" i="3245"/>
  <c r="AI775" i="3245"/>
  <c r="AJ775" i="3245"/>
  <c r="AL775" i="3245"/>
  <c r="AF776" i="3245"/>
  <c r="AG776" i="3245"/>
  <c r="AH776" i="3245"/>
  <c r="AI776" i="3245"/>
  <c r="AJ776" i="3245"/>
  <c r="AL776" i="3245"/>
  <c r="AF777" i="3245"/>
  <c r="AG777" i="3245"/>
  <c r="AH777" i="3245"/>
  <c r="AI777" i="3245"/>
  <c r="AJ777" i="3245"/>
  <c r="AL777" i="3245"/>
  <c r="AF778" i="3245"/>
  <c r="AG778" i="3245"/>
  <c r="AH778" i="3245"/>
  <c r="AI778" i="3245"/>
  <c r="AJ778" i="3245"/>
  <c r="AL778" i="3245"/>
  <c r="AF779" i="3245"/>
  <c r="AG779" i="3245"/>
  <c r="AH779" i="3245"/>
  <c r="AI779" i="3245"/>
  <c r="AJ779" i="3245"/>
  <c r="AL779" i="3245"/>
  <c r="AF780" i="3245"/>
  <c r="AG780" i="3245"/>
  <c r="AH780" i="3245"/>
  <c r="AI780" i="3245"/>
  <c r="AJ780" i="3245"/>
  <c r="AL780" i="3245"/>
  <c r="AF781" i="3245"/>
  <c r="AG781" i="3245"/>
  <c r="AH781" i="3245"/>
  <c r="AI781" i="3245"/>
  <c r="AJ781" i="3245"/>
  <c r="AL781" i="3245"/>
  <c r="AF782" i="3245"/>
  <c r="AG782" i="3245"/>
  <c r="AH782" i="3245"/>
  <c r="AI782" i="3245"/>
  <c r="AJ782" i="3245"/>
  <c r="AL782" i="3245"/>
  <c r="AF783" i="3245"/>
  <c r="AG783" i="3245"/>
  <c r="AH783" i="3245"/>
  <c r="AI783" i="3245"/>
  <c r="AJ783" i="3245"/>
  <c r="AL783" i="3245"/>
  <c r="AF784" i="3245"/>
  <c r="AG784" i="3245"/>
  <c r="AH784" i="3245"/>
  <c r="AI784" i="3245"/>
  <c r="AJ784" i="3245"/>
  <c r="AL784" i="3245"/>
  <c r="AF785" i="3245"/>
  <c r="AG785" i="3245"/>
  <c r="AH785" i="3245"/>
  <c r="AI785" i="3245"/>
  <c r="AJ785" i="3245"/>
  <c r="AL785" i="3245"/>
  <c r="AF786" i="3245"/>
  <c r="AG786" i="3245"/>
  <c r="AH786" i="3245"/>
  <c r="AI786" i="3245"/>
  <c r="AJ786" i="3245"/>
  <c r="AL786" i="3245"/>
  <c r="AF787" i="3245"/>
  <c r="AG787" i="3245"/>
  <c r="AH787" i="3245"/>
  <c r="AI787" i="3245"/>
  <c r="AJ787" i="3245"/>
  <c r="AL787" i="3245"/>
  <c r="AF788" i="3245"/>
  <c r="AG788" i="3245"/>
  <c r="AH788" i="3245"/>
  <c r="AI788" i="3245"/>
  <c r="AJ788" i="3245"/>
  <c r="AL788" i="3245"/>
  <c r="AF789" i="3245"/>
  <c r="AG789" i="3245"/>
  <c r="AH789" i="3245"/>
  <c r="AI789" i="3245"/>
  <c r="AJ789" i="3245"/>
  <c r="AL789" i="3245"/>
  <c r="AF790" i="3245"/>
  <c r="AG790" i="3245"/>
  <c r="AH790" i="3245"/>
  <c r="AI790" i="3245"/>
  <c r="AJ790" i="3245"/>
  <c r="AL790" i="3245"/>
  <c r="AF791" i="3245"/>
  <c r="AG791" i="3245"/>
  <c r="AH791" i="3245"/>
  <c r="AI791" i="3245"/>
  <c r="AJ791" i="3245"/>
  <c r="AL791" i="3245"/>
  <c r="AF792" i="3245"/>
  <c r="AG792" i="3245"/>
  <c r="AH792" i="3245"/>
  <c r="AI792" i="3245"/>
  <c r="AJ792" i="3245"/>
  <c r="AL792" i="3245"/>
  <c r="AF793" i="3245"/>
  <c r="AG793" i="3245"/>
  <c r="AH793" i="3245"/>
  <c r="AI793" i="3245"/>
  <c r="AJ793" i="3245"/>
  <c r="AL793" i="3245"/>
  <c r="AF794" i="3245"/>
  <c r="AG794" i="3245"/>
  <c r="AH794" i="3245"/>
  <c r="AI794" i="3245"/>
  <c r="AJ794" i="3245"/>
  <c r="AL794" i="3245"/>
  <c r="AF795" i="3245"/>
  <c r="AG795" i="3245"/>
  <c r="AH795" i="3245"/>
  <c r="AI795" i="3245"/>
  <c r="AJ795" i="3245"/>
  <c r="AL795" i="3245"/>
  <c r="AF796" i="3245"/>
  <c r="AG796" i="3245"/>
  <c r="AH796" i="3245"/>
  <c r="AI796" i="3245"/>
  <c r="AJ796" i="3245"/>
  <c r="AL796" i="3245"/>
  <c r="AF797" i="3245"/>
  <c r="AG797" i="3245"/>
  <c r="AH797" i="3245"/>
  <c r="AI797" i="3245"/>
  <c r="AJ797" i="3245"/>
  <c r="AL797" i="3245"/>
  <c r="AF798" i="3245"/>
  <c r="AG798" i="3245"/>
  <c r="AH798" i="3245"/>
  <c r="AI798" i="3245"/>
  <c r="AJ798" i="3245"/>
  <c r="AL798" i="3245"/>
  <c r="AF799" i="3245"/>
  <c r="AG799" i="3245"/>
  <c r="AH799" i="3245"/>
  <c r="AI799" i="3245"/>
  <c r="AJ799" i="3245"/>
  <c r="AL799" i="3245"/>
  <c r="AF800" i="3245"/>
  <c r="AG800" i="3245"/>
  <c r="AH800" i="3245"/>
  <c r="AI800" i="3245"/>
  <c r="AJ800" i="3245"/>
  <c r="AL800" i="3245"/>
  <c r="AF801" i="3245"/>
  <c r="AG801" i="3245"/>
  <c r="AH801" i="3245"/>
  <c r="AI801" i="3245"/>
  <c r="AJ801" i="3245"/>
  <c r="AL801" i="3245"/>
  <c r="AF802" i="3245"/>
  <c r="AG802" i="3245"/>
  <c r="AH802" i="3245"/>
  <c r="AI802" i="3245"/>
  <c r="AJ802" i="3245"/>
  <c r="AL802" i="3245"/>
  <c r="AF803" i="3245"/>
  <c r="AG803" i="3245"/>
  <c r="AH803" i="3245"/>
  <c r="AI803" i="3245"/>
  <c r="AJ803" i="3245"/>
  <c r="AL803" i="3245"/>
  <c r="AF804" i="3245"/>
  <c r="AG804" i="3245"/>
  <c r="AH804" i="3245"/>
  <c r="AI804" i="3245"/>
  <c r="AJ804" i="3245"/>
  <c r="AL804" i="3245"/>
  <c r="AF805" i="3245"/>
  <c r="AG805" i="3245"/>
  <c r="AH805" i="3245"/>
  <c r="AI805" i="3245"/>
  <c r="AJ805" i="3245"/>
  <c r="AL805" i="3245"/>
  <c r="AF806" i="3245"/>
  <c r="AG806" i="3245"/>
  <c r="AH806" i="3245"/>
  <c r="AI806" i="3245"/>
  <c r="AJ806" i="3245"/>
  <c r="AL806" i="3245"/>
  <c r="AF807" i="3245"/>
  <c r="AG807" i="3245"/>
  <c r="AH807" i="3245"/>
  <c r="AI807" i="3245"/>
  <c r="AJ807" i="3245"/>
  <c r="AL807" i="3245"/>
  <c r="AF808" i="3245"/>
  <c r="AG808" i="3245"/>
  <c r="AH808" i="3245"/>
  <c r="AI808" i="3245"/>
  <c r="AJ808" i="3245"/>
  <c r="AL808" i="3245"/>
  <c r="AF809" i="3245"/>
  <c r="AG809" i="3245"/>
  <c r="AH809" i="3245"/>
  <c r="AI809" i="3245"/>
  <c r="AJ809" i="3245"/>
  <c r="AL809" i="3245"/>
  <c r="AF810" i="3245"/>
  <c r="AG810" i="3245"/>
  <c r="AH810" i="3245"/>
  <c r="AI810" i="3245"/>
  <c r="AJ810" i="3245"/>
  <c r="AL810" i="3245"/>
  <c r="AF811" i="3245"/>
  <c r="AG811" i="3245"/>
  <c r="AH811" i="3245"/>
  <c r="AI811" i="3245"/>
  <c r="AJ811" i="3245"/>
  <c r="AL811" i="3245"/>
  <c r="AF812" i="3245"/>
  <c r="AG812" i="3245"/>
  <c r="AH812" i="3245"/>
  <c r="AI812" i="3245"/>
  <c r="AJ812" i="3245"/>
  <c r="AL812" i="3245"/>
  <c r="AF813" i="3245"/>
  <c r="AG813" i="3245"/>
  <c r="AH813" i="3245"/>
  <c r="AI813" i="3245"/>
  <c r="AJ813" i="3245"/>
  <c r="AL813" i="3245"/>
  <c r="AF814" i="3245"/>
  <c r="AG814" i="3245"/>
  <c r="AH814" i="3245"/>
  <c r="AI814" i="3245"/>
  <c r="AJ814" i="3245"/>
  <c r="AL814" i="3245"/>
  <c r="AF815" i="3245"/>
  <c r="AG815" i="3245"/>
  <c r="AH815" i="3245"/>
  <c r="AI815" i="3245"/>
  <c r="AJ815" i="3245"/>
  <c r="AL815" i="3245"/>
  <c r="AF816" i="3245"/>
  <c r="AG816" i="3245"/>
  <c r="AH816" i="3245"/>
  <c r="AI816" i="3245"/>
  <c r="AJ816" i="3245"/>
  <c r="AL816" i="3245"/>
  <c r="AF817" i="3245"/>
  <c r="AG817" i="3245"/>
  <c r="AH817" i="3245"/>
  <c r="AI817" i="3245"/>
  <c r="AJ817" i="3245"/>
  <c r="AL817" i="3245"/>
  <c r="AF818" i="3245"/>
  <c r="AG818" i="3245"/>
  <c r="AH818" i="3245"/>
  <c r="AI818" i="3245"/>
  <c r="AJ818" i="3245"/>
  <c r="AL818" i="3245"/>
  <c r="AF819" i="3245"/>
  <c r="AG819" i="3245"/>
  <c r="AH819" i="3245"/>
  <c r="AI819" i="3245"/>
  <c r="AJ819" i="3245"/>
  <c r="AL819" i="3245"/>
  <c r="AF820" i="3245"/>
  <c r="AG820" i="3245"/>
  <c r="AH820" i="3245"/>
  <c r="AI820" i="3245"/>
  <c r="AJ820" i="3245"/>
  <c r="AL820" i="3245"/>
  <c r="AF821" i="3245"/>
  <c r="AG821" i="3245"/>
  <c r="AH821" i="3245"/>
  <c r="AI821" i="3245"/>
  <c r="AJ821" i="3245"/>
  <c r="AL821" i="3245"/>
  <c r="AF822" i="3245"/>
  <c r="AG822" i="3245"/>
  <c r="AH822" i="3245"/>
  <c r="AI822" i="3245"/>
  <c r="AJ822" i="3245"/>
  <c r="AL822" i="3245"/>
  <c r="AF823" i="3245"/>
  <c r="AG823" i="3245"/>
  <c r="AH823" i="3245"/>
  <c r="AI823" i="3245"/>
  <c r="AJ823" i="3245"/>
  <c r="AL823" i="3245"/>
  <c r="AF824" i="3245"/>
  <c r="AG824" i="3245"/>
  <c r="AH824" i="3245"/>
  <c r="AI824" i="3245"/>
  <c r="AJ824" i="3245"/>
  <c r="AL824" i="3245"/>
  <c r="AF825" i="3245"/>
  <c r="AG825" i="3245"/>
  <c r="AH825" i="3245"/>
  <c r="AI825" i="3245"/>
  <c r="AJ825" i="3245"/>
  <c r="AL825" i="3245"/>
  <c r="AF826" i="3245"/>
  <c r="AG826" i="3245"/>
  <c r="AH826" i="3245"/>
  <c r="AI826" i="3245"/>
  <c r="AJ826" i="3245"/>
  <c r="AL826" i="3245"/>
  <c r="AF827" i="3245"/>
  <c r="AG827" i="3245"/>
  <c r="AH827" i="3245"/>
  <c r="AI827" i="3245"/>
  <c r="AJ827" i="3245"/>
  <c r="AL827" i="3245"/>
  <c r="AF828" i="3245"/>
  <c r="AG828" i="3245"/>
  <c r="AH828" i="3245"/>
  <c r="AI828" i="3245"/>
  <c r="AJ828" i="3245"/>
  <c r="AL828" i="3245"/>
  <c r="AF829" i="3245"/>
  <c r="AG829" i="3245"/>
  <c r="AH829" i="3245"/>
  <c r="AI829" i="3245"/>
  <c r="AJ829" i="3245"/>
  <c r="AL829" i="3245"/>
  <c r="AF830" i="3245"/>
  <c r="AG830" i="3245"/>
  <c r="AH830" i="3245"/>
  <c r="AI830" i="3245"/>
  <c r="AJ830" i="3245"/>
  <c r="AL830" i="3245"/>
  <c r="AF831" i="3245"/>
  <c r="AG831" i="3245"/>
  <c r="AH831" i="3245"/>
  <c r="AI831" i="3245"/>
  <c r="AJ831" i="3245"/>
  <c r="AL831" i="3245"/>
  <c r="AF832" i="3245"/>
  <c r="AG832" i="3245"/>
  <c r="AH832" i="3245"/>
  <c r="AI832" i="3245"/>
  <c r="AJ832" i="3245"/>
  <c r="AL832" i="3245"/>
  <c r="AF833" i="3245"/>
  <c r="AG833" i="3245"/>
  <c r="AH833" i="3245"/>
  <c r="AI833" i="3245"/>
  <c r="AJ833" i="3245"/>
  <c r="AL833" i="3245"/>
  <c r="AF834" i="3245"/>
  <c r="AG834" i="3245"/>
  <c r="AH834" i="3245"/>
  <c r="AI834" i="3245"/>
  <c r="AJ834" i="3245"/>
  <c r="AL834" i="3245"/>
  <c r="AF835" i="3245"/>
  <c r="AG835" i="3245"/>
  <c r="AH835" i="3245"/>
  <c r="AI835" i="3245"/>
  <c r="AJ835" i="3245"/>
  <c r="AL835" i="3245"/>
  <c r="AF836" i="3245"/>
  <c r="AG836" i="3245"/>
  <c r="AH836" i="3245"/>
  <c r="AI836" i="3245"/>
  <c r="AJ836" i="3245"/>
  <c r="AL836" i="3245"/>
  <c r="AF837" i="3245"/>
  <c r="AG837" i="3245"/>
  <c r="AH837" i="3245"/>
  <c r="AI837" i="3245"/>
  <c r="AJ837" i="3245"/>
  <c r="AL837" i="3245"/>
  <c r="AF838" i="3245"/>
  <c r="AG838" i="3245"/>
  <c r="AH838" i="3245"/>
  <c r="AI838" i="3245"/>
  <c r="AJ838" i="3245"/>
  <c r="AL838" i="3245"/>
  <c r="AF839" i="3245"/>
  <c r="AG839" i="3245"/>
  <c r="AH839" i="3245"/>
  <c r="AI839" i="3245"/>
  <c r="AJ839" i="3245"/>
  <c r="AL839" i="3245"/>
  <c r="AF840" i="3245"/>
  <c r="AG840" i="3245"/>
  <c r="AH840" i="3245"/>
  <c r="AI840" i="3245"/>
  <c r="AJ840" i="3245"/>
  <c r="AL840" i="3245"/>
  <c r="AF841" i="3245"/>
  <c r="AG841" i="3245"/>
  <c r="AH841" i="3245"/>
  <c r="AI841" i="3245"/>
  <c r="AJ841" i="3245"/>
  <c r="AL841" i="3245"/>
  <c r="AF842" i="3245"/>
  <c r="AG842" i="3245"/>
  <c r="AH842" i="3245"/>
  <c r="AI842" i="3245"/>
  <c r="AJ842" i="3245"/>
  <c r="AL842" i="3245"/>
  <c r="AF843" i="3245"/>
  <c r="AG843" i="3245"/>
  <c r="AH843" i="3245"/>
  <c r="AI843" i="3245"/>
  <c r="AJ843" i="3245"/>
  <c r="AL843" i="3245"/>
  <c r="AF844" i="3245"/>
  <c r="AG844" i="3245"/>
  <c r="AH844" i="3245"/>
  <c r="AI844" i="3245"/>
  <c r="AJ844" i="3245"/>
  <c r="AL844" i="3245"/>
  <c r="AF845" i="3245"/>
  <c r="AG845" i="3245"/>
  <c r="AH845" i="3245"/>
  <c r="AI845" i="3245"/>
  <c r="AJ845" i="3245"/>
  <c r="AL845" i="3245"/>
  <c r="AF846" i="3245"/>
  <c r="AG846" i="3245"/>
  <c r="AH846" i="3245"/>
  <c r="AI846" i="3245"/>
  <c r="AJ846" i="3245"/>
  <c r="AL846" i="3245"/>
  <c r="AF847" i="3245"/>
  <c r="AG847" i="3245"/>
  <c r="AH847" i="3245"/>
  <c r="AI847" i="3245"/>
  <c r="AJ847" i="3245"/>
  <c r="AL847" i="3245"/>
  <c r="AF848" i="3245"/>
  <c r="AG848" i="3245"/>
  <c r="AH848" i="3245"/>
  <c r="AI848" i="3245"/>
  <c r="AJ848" i="3245"/>
  <c r="AL848" i="3245"/>
  <c r="AF849" i="3245"/>
  <c r="AG849" i="3245"/>
  <c r="AH849" i="3245"/>
  <c r="AI849" i="3245"/>
  <c r="AJ849" i="3245"/>
  <c r="AL849" i="3245"/>
  <c r="AF850" i="3245"/>
  <c r="AG850" i="3245"/>
  <c r="AH850" i="3245"/>
  <c r="AI850" i="3245"/>
  <c r="AJ850" i="3245"/>
  <c r="AL850" i="3245"/>
  <c r="AF851" i="3245"/>
  <c r="AG851" i="3245"/>
  <c r="AH851" i="3245"/>
  <c r="AI851" i="3245"/>
  <c r="AJ851" i="3245"/>
  <c r="AL851" i="3245"/>
  <c r="AF852" i="3245"/>
  <c r="AG852" i="3245"/>
  <c r="AH852" i="3245"/>
  <c r="AI852" i="3245"/>
  <c r="AJ852" i="3245"/>
  <c r="AL852" i="3245"/>
  <c r="AF853" i="3245"/>
  <c r="AG853" i="3245"/>
  <c r="AH853" i="3245"/>
  <c r="AI853" i="3245"/>
  <c r="AJ853" i="3245"/>
  <c r="AL853" i="3245"/>
  <c r="AF854" i="3245"/>
  <c r="AG854" i="3245"/>
  <c r="AH854" i="3245"/>
  <c r="AI854" i="3245"/>
  <c r="AJ854" i="3245"/>
  <c r="AL854" i="3245"/>
  <c r="AF855" i="3245"/>
  <c r="AG855" i="3245"/>
  <c r="AH855" i="3245"/>
  <c r="AI855" i="3245"/>
  <c r="AJ855" i="3245"/>
  <c r="AL855" i="3245"/>
  <c r="AF856" i="3245"/>
  <c r="AG856" i="3245"/>
  <c r="AH856" i="3245"/>
  <c r="AI856" i="3245"/>
  <c r="AJ856" i="3245"/>
  <c r="AL856" i="3245"/>
  <c r="AF857" i="3245"/>
  <c r="AG857" i="3245"/>
  <c r="AH857" i="3245"/>
  <c r="AI857" i="3245"/>
  <c r="AJ857" i="3245"/>
  <c r="AL857" i="3245"/>
  <c r="AF858" i="3245"/>
  <c r="AG858" i="3245"/>
  <c r="AH858" i="3245"/>
  <c r="AI858" i="3245"/>
  <c r="AJ858" i="3245"/>
  <c r="AL858" i="3245"/>
  <c r="AF859" i="3245"/>
  <c r="AG859" i="3245"/>
  <c r="AH859" i="3245"/>
  <c r="AI859" i="3245"/>
  <c r="AJ859" i="3245"/>
  <c r="AL859" i="3245"/>
  <c r="AF860" i="3245"/>
  <c r="AG860" i="3245"/>
  <c r="AH860" i="3245"/>
  <c r="AI860" i="3245"/>
  <c r="AJ860" i="3245"/>
  <c r="AL860" i="3245"/>
  <c r="AF861" i="3245"/>
  <c r="AG861" i="3245"/>
  <c r="AH861" i="3245"/>
  <c r="AI861" i="3245"/>
  <c r="AJ861" i="3245"/>
  <c r="AL861" i="3245"/>
  <c r="AF862" i="3245"/>
  <c r="AG862" i="3245"/>
  <c r="AH862" i="3245"/>
  <c r="AI862" i="3245"/>
  <c r="AJ862" i="3245"/>
  <c r="AL862" i="3245"/>
  <c r="AF863" i="3245"/>
  <c r="AG863" i="3245"/>
  <c r="AH863" i="3245"/>
  <c r="AI863" i="3245"/>
  <c r="AJ863" i="3245"/>
  <c r="AL863" i="3245"/>
  <c r="AF864" i="3245"/>
  <c r="AG864" i="3245"/>
  <c r="AH864" i="3245"/>
  <c r="AI864" i="3245"/>
  <c r="AJ864" i="3245"/>
  <c r="AL864" i="3245"/>
  <c r="AF865" i="3245"/>
  <c r="AG865" i="3245"/>
  <c r="AH865" i="3245"/>
  <c r="AI865" i="3245"/>
  <c r="AJ865" i="3245"/>
  <c r="AL865" i="3245"/>
  <c r="AF866" i="3245"/>
  <c r="AG866" i="3245"/>
  <c r="AH866" i="3245"/>
  <c r="AI866" i="3245"/>
  <c r="AJ866" i="3245"/>
  <c r="AL866" i="3245"/>
  <c r="AF867" i="3245"/>
  <c r="AG867" i="3245"/>
  <c r="AH867" i="3245"/>
  <c r="AI867" i="3245"/>
  <c r="AJ867" i="3245"/>
  <c r="AL867" i="3245"/>
  <c r="AF868" i="3245"/>
  <c r="AG868" i="3245"/>
  <c r="AH868" i="3245"/>
  <c r="AI868" i="3245"/>
  <c r="AJ868" i="3245"/>
  <c r="AL868" i="3245"/>
  <c r="AF869" i="3245"/>
  <c r="AG869" i="3245"/>
  <c r="AH869" i="3245"/>
  <c r="AI869" i="3245"/>
  <c r="AJ869" i="3245"/>
  <c r="AL869" i="3245"/>
  <c r="AF870" i="3245"/>
  <c r="AG870" i="3245"/>
  <c r="AH870" i="3245"/>
  <c r="AI870" i="3245"/>
  <c r="AJ870" i="3245"/>
  <c r="AL870" i="3245"/>
  <c r="AF871" i="3245"/>
  <c r="AG871" i="3245"/>
  <c r="AH871" i="3245"/>
  <c r="AI871" i="3245"/>
  <c r="AJ871" i="3245"/>
  <c r="AL871" i="3245"/>
  <c r="AF872" i="3245"/>
  <c r="AG872" i="3245"/>
  <c r="AH872" i="3245"/>
  <c r="AI872" i="3245"/>
  <c r="AJ872" i="3245"/>
  <c r="AL872" i="3245"/>
  <c r="AF873" i="3245"/>
  <c r="AG873" i="3245"/>
  <c r="AH873" i="3245"/>
  <c r="AI873" i="3245"/>
  <c r="AJ873" i="3245"/>
  <c r="AL873" i="3245"/>
  <c r="AF874" i="3245"/>
  <c r="AG874" i="3245"/>
  <c r="AH874" i="3245"/>
  <c r="AI874" i="3245"/>
  <c r="AJ874" i="3245"/>
  <c r="AL874" i="3245"/>
  <c r="AF875" i="3245"/>
  <c r="AG875" i="3245"/>
  <c r="AH875" i="3245"/>
  <c r="AI875" i="3245"/>
  <c r="AJ875" i="3245"/>
  <c r="AL875" i="3245"/>
  <c r="AF876" i="3245"/>
  <c r="AG876" i="3245"/>
  <c r="AH876" i="3245"/>
  <c r="AI876" i="3245"/>
  <c r="AJ876" i="3245"/>
  <c r="AL876" i="3245"/>
  <c r="AF877" i="3245"/>
  <c r="AG877" i="3245"/>
  <c r="AH877" i="3245"/>
  <c r="AI877" i="3245"/>
  <c r="AJ877" i="3245"/>
  <c r="AL877" i="3245"/>
  <c r="AF878" i="3245"/>
  <c r="AG878" i="3245"/>
  <c r="AH878" i="3245"/>
  <c r="AI878" i="3245"/>
  <c r="AJ878" i="3245"/>
  <c r="AL878" i="3245"/>
  <c r="AF879" i="3245"/>
  <c r="AG879" i="3245"/>
  <c r="AH879" i="3245"/>
  <c r="AI879" i="3245"/>
  <c r="AJ879" i="3245"/>
  <c r="AL879" i="3245"/>
  <c r="AF880" i="3245"/>
  <c r="AG880" i="3245"/>
  <c r="AH880" i="3245"/>
  <c r="AI880" i="3245"/>
  <c r="AJ880" i="3245"/>
  <c r="AL880" i="3245"/>
  <c r="AF881" i="3245"/>
  <c r="AG881" i="3245"/>
  <c r="AH881" i="3245"/>
  <c r="AI881" i="3245"/>
  <c r="AJ881" i="3245"/>
  <c r="AL881" i="3245"/>
  <c r="AF882" i="3245"/>
  <c r="AG882" i="3245"/>
  <c r="AH882" i="3245"/>
  <c r="AI882" i="3245"/>
  <c r="AJ882" i="3245"/>
  <c r="AL882" i="3245"/>
  <c r="AF883" i="3245"/>
  <c r="AG883" i="3245"/>
  <c r="AH883" i="3245"/>
  <c r="AI883" i="3245"/>
  <c r="AJ883" i="3245"/>
  <c r="AL883" i="3245"/>
  <c r="AF884" i="3245"/>
  <c r="AG884" i="3245"/>
  <c r="AH884" i="3245"/>
  <c r="AI884" i="3245"/>
  <c r="AJ884" i="3245"/>
  <c r="AL884" i="3245"/>
  <c r="AF885" i="3245"/>
  <c r="AG885" i="3245"/>
  <c r="AH885" i="3245"/>
  <c r="AI885" i="3245"/>
  <c r="AJ885" i="3245"/>
  <c r="AL885" i="3245"/>
  <c r="AF886" i="3245"/>
  <c r="AG886" i="3245"/>
  <c r="AH886" i="3245"/>
  <c r="AI886" i="3245"/>
  <c r="AJ886" i="3245"/>
  <c r="AL886" i="3245"/>
  <c r="AF887" i="3245"/>
  <c r="AG887" i="3245"/>
  <c r="AH887" i="3245"/>
  <c r="AI887" i="3245"/>
  <c r="AJ887" i="3245"/>
  <c r="AL887" i="3245"/>
  <c r="AF888" i="3245"/>
  <c r="AG888" i="3245"/>
  <c r="AH888" i="3245"/>
  <c r="AI888" i="3245"/>
  <c r="AJ888" i="3245"/>
  <c r="AL888" i="3245"/>
  <c r="AF889" i="3245"/>
  <c r="AG889" i="3245"/>
  <c r="AH889" i="3245"/>
  <c r="AI889" i="3245"/>
  <c r="AJ889" i="3245"/>
  <c r="AL889" i="3245"/>
  <c r="AF890" i="3245"/>
  <c r="AG890" i="3245"/>
  <c r="AH890" i="3245"/>
  <c r="AI890" i="3245"/>
  <c r="AJ890" i="3245"/>
  <c r="AL890" i="3245"/>
  <c r="AF891" i="3245"/>
  <c r="AG891" i="3245"/>
  <c r="AH891" i="3245"/>
  <c r="AI891" i="3245"/>
  <c r="AJ891" i="3245"/>
  <c r="AL891" i="3245"/>
  <c r="AF892" i="3245"/>
  <c r="AG892" i="3245"/>
  <c r="AH892" i="3245"/>
  <c r="AI892" i="3245"/>
  <c r="AJ892" i="3245"/>
  <c r="AL892" i="3245"/>
  <c r="AF893" i="3245"/>
  <c r="AG893" i="3245"/>
  <c r="AH893" i="3245"/>
  <c r="AI893" i="3245"/>
  <c r="AJ893" i="3245"/>
  <c r="AL893" i="3245"/>
  <c r="AF894" i="3245"/>
  <c r="AG894" i="3245"/>
  <c r="AH894" i="3245"/>
  <c r="AI894" i="3245"/>
  <c r="AJ894" i="3245"/>
  <c r="AL894" i="3245"/>
  <c r="AF895" i="3245"/>
  <c r="AG895" i="3245"/>
  <c r="AH895" i="3245"/>
  <c r="AI895" i="3245"/>
  <c r="AJ895" i="3245"/>
  <c r="AL895" i="3245"/>
  <c r="AF896" i="3245"/>
  <c r="AG896" i="3245"/>
  <c r="AH896" i="3245"/>
  <c r="AI896" i="3245"/>
  <c r="AJ896" i="3245"/>
  <c r="AL896" i="3245"/>
  <c r="AF897" i="3245"/>
  <c r="AG897" i="3245"/>
  <c r="AH897" i="3245"/>
  <c r="AI897" i="3245"/>
  <c r="AJ897" i="3245"/>
  <c r="AL897" i="3245"/>
  <c r="AF898" i="3245"/>
  <c r="AG898" i="3245"/>
  <c r="AH898" i="3245"/>
  <c r="AI898" i="3245"/>
  <c r="AJ898" i="3245"/>
  <c r="AL898" i="3245"/>
  <c r="AF899" i="3245"/>
  <c r="AG899" i="3245"/>
  <c r="AH899" i="3245"/>
  <c r="AI899" i="3245"/>
  <c r="AJ899" i="3245"/>
  <c r="AL899" i="3245"/>
  <c r="AF900" i="3245"/>
  <c r="AG900" i="3245"/>
  <c r="AH900" i="3245"/>
  <c r="AI900" i="3245"/>
  <c r="AJ900" i="3245"/>
  <c r="AL900" i="3245"/>
  <c r="AF901" i="3245"/>
  <c r="AG901" i="3245"/>
  <c r="AH901" i="3245"/>
  <c r="AI901" i="3245"/>
  <c r="AJ901" i="3245"/>
  <c r="AL901" i="3245"/>
  <c r="AF902" i="3245"/>
  <c r="AG902" i="3245"/>
  <c r="AH902" i="3245"/>
  <c r="AI902" i="3245"/>
  <c r="AJ902" i="3245"/>
  <c r="AL902" i="3245"/>
  <c r="AF903" i="3245"/>
  <c r="AG903" i="3245"/>
  <c r="AH903" i="3245"/>
  <c r="AI903" i="3245"/>
  <c r="AJ903" i="3245"/>
  <c r="AL903" i="3245"/>
  <c r="AF904" i="3245"/>
  <c r="AG904" i="3245"/>
  <c r="AH904" i="3245"/>
  <c r="AI904" i="3245"/>
  <c r="AJ904" i="3245"/>
  <c r="AL904" i="3245"/>
  <c r="AF905" i="3245"/>
  <c r="AG905" i="3245"/>
  <c r="AH905" i="3245"/>
  <c r="AI905" i="3245"/>
  <c r="AJ905" i="3245"/>
  <c r="AL905" i="3245"/>
  <c r="AF906" i="3245"/>
  <c r="AG906" i="3245"/>
  <c r="AH906" i="3245"/>
  <c r="AI906" i="3245"/>
  <c r="AJ906" i="3245"/>
  <c r="AL906" i="3245"/>
  <c r="AF907" i="3245"/>
  <c r="AG907" i="3245"/>
  <c r="AH907" i="3245"/>
  <c r="AI907" i="3245"/>
  <c r="AJ907" i="3245"/>
  <c r="AL907" i="3245"/>
  <c r="AF908" i="3245"/>
  <c r="AG908" i="3245"/>
  <c r="AH908" i="3245"/>
  <c r="AI908" i="3245"/>
  <c r="AJ908" i="3245"/>
  <c r="AL908" i="3245"/>
  <c r="AF909" i="3245"/>
  <c r="AG909" i="3245"/>
  <c r="AH909" i="3245"/>
  <c r="AI909" i="3245"/>
  <c r="AJ909" i="3245"/>
  <c r="AL909" i="3245"/>
  <c r="AF910" i="3245"/>
  <c r="AG910" i="3245"/>
  <c r="AH910" i="3245"/>
  <c r="AI910" i="3245"/>
  <c r="AJ910" i="3245"/>
  <c r="AL910" i="3245"/>
  <c r="AF911" i="3245"/>
  <c r="AG911" i="3245"/>
  <c r="AH911" i="3245"/>
  <c r="AI911" i="3245"/>
  <c r="AJ911" i="3245"/>
  <c r="AL911" i="3245"/>
  <c r="AF912" i="3245"/>
  <c r="AG912" i="3245"/>
  <c r="AH912" i="3245"/>
  <c r="AI912" i="3245"/>
  <c r="AJ912" i="3245"/>
  <c r="AL912" i="3245"/>
  <c r="AF913" i="3245"/>
  <c r="AG913" i="3245"/>
  <c r="AH913" i="3245"/>
  <c r="AI913" i="3245"/>
  <c r="AJ913" i="3245"/>
  <c r="AL913" i="3245"/>
  <c r="AF914" i="3245"/>
  <c r="AG914" i="3245"/>
  <c r="AH914" i="3245"/>
  <c r="AI914" i="3245"/>
  <c r="AJ914" i="3245"/>
  <c r="AL914" i="3245"/>
  <c r="AF915" i="3245"/>
  <c r="AG915" i="3245"/>
  <c r="AH915" i="3245"/>
  <c r="AI915" i="3245"/>
  <c r="AJ915" i="3245"/>
  <c r="AL915" i="3245"/>
  <c r="AF916" i="3245"/>
  <c r="AG916" i="3245"/>
  <c r="AH916" i="3245"/>
  <c r="AI916" i="3245"/>
  <c r="AJ916" i="3245"/>
  <c r="AL916" i="3245"/>
  <c r="AF917" i="3245"/>
  <c r="AG917" i="3245"/>
  <c r="AH917" i="3245"/>
  <c r="AI917" i="3245"/>
  <c r="AJ917" i="3245"/>
  <c r="AL917" i="3245"/>
  <c r="AF918" i="3245"/>
  <c r="AG918" i="3245"/>
  <c r="AH918" i="3245"/>
  <c r="AI918" i="3245"/>
  <c r="AJ918" i="3245"/>
  <c r="AL918" i="3245"/>
  <c r="AF919" i="3245"/>
  <c r="AG919" i="3245"/>
  <c r="AH919" i="3245"/>
  <c r="AI919" i="3245"/>
  <c r="AJ919" i="3245"/>
  <c r="AL919" i="3245"/>
  <c r="AF920" i="3245"/>
  <c r="AG920" i="3245"/>
  <c r="AH920" i="3245"/>
  <c r="AI920" i="3245"/>
  <c r="AJ920" i="3245"/>
  <c r="AL920" i="3245"/>
  <c r="AF921" i="3245"/>
  <c r="AG921" i="3245"/>
  <c r="AH921" i="3245"/>
  <c r="AI921" i="3245"/>
  <c r="AJ921" i="3245"/>
  <c r="AL921" i="3245"/>
  <c r="AF922" i="3245"/>
  <c r="AG922" i="3245"/>
  <c r="AH922" i="3245"/>
  <c r="AI922" i="3245"/>
  <c r="AJ922" i="3245"/>
  <c r="AL922" i="3245"/>
  <c r="AF923" i="3245"/>
  <c r="AG923" i="3245"/>
  <c r="AH923" i="3245"/>
  <c r="AI923" i="3245"/>
  <c r="AJ923" i="3245"/>
  <c r="AL923" i="3245"/>
  <c r="AF924" i="3245"/>
  <c r="AG924" i="3245"/>
  <c r="AH924" i="3245"/>
  <c r="AI924" i="3245"/>
  <c r="AJ924" i="3245"/>
  <c r="AL924" i="3245"/>
  <c r="AF925" i="3245"/>
  <c r="AG925" i="3245"/>
  <c r="AH925" i="3245"/>
  <c r="AI925" i="3245"/>
  <c r="AJ925" i="3245"/>
  <c r="AL925" i="3245"/>
  <c r="AF926" i="3245"/>
  <c r="AG926" i="3245"/>
  <c r="AH926" i="3245"/>
  <c r="AI926" i="3245"/>
  <c r="AJ926" i="3245"/>
  <c r="AL926" i="3245"/>
  <c r="AF927" i="3245"/>
  <c r="AG927" i="3245"/>
  <c r="AH927" i="3245"/>
  <c r="AI927" i="3245"/>
  <c r="AJ927" i="3245"/>
  <c r="AL927" i="3245"/>
  <c r="AF928" i="3245"/>
  <c r="AG928" i="3245"/>
  <c r="AH928" i="3245"/>
  <c r="AI928" i="3245"/>
  <c r="AJ928" i="3245"/>
  <c r="AL928" i="3245"/>
  <c r="AF929" i="3245"/>
  <c r="AG929" i="3245"/>
  <c r="AH929" i="3245"/>
  <c r="AI929" i="3245"/>
  <c r="AJ929" i="3245"/>
  <c r="AL929" i="3245"/>
  <c r="AF930" i="3245"/>
  <c r="AG930" i="3245"/>
  <c r="AH930" i="3245"/>
  <c r="AI930" i="3245"/>
  <c r="AJ930" i="3245"/>
  <c r="AL930" i="3245"/>
  <c r="AF931" i="3245"/>
  <c r="AG931" i="3245"/>
  <c r="AH931" i="3245"/>
  <c r="AI931" i="3245"/>
  <c r="AJ931" i="3245"/>
  <c r="AL931" i="3245"/>
  <c r="AF932" i="3245"/>
  <c r="AG932" i="3245"/>
  <c r="AH932" i="3245"/>
  <c r="AI932" i="3245"/>
  <c r="AJ932" i="3245"/>
  <c r="AL932" i="3245"/>
  <c r="AF933" i="3245"/>
  <c r="AG933" i="3245"/>
  <c r="AH933" i="3245"/>
  <c r="AI933" i="3245"/>
  <c r="AJ933" i="3245"/>
  <c r="AL933" i="3245"/>
  <c r="AF934" i="3245"/>
  <c r="AG934" i="3245"/>
  <c r="AH934" i="3245"/>
  <c r="AI934" i="3245"/>
  <c r="AJ934" i="3245"/>
  <c r="AL934" i="3245"/>
  <c r="AF935" i="3245"/>
  <c r="AG935" i="3245"/>
  <c r="AH935" i="3245"/>
  <c r="AI935" i="3245"/>
  <c r="AJ935" i="3245"/>
  <c r="AL935" i="3245"/>
  <c r="AF936" i="3245"/>
  <c r="AG936" i="3245"/>
  <c r="AH936" i="3245"/>
  <c r="AI936" i="3245"/>
  <c r="AJ936" i="3245"/>
  <c r="AL936" i="3245"/>
  <c r="AF937" i="3245"/>
  <c r="AG937" i="3245"/>
  <c r="AH937" i="3245"/>
  <c r="AI937" i="3245"/>
  <c r="AJ937" i="3245"/>
  <c r="AL937" i="3245"/>
  <c r="AF938" i="3245"/>
  <c r="AG938" i="3245"/>
  <c r="AH938" i="3245"/>
  <c r="AI938" i="3245"/>
  <c r="AJ938" i="3245"/>
  <c r="AL938" i="3245"/>
  <c r="AF939" i="3245"/>
  <c r="AG939" i="3245"/>
  <c r="AH939" i="3245"/>
  <c r="AI939" i="3245"/>
  <c r="AJ939" i="3245"/>
  <c r="AL939" i="3245"/>
  <c r="AF940" i="3245"/>
  <c r="AG940" i="3245"/>
  <c r="AH940" i="3245"/>
  <c r="AI940" i="3245"/>
  <c r="AJ940" i="3245"/>
  <c r="AL940" i="3245"/>
  <c r="AF941" i="3245"/>
  <c r="AG941" i="3245"/>
  <c r="AH941" i="3245"/>
  <c r="AI941" i="3245"/>
  <c r="AJ941" i="3245"/>
  <c r="AL941" i="3245"/>
  <c r="AF942" i="3245"/>
  <c r="AG942" i="3245"/>
  <c r="AH942" i="3245"/>
  <c r="AI942" i="3245"/>
  <c r="AJ942" i="3245"/>
  <c r="AL942" i="3245"/>
  <c r="AF943" i="3245"/>
  <c r="AG943" i="3245"/>
  <c r="AH943" i="3245"/>
  <c r="AI943" i="3245"/>
  <c r="AJ943" i="3245"/>
  <c r="AL943" i="3245"/>
  <c r="AF944" i="3245"/>
  <c r="AG944" i="3245"/>
  <c r="AH944" i="3245"/>
  <c r="AI944" i="3245"/>
  <c r="AJ944" i="3245"/>
  <c r="AL944" i="3245"/>
  <c r="AF945" i="3245"/>
  <c r="AG945" i="3245"/>
  <c r="AH945" i="3245"/>
  <c r="AI945" i="3245"/>
  <c r="AJ945" i="3245"/>
  <c r="AL945" i="3245"/>
  <c r="AF946" i="3245"/>
  <c r="AG946" i="3245"/>
  <c r="AH946" i="3245"/>
  <c r="AI946" i="3245"/>
  <c r="AJ946" i="3245"/>
  <c r="AL946" i="3245"/>
  <c r="AF947" i="3245"/>
  <c r="AG947" i="3245"/>
  <c r="AH947" i="3245"/>
  <c r="AI947" i="3245"/>
  <c r="AJ947" i="3245"/>
  <c r="AL947" i="3245"/>
  <c r="AF948" i="3245"/>
  <c r="AG948" i="3245"/>
  <c r="AH948" i="3245"/>
  <c r="AI948" i="3245"/>
  <c r="AJ948" i="3245"/>
  <c r="AL948" i="3245"/>
  <c r="AF949" i="3245"/>
  <c r="AG949" i="3245"/>
  <c r="AH949" i="3245"/>
  <c r="AI949" i="3245"/>
  <c r="AJ949" i="3245"/>
  <c r="AL949" i="3245"/>
  <c r="AF950" i="3245"/>
  <c r="AG950" i="3245"/>
  <c r="AH950" i="3245"/>
  <c r="AI950" i="3245"/>
  <c r="AJ950" i="3245"/>
  <c r="AL950" i="3245"/>
  <c r="AF951" i="3245"/>
  <c r="AG951" i="3245"/>
  <c r="AH951" i="3245"/>
  <c r="AI951" i="3245"/>
  <c r="AJ951" i="3245"/>
  <c r="AL951" i="3245"/>
  <c r="AF952" i="3245"/>
  <c r="AG952" i="3245"/>
  <c r="AH952" i="3245"/>
  <c r="AI952" i="3245"/>
  <c r="AJ952" i="3245"/>
  <c r="AL952" i="3245"/>
  <c r="AF953" i="3245"/>
  <c r="AG953" i="3245"/>
  <c r="AH953" i="3245"/>
  <c r="AI953" i="3245"/>
  <c r="AJ953" i="3245"/>
  <c r="AL953" i="3245"/>
  <c r="AF954" i="3245"/>
  <c r="AG954" i="3245"/>
  <c r="AH954" i="3245"/>
  <c r="AI954" i="3245"/>
  <c r="AJ954" i="3245"/>
  <c r="AL954" i="3245"/>
  <c r="AF955" i="3245"/>
  <c r="AG955" i="3245"/>
  <c r="AH955" i="3245"/>
  <c r="AI955" i="3245"/>
  <c r="AJ955" i="3245"/>
  <c r="AL955" i="3245"/>
  <c r="AF956" i="3245"/>
  <c r="AG956" i="3245"/>
  <c r="AH956" i="3245"/>
  <c r="AI956" i="3245"/>
  <c r="AJ956" i="3245"/>
  <c r="AL956" i="3245"/>
  <c r="AF957" i="3245"/>
  <c r="AG957" i="3245"/>
  <c r="AH957" i="3245"/>
  <c r="AI957" i="3245"/>
  <c r="AJ957" i="3245"/>
  <c r="AL957" i="3245"/>
  <c r="AF958" i="3245"/>
  <c r="AG958" i="3245"/>
  <c r="AH958" i="3245"/>
  <c r="AI958" i="3245"/>
  <c r="AJ958" i="3245"/>
  <c r="AL958" i="3245"/>
  <c r="AF959" i="3245"/>
  <c r="AG959" i="3245"/>
  <c r="AH959" i="3245"/>
  <c r="AI959" i="3245"/>
  <c r="AJ959" i="3245"/>
  <c r="AL959" i="3245"/>
  <c r="AF960" i="3245"/>
  <c r="AG960" i="3245"/>
  <c r="AH960" i="3245"/>
  <c r="AI960" i="3245"/>
  <c r="AJ960" i="3245"/>
  <c r="AL960" i="3245"/>
  <c r="AF961" i="3245"/>
  <c r="AG961" i="3245"/>
  <c r="AH961" i="3245"/>
  <c r="AI961" i="3245"/>
  <c r="AJ961" i="3245"/>
  <c r="AL961" i="3245"/>
  <c r="AF962" i="3245"/>
  <c r="AG962" i="3245"/>
  <c r="AH962" i="3245"/>
  <c r="AI962" i="3245"/>
  <c r="AJ962" i="3245"/>
  <c r="AL962" i="3245"/>
  <c r="AF963" i="3245"/>
  <c r="AG963" i="3245"/>
  <c r="AH963" i="3245"/>
  <c r="AI963" i="3245"/>
  <c r="AJ963" i="3245"/>
  <c r="AL963" i="3245"/>
  <c r="AF964" i="3245"/>
  <c r="AG964" i="3245"/>
  <c r="AH964" i="3245"/>
  <c r="AI964" i="3245"/>
  <c r="AJ964" i="3245"/>
  <c r="AL964" i="3245"/>
  <c r="AF965" i="3245"/>
  <c r="AG965" i="3245"/>
  <c r="AH965" i="3245"/>
  <c r="AI965" i="3245"/>
  <c r="AJ965" i="3245"/>
  <c r="AL965" i="3245"/>
  <c r="AF966" i="3245"/>
  <c r="AG966" i="3245"/>
  <c r="AH966" i="3245"/>
  <c r="AI966" i="3245"/>
  <c r="AJ966" i="3245"/>
  <c r="AL966" i="3245"/>
  <c r="AF967" i="3245"/>
  <c r="AG967" i="3245"/>
  <c r="AH967" i="3245"/>
  <c r="AI967" i="3245"/>
  <c r="AJ967" i="3245"/>
  <c r="AL967" i="3245"/>
  <c r="AF968" i="3245"/>
  <c r="AG968" i="3245"/>
  <c r="AH968" i="3245"/>
  <c r="AI968" i="3245"/>
  <c r="AJ968" i="3245"/>
  <c r="AL968" i="3245"/>
  <c r="AF969" i="3245"/>
  <c r="AG969" i="3245"/>
  <c r="AH969" i="3245"/>
  <c r="AI969" i="3245"/>
  <c r="AJ969" i="3245"/>
  <c r="AL969" i="3245"/>
  <c r="AF970" i="3245"/>
  <c r="AG970" i="3245"/>
  <c r="AH970" i="3245"/>
  <c r="AI970" i="3245"/>
  <c r="AJ970" i="3245"/>
  <c r="AL970" i="3245"/>
  <c r="AF971" i="3245"/>
  <c r="AG971" i="3245"/>
  <c r="AH971" i="3245"/>
  <c r="AI971" i="3245"/>
  <c r="AJ971" i="3245"/>
  <c r="AL971" i="3245"/>
  <c r="AF972" i="3245"/>
  <c r="AG972" i="3245"/>
  <c r="AH972" i="3245"/>
  <c r="AI972" i="3245"/>
  <c r="AJ972" i="3245"/>
  <c r="AL972" i="3245"/>
  <c r="AF973" i="3245"/>
  <c r="AG973" i="3245"/>
  <c r="AH973" i="3245"/>
  <c r="AI973" i="3245"/>
  <c r="AJ973" i="3245"/>
  <c r="AL973" i="3245"/>
  <c r="AF974" i="3245"/>
  <c r="AG974" i="3245"/>
  <c r="AH974" i="3245"/>
  <c r="AI974" i="3245"/>
  <c r="AJ974" i="3245"/>
  <c r="AL974" i="3245"/>
  <c r="AF975" i="3245"/>
  <c r="AG975" i="3245"/>
  <c r="AH975" i="3245"/>
  <c r="AI975" i="3245"/>
  <c r="AJ975" i="3245"/>
  <c r="AL975" i="3245"/>
  <c r="AF976" i="3245"/>
  <c r="AG976" i="3245"/>
  <c r="AH976" i="3245"/>
  <c r="AI976" i="3245"/>
  <c r="AJ976" i="3245"/>
  <c r="AL976" i="3245"/>
  <c r="AF977" i="3245"/>
  <c r="AG977" i="3245"/>
  <c r="AH977" i="3245"/>
  <c r="AI977" i="3245"/>
  <c r="AJ977" i="3245"/>
  <c r="AL977" i="3245"/>
  <c r="AF978" i="3245"/>
  <c r="AG978" i="3245"/>
  <c r="AH978" i="3245"/>
  <c r="AI978" i="3245"/>
  <c r="AJ978" i="3245"/>
  <c r="AL978" i="3245"/>
  <c r="AF979" i="3245"/>
  <c r="AG979" i="3245"/>
  <c r="AH979" i="3245"/>
  <c r="AI979" i="3245"/>
  <c r="AJ979" i="3245"/>
  <c r="AL979" i="3245"/>
  <c r="AF980" i="3245"/>
  <c r="AG980" i="3245"/>
  <c r="AH980" i="3245"/>
  <c r="AI980" i="3245"/>
  <c r="AJ980" i="3245"/>
  <c r="AL980" i="3245"/>
  <c r="AF981" i="3245"/>
  <c r="AG981" i="3245"/>
  <c r="AH981" i="3245"/>
  <c r="AI981" i="3245"/>
  <c r="AJ981" i="3245"/>
  <c r="AL981" i="3245"/>
  <c r="AF982" i="3245"/>
  <c r="AG982" i="3245"/>
  <c r="AH982" i="3245"/>
  <c r="AI982" i="3245"/>
  <c r="AJ982" i="3245"/>
  <c r="AL982" i="3245"/>
  <c r="AF983" i="3245"/>
  <c r="AG983" i="3245"/>
  <c r="AH983" i="3245"/>
  <c r="AI983" i="3245"/>
  <c r="AJ983" i="3245"/>
  <c r="AL983" i="3245"/>
  <c r="AF984" i="3245"/>
  <c r="AG984" i="3245"/>
  <c r="AH984" i="3245"/>
  <c r="AI984" i="3245"/>
  <c r="AJ984" i="3245"/>
  <c r="AL984" i="3245"/>
  <c r="AF985" i="3245"/>
  <c r="AG985" i="3245"/>
  <c r="AH985" i="3245"/>
  <c r="AI985" i="3245"/>
  <c r="AJ985" i="3245"/>
  <c r="AL985" i="3245"/>
  <c r="AF986" i="3245"/>
  <c r="AG986" i="3245"/>
  <c r="AH986" i="3245"/>
  <c r="AI986" i="3245"/>
  <c r="AJ986" i="3245"/>
  <c r="AL986" i="3245"/>
  <c r="AF987" i="3245"/>
  <c r="AG987" i="3245"/>
  <c r="AH987" i="3245"/>
  <c r="AI987" i="3245"/>
  <c r="AJ987" i="3245"/>
  <c r="AL987" i="3245"/>
  <c r="AF988" i="3245"/>
  <c r="AG988" i="3245"/>
  <c r="AH988" i="3245"/>
  <c r="AI988" i="3245"/>
  <c r="AJ988" i="3245"/>
  <c r="AL988" i="3245"/>
  <c r="AF989" i="3245"/>
  <c r="AG989" i="3245"/>
  <c r="AH989" i="3245"/>
  <c r="AI989" i="3245"/>
  <c r="AJ989" i="3245"/>
  <c r="AL989" i="3245"/>
  <c r="AF990" i="3245"/>
  <c r="AG990" i="3245"/>
  <c r="AH990" i="3245"/>
  <c r="AI990" i="3245"/>
  <c r="AJ990" i="3245"/>
  <c r="AL990" i="3245"/>
  <c r="AF991" i="3245"/>
  <c r="AG991" i="3245"/>
  <c r="AH991" i="3245"/>
  <c r="AI991" i="3245"/>
  <c r="AJ991" i="3245"/>
  <c r="AL991" i="3245"/>
  <c r="AF992" i="3245"/>
  <c r="AG992" i="3245"/>
  <c r="AH992" i="3245"/>
  <c r="AI992" i="3245"/>
  <c r="AJ992" i="3245"/>
  <c r="AL992" i="3245"/>
  <c r="AF993" i="3245"/>
  <c r="AG993" i="3245"/>
  <c r="AH993" i="3245"/>
  <c r="AI993" i="3245"/>
  <c r="AJ993" i="3245"/>
  <c r="AL993" i="3245"/>
  <c r="AF994" i="3245"/>
  <c r="AG994" i="3245"/>
  <c r="AH994" i="3245"/>
  <c r="AI994" i="3245"/>
  <c r="AJ994" i="3245"/>
  <c r="AL994" i="3245"/>
  <c r="AF995" i="3245"/>
  <c r="AG995" i="3245"/>
  <c r="AH995" i="3245"/>
  <c r="AI995" i="3245"/>
  <c r="AJ995" i="3245"/>
  <c r="AL995" i="3245"/>
  <c r="AF996" i="3245"/>
  <c r="AG996" i="3245"/>
  <c r="AH996" i="3245"/>
  <c r="AI996" i="3245"/>
  <c r="AJ996" i="3245"/>
  <c r="AL996" i="3245"/>
  <c r="AF997" i="3245"/>
  <c r="AG997" i="3245"/>
  <c r="AH997" i="3245"/>
  <c r="AI997" i="3245"/>
  <c r="AJ997" i="3245"/>
  <c r="AL997" i="3245"/>
  <c r="AF998" i="3245"/>
  <c r="AG998" i="3245"/>
  <c r="AH998" i="3245"/>
  <c r="AI998" i="3245"/>
  <c r="AJ998" i="3245"/>
  <c r="AL998" i="3245"/>
  <c r="AF999" i="3245"/>
  <c r="AG999" i="3245"/>
  <c r="AH999" i="3245"/>
  <c r="AI999" i="3245"/>
  <c r="AJ999" i="3245"/>
  <c r="AL999" i="3245"/>
  <c r="AF1000" i="3245"/>
  <c r="AG1000" i="3245"/>
  <c r="AH1000" i="3245"/>
  <c r="AI1000" i="3245"/>
  <c r="AJ1000" i="3245"/>
  <c r="AL1000" i="3245"/>
  <c r="AF1001" i="3245"/>
  <c r="AG1001" i="3245"/>
  <c r="AH1001" i="3245"/>
  <c r="AI1001" i="3245"/>
  <c r="AJ1001" i="3245"/>
  <c r="AL1001" i="3245"/>
  <c r="AF1002" i="3245"/>
  <c r="AG1002" i="3245"/>
  <c r="AH1002" i="3245"/>
  <c r="AI1002" i="3245"/>
  <c r="AJ1002" i="3245"/>
  <c r="AL1002" i="3245"/>
  <c r="AF1003" i="3245"/>
  <c r="AG1003" i="3245"/>
  <c r="AH1003" i="3245"/>
  <c r="AI1003" i="3245"/>
  <c r="AJ1003" i="3245"/>
  <c r="AL1003" i="3245"/>
  <c r="AF1004" i="3245"/>
  <c r="AG1004" i="3245"/>
  <c r="AH1004" i="3245"/>
  <c r="AI1004" i="3245"/>
  <c r="AJ1004" i="3245"/>
  <c r="AL1004" i="3245"/>
  <c r="AF1005" i="3245"/>
  <c r="AG1005" i="3245"/>
  <c r="AH1005" i="3245"/>
  <c r="AI1005" i="3245"/>
  <c r="AJ1005" i="3245"/>
  <c r="AL1005" i="3245"/>
  <c r="AF1006" i="3245"/>
  <c r="AG1006" i="3245"/>
  <c r="AH1006" i="3245"/>
  <c r="AI1006" i="3245"/>
  <c r="AJ1006" i="3245"/>
  <c r="AL1006" i="3245"/>
  <c r="AF1007" i="3245"/>
  <c r="AG1007" i="3245"/>
  <c r="AH1007" i="3245"/>
  <c r="AI1007" i="3245"/>
  <c r="AJ1007" i="3245"/>
  <c r="AL1007" i="3245"/>
  <c r="AF1008" i="3245"/>
  <c r="AG1008" i="3245"/>
  <c r="AH1008" i="3245"/>
  <c r="AI1008" i="3245"/>
  <c r="AJ1008" i="3245"/>
  <c r="AL1008" i="3245"/>
  <c r="AF1009" i="3245"/>
  <c r="AG1009" i="3245"/>
  <c r="AH1009" i="3245"/>
  <c r="AI1009" i="3245"/>
  <c r="AJ1009" i="3245"/>
  <c r="AL1009" i="3245"/>
  <c r="AF1010" i="3245"/>
  <c r="AG1010" i="3245"/>
  <c r="AH1010" i="3245"/>
  <c r="AI1010" i="3245"/>
  <c r="AJ1010" i="3245"/>
  <c r="AL1010" i="3245"/>
  <c r="AF1011" i="3245"/>
  <c r="AG1011" i="3245"/>
  <c r="AH1011" i="3245"/>
  <c r="AI1011" i="3245"/>
  <c r="AJ1011" i="3245"/>
  <c r="AL1011" i="3245"/>
  <c r="AF1012" i="3245"/>
  <c r="AG1012" i="3245"/>
  <c r="AH1012" i="3245"/>
  <c r="AI1012" i="3245"/>
  <c r="AJ1012" i="3245"/>
  <c r="AL1012" i="3245"/>
  <c r="AF1013" i="3245"/>
  <c r="AG1013" i="3245"/>
  <c r="AH1013" i="3245"/>
  <c r="AI1013" i="3245"/>
  <c r="AJ1013" i="3245"/>
  <c r="AL1013" i="3245"/>
  <c r="AF1014" i="3245"/>
  <c r="AG1014" i="3245"/>
  <c r="AH1014" i="3245"/>
  <c r="AI1014" i="3245"/>
  <c r="AJ1014" i="3245"/>
  <c r="AL1014" i="3245"/>
  <c r="AF1015" i="3245"/>
  <c r="AG1015" i="3245"/>
  <c r="AH1015" i="3245"/>
  <c r="AI1015" i="3245"/>
  <c r="AJ1015" i="3245"/>
  <c r="AL1015" i="3245"/>
  <c r="AF1016" i="3245"/>
  <c r="AG1016" i="3245"/>
  <c r="AH1016" i="3245"/>
  <c r="AI1016" i="3245"/>
  <c r="AJ1016" i="3245"/>
  <c r="AL1016" i="3245"/>
  <c r="AF1017" i="3245"/>
  <c r="AG1017" i="3245"/>
  <c r="AH1017" i="3245"/>
  <c r="AI1017" i="3245"/>
  <c r="AJ1017" i="3245"/>
  <c r="AL1017" i="3245"/>
  <c r="AF1018" i="3245"/>
  <c r="AG1018" i="3245"/>
  <c r="AH1018" i="3245"/>
  <c r="AI1018" i="3245"/>
  <c r="AJ1018" i="3245"/>
  <c r="AL1018" i="3245"/>
  <c r="AF1019" i="3245"/>
  <c r="AG1019" i="3245"/>
  <c r="AH1019" i="3245"/>
  <c r="AI1019" i="3245"/>
  <c r="AJ1019" i="3245"/>
  <c r="AL1019" i="3245"/>
  <c r="AF1020" i="3245"/>
  <c r="AG1020" i="3245"/>
  <c r="AH1020" i="3245"/>
  <c r="AI1020" i="3245"/>
  <c r="AJ1020" i="3245"/>
  <c r="AL1020" i="3245"/>
  <c r="AF1021" i="3245"/>
  <c r="AG1021" i="3245"/>
  <c r="AH1021" i="3245"/>
  <c r="AI1021" i="3245"/>
  <c r="AJ1021" i="3245"/>
  <c r="AL1021" i="3245"/>
  <c r="AF1022" i="3245"/>
  <c r="AG1022" i="3245"/>
  <c r="AH1022" i="3245"/>
  <c r="AI1022" i="3245"/>
  <c r="AJ1022" i="3245"/>
  <c r="AL1022" i="3245"/>
  <c r="AF1023" i="3245"/>
  <c r="AG1023" i="3245"/>
  <c r="AH1023" i="3245"/>
  <c r="AI1023" i="3245"/>
  <c r="AJ1023" i="3245"/>
  <c r="AL1023" i="3245"/>
  <c r="AF1024" i="3245"/>
  <c r="AG1024" i="3245"/>
  <c r="AH1024" i="3245"/>
  <c r="AI1024" i="3245"/>
  <c r="AJ1024" i="3245"/>
  <c r="AL1024" i="3245"/>
  <c r="AF1025" i="3245"/>
  <c r="AG1025" i="3245"/>
  <c r="AH1025" i="3245"/>
  <c r="AI1025" i="3245"/>
  <c r="AJ1025" i="3245"/>
  <c r="AL1025" i="3245"/>
  <c r="AF1026" i="3245"/>
  <c r="AG1026" i="3245"/>
  <c r="AH1026" i="3245"/>
  <c r="AI1026" i="3245"/>
  <c r="AJ1026" i="3245"/>
  <c r="AL1026" i="3245"/>
  <c r="AF1027" i="3245"/>
  <c r="AG1027" i="3245"/>
  <c r="AH1027" i="3245"/>
  <c r="AI1027" i="3245"/>
  <c r="AJ1027" i="3245"/>
  <c r="AL1027" i="3245"/>
  <c r="AF1028" i="3245"/>
  <c r="AG1028" i="3245"/>
  <c r="AH1028" i="3245"/>
  <c r="AI1028" i="3245"/>
  <c r="AJ1028" i="3245"/>
  <c r="AL1028" i="3245"/>
  <c r="AF1029" i="3245"/>
  <c r="AG1029" i="3245"/>
  <c r="AH1029" i="3245"/>
  <c r="AI1029" i="3245"/>
  <c r="AJ1029" i="3245"/>
  <c r="AL1029" i="3245"/>
  <c r="AF1030" i="3245"/>
  <c r="AG1030" i="3245"/>
  <c r="AH1030" i="3245"/>
  <c r="AI1030" i="3245"/>
  <c r="AJ1030" i="3245"/>
  <c r="AL1030" i="3245"/>
  <c r="AF1031" i="3245"/>
  <c r="AG1031" i="3245"/>
  <c r="AH1031" i="3245"/>
  <c r="AI1031" i="3245"/>
  <c r="AJ1031" i="3245"/>
  <c r="AL1031" i="3245"/>
  <c r="AF1032" i="3245"/>
  <c r="AG1032" i="3245"/>
  <c r="AH1032" i="3245"/>
  <c r="AI1032" i="3245"/>
  <c r="AJ1032" i="3245"/>
  <c r="AL1032" i="3245"/>
  <c r="AF1033" i="3245"/>
  <c r="AG1033" i="3245"/>
  <c r="AH1033" i="3245"/>
  <c r="AI1033" i="3245"/>
  <c r="AJ1033" i="3245"/>
  <c r="AL1033" i="3245"/>
  <c r="AF1034" i="3245"/>
  <c r="AG1034" i="3245"/>
  <c r="AH1034" i="3245"/>
  <c r="AI1034" i="3245"/>
  <c r="AJ1034" i="3245"/>
  <c r="AL1034" i="3245"/>
  <c r="AF1035" i="3245"/>
  <c r="AG1035" i="3245"/>
  <c r="AH1035" i="3245"/>
  <c r="AI1035" i="3245"/>
  <c r="AJ1035" i="3245"/>
  <c r="AL1035" i="3245"/>
  <c r="AF1036" i="3245"/>
  <c r="AG1036" i="3245"/>
  <c r="AH1036" i="3245"/>
  <c r="AI1036" i="3245"/>
  <c r="AJ1036" i="3245"/>
  <c r="AL1036" i="3245"/>
  <c r="AF1037" i="3245"/>
  <c r="AG1037" i="3245"/>
  <c r="AH1037" i="3245"/>
  <c r="AI1037" i="3245"/>
  <c r="AJ1037" i="3245"/>
  <c r="AL1037" i="3245"/>
  <c r="AF1038" i="3245"/>
  <c r="AG1038" i="3245"/>
  <c r="AH1038" i="3245"/>
  <c r="AI1038" i="3245"/>
  <c r="AJ1038" i="3245"/>
  <c r="AL1038" i="3245"/>
  <c r="AF1039" i="3245"/>
  <c r="AG1039" i="3245"/>
  <c r="AH1039" i="3245"/>
  <c r="AI1039" i="3245"/>
  <c r="AJ1039" i="3245"/>
  <c r="AL1039" i="3245"/>
  <c r="AF1040" i="3245"/>
  <c r="AG1040" i="3245"/>
  <c r="AH1040" i="3245"/>
  <c r="AI1040" i="3245"/>
  <c r="AJ1040" i="3245"/>
  <c r="AL1040" i="3245"/>
  <c r="AF1041" i="3245"/>
  <c r="AG1041" i="3245"/>
  <c r="AH1041" i="3245"/>
  <c r="AI1041" i="3245"/>
  <c r="AJ1041" i="3245"/>
  <c r="AL1041" i="3245"/>
  <c r="AF1042" i="3245"/>
  <c r="AG1042" i="3245"/>
  <c r="AH1042" i="3245"/>
  <c r="AI1042" i="3245"/>
  <c r="AJ1042" i="3245"/>
  <c r="AL1042" i="3245"/>
  <c r="AF1043" i="3245"/>
  <c r="AG1043" i="3245"/>
  <c r="AH1043" i="3245"/>
  <c r="AI1043" i="3245"/>
  <c r="AJ1043" i="3245"/>
  <c r="AL1043" i="3245"/>
  <c r="AF1044" i="3245"/>
  <c r="AG1044" i="3245"/>
  <c r="AH1044" i="3245"/>
  <c r="AI1044" i="3245"/>
  <c r="AJ1044" i="3245"/>
  <c r="AL1044" i="3245"/>
  <c r="AF1045" i="3245"/>
  <c r="AG1045" i="3245"/>
  <c r="AH1045" i="3245"/>
  <c r="AI1045" i="3245"/>
  <c r="AJ1045" i="3245"/>
  <c r="AL1045" i="3245"/>
  <c r="AF1046" i="3245"/>
  <c r="AG1046" i="3245"/>
  <c r="AH1046" i="3245"/>
  <c r="AI1046" i="3245"/>
  <c r="AJ1046" i="3245"/>
  <c r="AL1046" i="3245"/>
  <c r="AF1047" i="3245"/>
  <c r="AG1047" i="3245"/>
  <c r="AH1047" i="3245"/>
  <c r="AI1047" i="3245"/>
  <c r="AJ1047" i="3245"/>
  <c r="AL1047" i="3245"/>
  <c r="AF1048" i="3245"/>
  <c r="AG1048" i="3245"/>
  <c r="AH1048" i="3245"/>
  <c r="AI1048" i="3245"/>
  <c r="AJ1048" i="3245"/>
  <c r="AL1048" i="3245"/>
  <c r="AF1049" i="3245"/>
  <c r="AG1049" i="3245"/>
  <c r="AH1049" i="3245"/>
  <c r="AI1049" i="3245"/>
  <c r="AJ1049" i="3245"/>
  <c r="AL1049" i="3245"/>
  <c r="AF1050" i="3245"/>
  <c r="AG1050" i="3245"/>
  <c r="AH1050" i="3245"/>
  <c r="AI1050" i="3245"/>
  <c r="AJ1050" i="3245"/>
  <c r="AL1050" i="3245"/>
  <c r="AF1051" i="3245"/>
  <c r="AG1051" i="3245"/>
  <c r="AH1051" i="3245"/>
  <c r="AI1051" i="3245"/>
  <c r="AJ1051" i="3245"/>
  <c r="AL1051" i="3245"/>
  <c r="AF1052" i="3245"/>
  <c r="AG1052" i="3245"/>
  <c r="AH1052" i="3245"/>
  <c r="AI1052" i="3245"/>
  <c r="AJ1052" i="3245"/>
  <c r="AL1052" i="3245"/>
  <c r="AF1053" i="3245"/>
  <c r="AG1053" i="3245"/>
  <c r="AH1053" i="3245"/>
  <c r="AI1053" i="3245"/>
  <c r="AJ1053" i="3245"/>
  <c r="AL1053" i="3245"/>
  <c r="AF1054" i="3245"/>
  <c r="AG1054" i="3245"/>
  <c r="AH1054" i="3245"/>
  <c r="AI1054" i="3245"/>
  <c r="AJ1054" i="3245"/>
  <c r="AL1054" i="3245"/>
  <c r="AF1055" i="3245"/>
  <c r="AG1055" i="3245"/>
  <c r="AH1055" i="3245"/>
  <c r="AI1055" i="3245"/>
  <c r="AJ1055" i="3245"/>
  <c r="AL1055" i="3245"/>
  <c r="AF1056" i="3245"/>
  <c r="AG1056" i="3245"/>
  <c r="AH1056" i="3245"/>
  <c r="AI1056" i="3245"/>
  <c r="AJ1056" i="3245"/>
  <c r="AL1056" i="3245"/>
  <c r="AF1057" i="3245"/>
  <c r="AG1057" i="3245"/>
  <c r="AH1057" i="3245"/>
  <c r="AI1057" i="3245"/>
  <c r="AJ1057" i="3245"/>
  <c r="AL1057" i="3245"/>
  <c r="AF1058" i="3245"/>
  <c r="AG1058" i="3245"/>
  <c r="AH1058" i="3245"/>
  <c r="AI1058" i="3245"/>
  <c r="AJ1058" i="3245"/>
  <c r="AL1058" i="3245"/>
  <c r="AF1059" i="3245"/>
  <c r="AG1059" i="3245"/>
  <c r="AH1059" i="3245"/>
  <c r="AI1059" i="3245"/>
  <c r="AJ1059" i="3245"/>
  <c r="AL1059" i="3245"/>
  <c r="AF1060" i="3245"/>
  <c r="AG1060" i="3245"/>
  <c r="AH1060" i="3245"/>
  <c r="AI1060" i="3245"/>
  <c r="AJ1060" i="3245"/>
  <c r="AL1060" i="3245"/>
  <c r="AF1061" i="3245"/>
  <c r="AG1061" i="3245"/>
  <c r="AH1061" i="3245"/>
  <c r="AI1061" i="3245"/>
  <c r="AJ1061" i="3245"/>
  <c r="AL1061" i="3245"/>
  <c r="AF1062" i="3245"/>
  <c r="AG1062" i="3245"/>
  <c r="AH1062" i="3245"/>
  <c r="AI1062" i="3245"/>
  <c r="AJ1062" i="3245"/>
  <c r="AL1062" i="3245"/>
  <c r="AF1063" i="3245"/>
  <c r="AG1063" i="3245"/>
  <c r="AH1063" i="3245"/>
  <c r="AI1063" i="3245"/>
  <c r="AJ1063" i="3245"/>
  <c r="AL1063" i="3245"/>
  <c r="AF1064" i="3245"/>
  <c r="AG1064" i="3245"/>
  <c r="AH1064" i="3245"/>
  <c r="AI1064" i="3245"/>
  <c r="AJ1064" i="3245"/>
  <c r="AL1064" i="3245"/>
  <c r="AF1065" i="3245"/>
  <c r="AG1065" i="3245"/>
  <c r="AH1065" i="3245"/>
  <c r="AI1065" i="3245"/>
  <c r="AJ1065" i="3245"/>
  <c r="AL1065" i="3245"/>
  <c r="AF1066" i="3245"/>
  <c r="AG1066" i="3245"/>
  <c r="AH1066" i="3245"/>
  <c r="AI1066" i="3245"/>
  <c r="AJ1066" i="3245"/>
  <c r="AL1066" i="3245"/>
  <c r="AF1067" i="3245"/>
  <c r="AG1067" i="3245"/>
  <c r="AH1067" i="3245"/>
  <c r="AI1067" i="3245"/>
  <c r="AJ1067" i="3245"/>
  <c r="AL1067" i="3245"/>
  <c r="AF1068" i="3245"/>
  <c r="AG1068" i="3245"/>
  <c r="AH1068" i="3245"/>
  <c r="AI1068" i="3245"/>
  <c r="AJ1068" i="3245"/>
  <c r="AL1068" i="3245"/>
  <c r="AF1069" i="3245"/>
  <c r="AG1069" i="3245"/>
  <c r="AH1069" i="3245"/>
  <c r="AI1069" i="3245"/>
  <c r="AJ1069" i="3245"/>
  <c r="AL1069" i="3245"/>
  <c r="AF1070" i="3245"/>
  <c r="AG1070" i="3245"/>
  <c r="AH1070" i="3245"/>
  <c r="AI1070" i="3245"/>
  <c r="AJ1070" i="3245"/>
  <c r="AL1070" i="3245"/>
  <c r="AF1071" i="3245"/>
  <c r="AG1071" i="3245"/>
  <c r="AH1071" i="3245"/>
  <c r="AI1071" i="3245"/>
  <c r="AJ1071" i="3245"/>
  <c r="AL1071" i="3245"/>
  <c r="AF1072" i="3245"/>
  <c r="AG1072" i="3245"/>
  <c r="AH1072" i="3245"/>
  <c r="AI1072" i="3245"/>
  <c r="AJ1072" i="3245"/>
  <c r="AL1072" i="3245"/>
  <c r="AF1073" i="3245"/>
  <c r="AG1073" i="3245"/>
  <c r="AH1073" i="3245"/>
  <c r="AI1073" i="3245"/>
  <c r="AJ1073" i="3245"/>
  <c r="AL1073" i="3245"/>
  <c r="AF1074" i="3245"/>
  <c r="AG1074" i="3245"/>
  <c r="AH1074" i="3245"/>
  <c r="AI1074" i="3245"/>
  <c r="AJ1074" i="3245"/>
  <c r="AL1074" i="3245"/>
  <c r="AF1075" i="3245"/>
  <c r="AG1075" i="3245"/>
  <c r="AH1075" i="3245"/>
  <c r="AI1075" i="3245"/>
  <c r="AJ1075" i="3245"/>
  <c r="AL1075" i="3245"/>
  <c r="AF1076" i="3245"/>
  <c r="AG1076" i="3245"/>
  <c r="AH1076" i="3245"/>
  <c r="AI1076" i="3245"/>
  <c r="AJ1076" i="3245"/>
  <c r="AL1076" i="3245"/>
  <c r="AF1077" i="3245"/>
  <c r="AG1077" i="3245"/>
  <c r="AH1077" i="3245"/>
  <c r="AI1077" i="3245"/>
  <c r="AJ1077" i="3245"/>
  <c r="AL1077" i="3245"/>
  <c r="AF1078" i="3245"/>
  <c r="AG1078" i="3245"/>
  <c r="AH1078" i="3245"/>
  <c r="AI1078" i="3245"/>
  <c r="AJ1078" i="3245"/>
  <c r="AL1078" i="3245"/>
  <c r="AF1079" i="3245"/>
  <c r="AG1079" i="3245"/>
  <c r="AH1079" i="3245"/>
  <c r="AI1079" i="3245"/>
  <c r="AJ1079" i="3245"/>
  <c r="AL1079" i="3245"/>
  <c r="AF1080" i="3245"/>
  <c r="AG1080" i="3245"/>
  <c r="AH1080" i="3245"/>
  <c r="AI1080" i="3245"/>
  <c r="AJ1080" i="3245"/>
  <c r="AL1080" i="3245"/>
  <c r="AF1081" i="3245"/>
  <c r="AG1081" i="3245"/>
  <c r="AH1081" i="3245"/>
  <c r="AI1081" i="3245"/>
  <c r="AJ1081" i="3245"/>
  <c r="AL1081" i="3245"/>
  <c r="AF1082" i="3245"/>
  <c r="AG1082" i="3245"/>
  <c r="AH1082" i="3245"/>
  <c r="AI1082" i="3245"/>
  <c r="AJ1082" i="3245"/>
  <c r="AL1082" i="3245"/>
  <c r="AF1083" i="3245"/>
  <c r="AG1083" i="3245"/>
  <c r="AH1083" i="3245"/>
  <c r="AI1083" i="3245"/>
  <c r="AJ1083" i="3245"/>
  <c r="AL1083" i="3245"/>
  <c r="AF1084" i="3245"/>
  <c r="AG1084" i="3245"/>
  <c r="AH1084" i="3245"/>
  <c r="AI1084" i="3245"/>
  <c r="AJ1084" i="3245"/>
  <c r="AL1084" i="3245"/>
  <c r="AF1085" i="3245"/>
  <c r="AG1085" i="3245"/>
  <c r="AH1085" i="3245"/>
  <c r="AI1085" i="3245"/>
  <c r="AJ1085" i="3245"/>
  <c r="AL1085" i="3245"/>
  <c r="AF1086" i="3245"/>
  <c r="AG1086" i="3245"/>
  <c r="AH1086" i="3245"/>
  <c r="AI1086" i="3245"/>
  <c r="AJ1086" i="3245"/>
  <c r="AL1086" i="3245"/>
  <c r="AF1087" i="3245"/>
  <c r="AG1087" i="3245"/>
  <c r="AH1087" i="3245"/>
  <c r="AI1087" i="3245"/>
  <c r="AJ1087" i="3245"/>
  <c r="AL1087" i="3245"/>
  <c r="AF1088" i="3245"/>
  <c r="AG1088" i="3245"/>
  <c r="AH1088" i="3245"/>
  <c r="AI1088" i="3245"/>
  <c r="AJ1088" i="3245"/>
  <c r="AL1088" i="3245"/>
  <c r="AF1089" i="3245"/>
  <c r="AG1089" i="3245"/>
  <c r="AH1089" i="3245"/>
  <c r="AI1089" i="3245"/>
  <c r="AJ1089" i="3245"/>
  <c r="AL1089" i="3245"/>
  <c r="AF1090" i="3245"/>
  <c r="AG1090" i="3245"/>
  <c r="AH1090" i="3245"/>
  <c r="AI1090" i="3245"/>
  <c r="AJ1090" i="3245"/>
  <c r="AL1090" i="3245"/>
  <c r="AF1091" i="3245"/>
  <c r="AG1091" i="3245"/>
  <c r="AH1091" i="3245"/>
  <c r="AI1091" i="3245"/>
  <c r="AJ1091" i="3245"/>
  <c r="AL1091" i="3245"/>
  <c r="AF1092" i="3245"/>
  <c r="AG1092" i="3245"/>
  <c r="AH1092" i="3245"/>
  <c r="AI1092" i="3245"/>
  <c r="AJ1092" i="3245"/>
  <c r="AL1092" i="3245"/>
  <c r="AF1093" i="3245"/>
  <c r="AG1093" i="3245"/>
  <c r="AH1093" i="3245"/>
  <c r="AI1093" i="3245"/>
  <c r="AJ1093" i="3245"/>
  <c r="AL1093" i="3245"/>
  <c r="AF1094" i="3245"/>
  <c r="AG1094" i="3245"/>
  <c r="AH1094" i="3245"/>
  <c r="AI1094" i="3245"/>
  <c r="AJ1094" i="3245"/>
  <c r="AL1094" i="3245"/>
  <c r="AF1095" i="3245"/>
  <c r="AG1095" i="3245"/>
  <c r="AH1095" i="3245"/>
  <c r="AI1095" i="3245"/>
  <c r="AJ1095" i="3245"/>
  <c r="AL1095" i="3245"/>
  <c r="AF1096" i="3245"/>
  <c r="AG1096" i="3245"/>
  <c r="AH1096" i="3245"/>
  <c r="AI1096" i="3245"/>
  <c r="AJ1096" i="3245"/>
  <c r="AL1096" i="3245"/>
  <c r="AF1097" i="3245"/>
  <c r="AG1097" i="3245"/>
  <c r="AH1097" i="3245"/>
  <c r="AI1097" i="3245"/>
  <c r="AJ1097" i="3245"/>
  <c r="AL1097" i="3245"/>
  <c r="AF1098" i="3245"/>
  <c r="AG1098" i="3245"/>
  <c r="AH1098" i="3245"/>
  <c r="AI1098" i="3245"/>
  <c r="AJ1098" i="3245"/>
  <c r="AL1098" i="3245"/>
  <c r="AF1099" i="3245"/>
  <c r="AG1099" i="3245"/>
  <c r="AH1099" i="3245"/>
  <c r="AI1099" i="3245"/>
  <c r="AJ1099" i="3245"/>
  <c r="AL1099" i="3245"/>
  <c r="AF1100" i="3245"/>
  <c r="AG1100" i="3245"/>
  <c r="AH1100" i="3245"/>
  <c r="AI1100" i="3245"/>
  <c r="AJ1100" i="3245"/>
  <c r="AL1100" i="3245"/>
  <c r="B2" i="3250"/>
  <c r="AI5" i="3250" s="1"/>
  <c r="M2" i="3250"/>
  <c r="O2" i="3250"/>
  <c r="R2" i="3250"/>
  <c r="U2" i="3250"/>
  <c r="V2" i="3250" s="1"/>
  <c r="W2" i="3250" s="1"/>
  <c r="X2" i="3250" s="1"/>
  <c r="Y2" i="3250" s="1"/>
  <c r="Z2" i="3250" s="1"/>
  <c r="AA2" i="3250" s="1"/>
  <c r="AB2" i="3250" s="1"/>
  <c r="AC2" i="3250" s="1"/>
  <c r="B3" i="3250"/>
  <c r="M3" i="3250"/>
  <c r="O3" i="3250"/>
  <c r="S3" i="3250"/>
  <c r="T3" i="3250"/>
  <c r="T19" i="3250" s="1"/>
  <c r="U3" i="3250"/>
  <c r="U19" i="3250" s="1"/>
  <c r="V3" i="3250"/>
  <c r="V19" i="3250" s="1"/>
  <c r="W3" i="3250"/>
  <c r="W19" i="3250" s="1"/>
  <c r="X3" i="3250"/>
  <c r="X19" i="3250" s="1"/>
  <c r="Y3" i="3250"/>
  <c r="Y19" i="3250" s="1"/>
  <c r="Z3" i="3250"/>
  <c r="Z19" i="3250" s="1"/>
  <c r="AA3" i="3250"/>
  <c r="AA8" i="3250" s="1"/>
  <c r="AB3" i="3250"/>
  <c r="AB8" i="3250" s="1"/>
  <c r="AC3" i="3250"/>
  <c r="AC8" i="3250" s="1"/>
  <c r="B4" i="3250"/>
  <c r="D4" i="3250"/>
  <c r="M4" i="3250"/>
  <c r="O4" i="3250"/>
  <c r="R4" i="3250"/>
  <c r="B5" i="3250"/>
  <c r="D5" i="3250"/>
  <c r="M5" i="3250"/>
  <c r="O5" i="3250"/>
  <c r="B11" i="3250"/>
  <c r="P5" i="3250"/>
  <c r="R5" i="3250"/>
  <c r="S5" i="3250"/>
  <c r="T5" i="3250"/>
  <c r="U5" i="3250"/>
  <c r="V5" i="3250"/>
  <c r="W5" i="3250"/>
  <c r="X5" i="3250"/>
  <c r="Y5" i="3250"/>
  <c r="Z5" i="3250"/>
  <c r="AA5" i="3250"/>
  <c r="AB5" i="3250"/>
  <c r="AC5" i="3250"/>
  <c r="AJ5" i="3250"/>
  <c r="B6" i="3250"/>
  <c r="D6" i="3250"/>
  <c r="M6" i="3250"/>
  <c r="O6" i="3250"/>
  <c r="R6" i="3250"/>
  <c r="S6" i="3250"/>
  <c r="T6" i="3250"/>
  <c r="U6" i="3250"/>
  <c r="V6" i="3250"/>
  <c r="W6" i="3250"/>
  <c r="X6" i="3250"/>
  <c r="Y6" i="3250"/>
  <c r="Z6" i="3250"/>
  <c r="AA6" i="3250"/>
  <c r="AB6" i="3250"/>
  <c r="AC6" i="3250"/>
  <c r="AF6" i="3250"/>
  <c r="AG6" i="3250"/>
  <c r="AH6" i="3250"/>
  <c r="AI6" i="3250"/>
  <c r="AJ6" i="3250"/>
  <c r="AL6" i="3250"/>
  <c r="B7" i="3250"/>
  <c r="D7" i="3250"/>
  <c r="M7" i="3250"/>
  <c r="O7" i="3250"/>
  <c r="R7" i="3250"/>
  <c r="S7" i="3250"/>
  <c r="T7" i="3250"/>
  <c r="U7" i="3250"/>
  <c r="V7" i="3250"/>
  <c r="W7" i="3250"/>
  <c r="X7" i="3250"/>
  <c r="Y7" i="3250"/>
  <c r="Z7" i="3250"/>
  <c r="AA7" i="3250"/>
  <c r="AB7" i="3250"/>
  <c r="AC7" i="3250"/>
  <c r="AF7" i="3250"/>
  <c r="AG7" i="3250"/>
  <c r="AH7" i="3250"/>
  <c r="AI7" i="3250"/>
  <c r="AJ7" i="3250"/>
  <c r="AL7" i="3250"/>
  <c r="B8" i="3250"/>
  <c r="D8" i="3250"/>
  <c r="M8" i="3250"/>
  <c r="O8" i="3250"/>
  <c r="R8" i="3250"/>
  <c r="S8" i="3250"/>
  <c r="U8" i="3250"/>
  <c r="V8" i="3250"/>
  <c r="W8" i="3250"/>
  <c r="X8" i="3250"/>
  <c r="Y8" i="3250"/>
  <c r="Z8" i="3250"/>
  <c r="AF8" i="3250"/>
  <c r="AG8" i="3250"/>
  <c r="AH8" i="3250"/>
  <c r="AI8" i="3250"/>
  <c r="AJ8" i="3250"/>
  <c r="AL8" i="3250"/>
  <c r="B9" i="3250"/>
  <c r="D9" i="3250"/>
  <c r="M9" i="3250"/>
  <c r="O9" i="3250"/>
  <c r="R9" i="3250"/>
  <c r="S9" i="3250"/>
  <c r="T9" i="3250"/>
  <c r="U9" i="3250"/>
  <c r="V9" i="3250"/>
  <c r="W9" i="3250"/>
  <c r="X9" i="3250"/>
  <c r="Y9" i="3250"/>
  <c r="Z9" i="3250"/>
  <c r="AA9" i="3250"/>
  <c r="AB9" i="3250"/>
  <c r="AC9" i="3250"/>
  <c r="AF9" i="3250"/>
  <c r="AG9" i="3250"/>
  <c r="AH9" i="3250"/>
  <c r="AI9" i="3250"/>
  <c r="AJ9" i="3250"/>
  <c r="AL9" i="3250"/>
  <c r="B10" i="3250"/>
  <c r="D10" i="3250"/>
  <c r="M10" i="3250"/>
  <c r="O10" i="3250"/>
  <c r="R10" i="3250"/>
  <c r="S10" i="3250"/>
  <c r="T10" i="3250"/>
  <c r="U10" i="3250"/>
  <c r="V10" i="3250"/>
  <c r="W10" i="3250"/>
  <c r="X10" i="3250"/>
  <c r="Y10" i="3250"/>
  <c r="Z10" i="3250"/>
  <c r="AA10" i="3250"/>
  <c r="AB10" i="3250"/>
  <c r="AC10" i="3250"/>
  <c r="AF10" i="3250"/>
  <c r="AG10" i="3250"/>
  <c r="AH10" i="3250"/>
  <c r="AI10" i="3250"/>
  <c r="AJ10" i="3250"/>
  <c r="AL10" i="3250"/>
  <c r="M11" i="3250"/>
  <c r="O11" i="3250"/>
  <c r="R11" i="3250"/>
  <c r="S11" i="3250"/>
  <c r="T11" i="3250"/>
  <c r="U11" i="3250"/>
  <c r="V11" i="3250"/>
  <c r="W11" i="3250"/>
  <c r="X11" i="3250"/>
  <c r="Y11" i="3250"/>
  <c r="Z11" i="3250"/>
  <c r="AA11" i="3250"/>
  <c r="AB11" i="3250"/>
  <c r="AC11" i="3250"/>
  <c r="AF11" i="3250"/>
  <c r="AG11" i="3250"/>
  <c r="AH11" i="3250"/>
  <c r="AI11" i="3250"/>
  <c r="AJ11" i="3250"/>
  <c r="AL11" i="3250"/>
  <c r="R12" i="3250"/>
  <c r="AF12" i="3250"/>
  <c r="AG12" i="3250"/>
  <c r="AH12" i="3250"/>
  <c r="AI12" i="3250"/>
  <c r="AJ12" i="3250"/>
  <c r="AL12" i="3250"/>
  <c r="B13" i="3250"/>
  <c r="B84" i="3250" s="1"/>
  <c r="C13" i="3250"/>
  <c r="C84" i="3250" s="1"/>
  <c r="D13" i="3250"/>
  <c r="D84" i="3250" s="1"/>
  <c r="E13" i="3250"/>
  <c r="E84" i="3250" s="1"/>
  <c r="F13" i="3250"/>
  <c r="G13" i="3250"/>
  <c r="H13" i="3250"/>
  <c r="I13" i="3250"/>
  <c r="I84" i="3250" s="1"/>
  <c r="J13" i="3250"/>
  <c r="J84" i="3250" s="1"/>
  <c r="K13" i="3250"/>
  <c r="K84" i="3250" s="1"/>
  <c r="L13" i="3250"/>
  <c r="L84" i="3250" s="1"/>
  <c r="M13" i="3250"/>
  <c r="N13" i="3250"/>
  <c r="O13" i="3250"/>
  <c r="R13" i="3250"/>
  <c r="S13" i="3250"/>
  <c r="T13" i="3250"/>
  <c r="U13" i="3250"/>
  <c r="V13" i="3250"/>
  <c r="W13" i="3250"/>
  <c r="X13" i="3250"/>
  <c r="Y13" i="3250"/>
  <c r="Z13" i="3250"/>
  <c r="AA13" i="3250"/>
  <c r="AB13" i="3250"/>
  <c r="AC13" i="3250"/>
  <c r="AF13" i="3250"/>
  <c r="AG13" i="3250"/>
  <c r="AH13" i="3250"/>
  <c r="AI13" i="3250"/>
  <c r="AJ13" i="3250"/>
  <c r="AL13" i="3250"/>
  <c r="B14" i="3250"/>
  <c r="B85" i="3250" s="1"/>
  <c r="C14" i="3250"/>
  <c r="C85" i="3250" s="1"/>
  <c r="D14" i="3250"/>
  <c r="D85" i="3250" s="1"/>
  <c r="E14" i="3250"/>
  <c r="E85" i="3250" s="1"/>
  <c r="F14" i="3250"/>
  <c r="F85" i="3250" s="1"/>
  <c r="G14" i="3250"/>
  <c r="G85" i="3250" s="1"/>
  <c r="H14" i="3250"/>
  <c r="H85" i="3250" s="1"/>
  <c r="I14" i="3250"/>
  <c r="I85" i="3250" s="1"/>
  <c r="J14" i="3250"/>
  <c r="K14" i="3250"/>
  <c r="L14" i="3250"/>
  <c r="M14" i="3250"/>
  <c r="N14" i="3250"/>
  <c r="O14" i="3250"/>
  <c r="R14" i="3250"/>
  <c r="S14" i="3250"/>
  <c r="T14" i="3250"/>
  <c r="U14" i="3250"/>
  <c r="V14" i="3250"/>
  <c r="W14" i="3250"/>
  <c r="X14" i="3250"/>
  <c r="Y14" i="3250"/>
  <c r="Z14" i="3250"/>
  <c r="AA14" i="3250"/>
  <c r="AB14" i="3250"/>
  <c r="AC14" i="3250"/>
  <c r="AF14" i="3250"/>
  <c r="AG14" i="3250"/>
  <c r="AH14" i="3250"/>
  <c r="AI14" i="3250"/>
  <c r="AJ14" i="3250"/>
  <c r="AL14" i="3250"/>
  <c r="B15" i="3250"/>
  <c r="C15" i="3250"/>
  <c r="D15" i="3250"/>
  <c r="E15" i="3250"/>
  <c r="F15" i="3250"/>
  <c r="G15" i="3250"/>
  <c r="H15" i="3250"/>
  <c r="I15" i="3250"/>
  <c r="J15" i="3250"/>
  <c r="K15" i="3250"/>
  <c r="L15" i="3250"/>
  <c r="M15" i="3250"/>
  <c r="N15" i="3250"/>
  <c r="O15" i="3250"/>
  <c r="R15" i="3250"/>
  <c r="AF15" i="3250"/>
  <c r="AG15" i="3250"/>
  <c r="AH15" i="3250"/>
  <c r="AI15" i="3250"/>
  <c r="AJ15" i="3250"/>
  <c r="AL15" i="3250"/>
  <c r="B16" i="3250"/>
  <c r="C16" i="3250"/>
  <c r="D16" i="3250"/>
  <c r="E16" i="3250"/>
  <c r="F16" i="3250"/>
  <c r="G16" i="3250"/>
  <c r="H16" i="3250"/>
  <c r="I16" i="3250"/>
  <c r="J16" i="3250"/>
  <c r="K16" i="3250"/>
  <c r="L16" i="3250"/>
  <c r="M16" i="3250"/>
  <c r="N16" i="3250"/>
  <c r="O16" i="3250"/>
  <c r="R16" i="3250"/>
  <c r="S16" i="3250"/>
  <c r="T16" i="3250"/>
  <c r="U16" i="3250"/>
  <c r="V16" i="3250"/>
  <c r="W16" i="3250"/>
  <c r="X16" i="3250"/>
  <c r="Y16" i="3250"/>
  <c r="Z16" i="3250"/>
  <c r="AA16" i="3250"/>
  <c r="AB16" i="3250"/>
  <c r="AC16" i="3250"/>
  <c r="AF16" i="3250"/>
  <c r="AG16" i="3250"/>
  <c r="AH16" i="3250"/>
  <c r="AI16" i="3250"/>
  <c r="AJ16" i="3250"/>
  <c r="AL16" i="3250"/>
  <c r="B17" i="3250"/>
  <c r="C17" i="3250"/>
  <c r="D17" i="3250"/>
  <c r="E17" i="3250"/>
  <c r="F17" i="3250"/>
  <c r="G17" i="3250"/>
  <c r="G86" i="3250" s="1"/>
  <c r="H17" i="3250"/>
  <c r="H86" i="3250" s="1"/>
  <c r="I17" i="3250"/>
  <c r="I86" i="3250" s="1"/>
  <c r="J17" i="3250"/>
  <c r="K17" i="3250"/>
  <c r="L17" i="3250"/>
  <c r="M17" i="3250"/>
  <c r="N17" i="3250"/>
  <c r="O17" i="3250"/>
  <c r="R17" i="3250"/>
  <c r="S17" i="3250"/>
  <c r="T17" i="3250"/>
  <c r="U17" i="3250"/>
  <c r="V17" i="3250"/>
  <c r="W17" i="3250"/>
  <c r="X17" i="3250"/>
  <c r="Y17" i="3250"/>
  <c r="Z17" i="3250"/>
  <c r="AA17" i="3250"/>
  <c r="AB17" i="3250"/>
  <c r="AC17" i="3250"/>
  <c r="AF17" i="3250"/>
  <c r="AG17" i="3250"/>
  <c r="AH17" i="3250"/>
  <c r="AI17" i="3250"/>
  <c r="AJ17" i="3250"/>
  <c r="AL17" i="3250"/>
  <c r="B18" i="3250"/>
  <c r="C18" i="3250"/>
  <c r="D18" i="3250"/>
  <c r="E18" i="3250"/>
  <c r="F18" i="3250"/>
  <c r="G18" i="3250"/>
  <c r="H18" i="3250"/>
  <c r="I18" i="3250"/>
  <c r="J18" i="3250"/>
  <c r="K18" i="3250"/>
  <c r="L18" i="3250"/>
  <c r="M18" i="3250"/>
  <c r="N18" i="3250"/>
  <c r="O18" i="3250"/>
  <c r="R18" i="3250"/>
  <c r="T18" i="3250"/>
  <c r="U18" i="3250"/>
  <c r="V18" i="3250"/>
  <c r="W18" i="3250"/>
  <c r="X18" i="3250"/>
  <c r="Y18" i="3250"/>
  <c r="Z18" i="3250"/>
  <c r="AA18" i="3250"/>
  <c r="AB18" i="3250"/>
  <c r="AC18" i="3250"/>
  <c r="AF18" i="3250"/>
  <c r="AG18" i="3250"/>
  <c r="AH18" i="3250"/>
  <c r="AI18" i="3250"/>
  <c r="AJ18" i="3250"/>
  <c r="AL18" i="3250"/>
  <c r="B19" i="3250"/>
  <c r="C19" i="3250"/>
  <c r="D19" i="3250"/>
  <c r="E19" i="3250"/>
  <c r="F19" i="3250"/>
  <c r="G19" i="3250"/>
  <c r="H19" i="3250"/>
  <c r="I19" i="3250"/>
  <c r="J19" i="3250"/>
  <c r="K19" i="3250"/>
  <c r="L19" i="3250"/>
  <c r="M19" i="3250"/>
  <c r="N19" i="3250"/>
  <c r="O19" i="3250"/>
  <c r="S19" i="3250"/>
  <c r="AF19" i="3250"/>
  <c r="AG19" i="3250"/>
  <c r="AH19" i="3250"/>
  <c r="AI19" i="3250"/>
  <c r="AJ19" i="3250"/>
  <c r="AL19" i="3250"/>
  <c r="B20" i="3250"/>
  <c r="C20" i="3250"/>
  <c r="D20" i="3250"/>
  <c r="E20" i="3250"/>
  <c r="F20" i="3250"/>
  <c r="G20" i="3250"/>
  <c r="H20" i="3250"/>
  <c r="I20" i="3250"/>
  <c r="J20" i="3250"/>
  <c r="K20" i="3250"/>
  <c r="L20" i="3250"/>
  <c r="M20" i="3250"/>
  <c r="N20" i="3250"/>
  <c r="O20" i="3250"/>
  <c r="R20" i="3250"/>
  <c r="AF20" i="3250"/>
  <c r="AG20" i="3250"/>
  <c r="AH20" i="3250"/>
  <c r="AI20" i="3250"/>
  <c r="AJ20" i="3250"/>
  <c r="AL20" i="3250"/>
  <c r="B21" i="3250"/>
  <c r="C21" i="3250"/>
  <c r="D21" i="3250"/>
  <c r="E21" i="3250"/>
  <c r="F21" i="3250"/>
  <c r="G21" i="3250"/>
  <c r="H21" i="3250"/>
  <c r="I21" i="3250"/>
  <c r="J21" i="3250"/>
  <c r="K21" i="3250"/>
  <c r="L21" i="3250"/>
  <c r="M21" i="3250"/>
  <c r="N21" i="3250"/>
  <c r="O21" i="3250"/>
  <c r="R21" i="3250"/>
  <c r="S21" i="3250"/>
  <c r="T21" i="3250"/>
  <c r="U21" i="3250"/>
  <c r="V21" i="3250"/>
  <c r="W21" i="3250"/>
  <c r="X21" i="3250"/>
  <c r="Y21" i="3250"/>
  <c r="Z21" i="3250"/>
  <c r="AA21" i="3250"/>
  <c r="AB21" i="3250"/>
  <c r="AC21" i="3250"/>
  <c r="AF21" i="3250"/>
  <c r="AG21" i="3250"/>
  <c r="AH21" i="3250"/>
  <c r="AI21" i="3250"/>
  <c r="AJ21" i="3250"/>
  <c r="AL21" i="3250"/>
  <c r="B22" i="3250"/>
  <c r="C22" i="3250"/>
  <c r="D22" i="3250"/>
  <c r="E22" i="3250"/>
  <c r="F22" i="3250"/>
  <c r="G22" i="3250"/>
  <c r="H22" i="3250"/>
  <c r="I22" i="3250"/>
  <c r="J22" i="3250"/>
  <c r="K22" i="3250"/>
  <c r="L22" i="3250"/>
  <c r="M22" i="3250"/>
  <c r="N22" i="3250"/>
  <c r="O22" i="3250"/>
  <c r="R22" i="3250"/>
  <c r="S22" i="3250"/>
  <c r="T22" i="3250"/>
  <c r="U22" i="3250"/>
  <c r="V22" i="3250"/>
  <c r="W22" i="3250"/>
  <c r="X22" i="3250"/>
  <c r="Y22" i="3250"/>
  <c r="Z22" i="3250"/>
  <c r="AA22" i="3250"/>
  <c r="AB22" i="3250"/>
  <c r="AC22" i="3250"/>
  <c r="AF22" i="3250"/>
  <c r="AG22" i="3250"/>
  <c r="AH22" i="3250"/>
  <c r="AI22" i="3250"/>
  <c r="AJ22" i="3250"/>
  <c r="AL22" i="3250"/>
  <c r="B23" i="3250"/>
  <c r="C23" i="3250"/>
  <c r="D23" i="3250"/>
  <c r="E23" i="3250"/>
  <c r="F23" i="3250"/>
  <c r="G23" i="3250"/>
  <c r="H23" i="3250"/>
  <c r="I23" i="3250"/>
  <c r="J23" i="3250"/>
  <c r="K23" i="3250"/>
  <c r="L23" i="3250"/>
  <c r="M23" i="3250"/>
  <c r="N23" i="3250"/>
  <c r="O23" i="3250"/>
  <c r="R23" i="3250"/>
  <c r="S23" i="3250"/>
  <c r="T23" i="3250"/>
  <c r="U23" i="3250"/>
  <c r="V23" i="3250"/>
  <c r="W23" i="3250"/>
  <c r="X23" i="3250"/>
  <c r="Y23" i="3250"/>
  <c r="Z23" i="3250"/>
  <c r="AA23" i="3250"/>
  <c r="AB23" i="3250"/>
  <c r="AC23" i="3250"/>
  <c r="AF23" i="3250"/>
  <c r="AG23" i="3250"/>
  <c r="AH23" i="3250"/>
  <c r="AI23" i="3250"/>
  <c r="AJ23" i="3250"/>
  <c r="AL23" i="3250"/>
  <c r="B24" i="3250"/>
  <c r="C24" i="3250"/>
  <c r="D24" i="3250"/>
  <c r="E24" i="3250"/>
  <c r="F24" i="3250"/>
  <c r="G24" i="3250"/>
  <c r="H24" i="3250"/>
  <c r="I24" i="3250"/>
  <c r="J24" i="3250"/>
  <c r="K24" i="3250"/>
  <c r="L24" i="3250"/>
  <c r="M24" i="3250"/>
  <c r="N24" i="3250"/>
  <c r="O24" i="3250"/>
  <c r="R24" i="3250"/>
  <c r="AF24" i="3250"/>
  <c r="AG24" i="3250"/>
  <c r="AH24" i="3250"/>
  <c r="AI24" i="3250"/>
  <c r="AJ24" i="3250"/>
  <c r="AL24" i="3250"/>
  <c r="B25" i="3250"/>
  <c r="C25" i="3250"/>
  <c r="D25" i="3250"/>
  <c r="E25" i="3250"/>
  <c r="F25" i="3250"/>
  <c r="G25" i="3250"/>
  <c r="H25" i="3250"/>
  <c r="I25" i="3250"/>
  <c r="J25" i="3250"/>
  <c r="K25" i="3250"/>
  <c r="L25" i="3250"/>
  <c r="M25" i="3250"/>
  <c r="N25" i="3250"/>
  <c r="O25" i="3250"/>
  <c r="R25" i="3250"/>
  <c r="S25" i="3250"/>
  <c r="T25" i="3250"/>
  <c r="U25" i="3250"/>
  <c r="V25" i="3250"/>
  <c r="W25" i="3250"/>
  <c r="X25" i="3250"/>
  <c r="Y25" i="3250"/>
  <c r="Z25" i="3250"/>
  <c r="AA25" i="3250"/>
  <c r="AB25" i="3250"/>
  <c r="AC25" i="3250"/>
  <c r="AF25" i="3250"/>
  <c r="AG25" i="3250"/>
  <c r="AH25" i="3250"/>
  <c r="AI25" i="3250"/>
  <c r="AJ25" i="3250"/>
  <c r="AL25" i="3250"/>
  <c r="B26" i="3250"/>
  <c r="D26" i="3250"/>
  <c r="E26" i="3250"/>
  <c r="F26" i="3250"/>
  <c r="G26" i="3250"/>
  <c r="H26" i="3250"/>
  <c r="I26" i="3250"/>
  <c r="J26" i="3250"/>
  <c r="K26" i="3250"/>
  <c r="L26" i="3250"/>
  <c r="M26" i="3250"/>
  <c r="N26" i="3250"/>
  <c r="O26" i="3250"/>
  <c r="R26" i="3250"/>
  <c r="S26" i="3250"/>
  <c r="T26" i="3250"/>
  <c r="U26" i="3250"/>
  <c r="V26" i="3250"/>
  <c r="W26" i="3250"/>
  <c r="X26" i="3250"/>
  <c r="Y26" i="3250"/>
  <c r="Z26" i="3250"/>
  <c r="AA26" i="3250"/>
  <c r="AB26" i="3250"/>
  <c r="AC26" i="3250"/>
  <c r="AF26" i="3250"/>
  <c r="AG26" i="3250"/>
  <c r="AH26" i="3250"/>
  <c r="AI26" i="3250"/>
  <c r="AJ26" i="3250"/>
  <c r="AL26" i="3250"/>
  <c r="B27" i="3250"/>
  <c r="D27" i="3250"/>
  <c r="E27" i="3250"/>
  <c r="F27" i="3250"/>
  <c r="G27" i="3250"/>
  <c r="H27" i="3250"/>
  <c r="I27" i="3250"/>
  <c r="J27" i="3250"/>
  <c r="K27" i="3250"/>
  <c r="L27" i="3250"/>
  <c r="M27" i="3250"/>
  <c r="N27" i="3250"/>
  <c r="O27" i="3250"/>
  <c r="AF27" i="3250"/>
  <c r="AG27" i="3250"/>
  <c r="AH27" i="3250"/>
  <c r="AI27" i="3250"/>
  <c r="AJ27" i="3250"/>
  <c r="AL27" i="3250"/>
  <c r="D28" i="3250"/>
  <c r="E28" i="3250"/>
  <c r="F28" i="3250"/>
  <c r="G28" i="3250"/>
  <c r="H28" i="3250"/>
  <c r="I28" i="3250"/>
  <c r="J28" i="3250"/>
  <c r="K28" i="3250"/>
  <c r="L28" i="3250"/>
  <c r="M28" i="3250"/>
  <c r="N28" i="3250"/>
  <c r="O28" i="3250"/>
  <c r="AF28" i="3250"/>
  <c r="AG28" i="3250"/>
  <c r="AH28" i="3250"/>
  <c r="AI28" i="3250"/>
  <c r="AJ28" i="3250"/>
  <c r="AL28" i="3250"/>
  <c r="B29" i="3250"/>
  <c r="D29" i="3250"/>
  <c r="E29" i="3250"/>
  <c r="F29" i="3250"/>
  <c r="G29" i="3250"/>
  <c r="H29" i="3250"/>
  <c r="I29" i="3250"/>
  <c r="J29" i="3250"/>
  <c r="K29" i="3250"/>
  <c r="L29" i="3250"/>
  <c r="M29" i="3250"/>
  <c r="N29" i="3250"/>
  <c r="O29" i="3250"/>
  <c r="AF29" i="3250"/>
  <c r="AG29" i="3250"/>
  <c r="AH29" i="3250"/>
  <c r="AI29" i="3250"/>
  <c r="AJ29" i="3250"/>
  <c r="AL29" i="3250"/>
  <c r="B30" i="3250"/>
  <c r="D30" i="3250"/>
  <c r="E30" i="3250"/>
  <c r="F30" i="3250"/>
  <c r="G30" i="3250"/>
  <c r="H30" i="3250"/>
  <c r="I30" i="3250"/>
  <c r="J30" i="3250"/>
  <c r="K30" i="3250"/>
  <c r="L30" i="3250"/>
  <c r="M30" i="3250"/>
  <c r="N30" i="3250"/>
  <c r="O30" i="3250"/>
  <c r="AF30" i="3250"/>
  <c r="AG30" i="3250"/>
  <c r="AH30" i="3250"/>
  <c r="AI30" i="3250"/>
  <c r="AJ30" i="3250"/>
  <c r="AL30" i="3250"/>
  <c r="B31" i="3250"/>
  <c r="D31" i="3250"/>
  <c r="E31" i="3250"/>
  <c r="F31" i="3250"/>
  <c r="G31" i="3250"/>
  <c r="H31" i="3250"/>
  <c r="I31" i="3250"/>
  <c r="J31" i="3250"/>
  <c r="K31" i="3250"/>
  <c r="L31" i="3250"/>
  <c r="M31" i="3250"/>
  <c r="N31" i="3250"/>
  <c r="O31" i="3250"/>
  <c r="AF31" i="3250"/>
  <c r="AG31" i="3250"/>
  <c r="AH31" i="3250"/>
  <c r="AI31" i="3250"/>
  <c r="AJ31" i="3250"/>
  <c r="AL31" i="3250"/>
  <c r="B32" i="3250"/>
  <c r="D32" i="3250"/>
  <c r="E32" i="3250"/>
  <c r="F32" i="3250"/>
  <c r="G32" i="3250"/>
  <c r="H32" i="3250"/>
  <c r="I32" i="3250"/>
  <c r="J32" i="3250"/>
  <c r="K32" i="3250"/>
  <c r="L32" i="3250"/>
  <c r="M32" i="3250"/>
  <c r="N32" i="3250"/>
  <c r="O32" i="3250"/>
  <c r="AF32" i="3250"/>
  <c r="AG32" i="3250"/>
  <c r="AH32" i="3250"/>
  <c r="AI32" i="3250"/>
  <c r="AJ32" i="3250"/>
  <c r="AL32" i="3250"/>
  <c r="B33" i="3250"/>
  <c r="D33" i="3250"/>
  <c r="E33" i="3250"/>
  <c r="F33" i="3250"/>
  <c r="G33" i="3250"/>
  <c r="H33" i="3250"/>
  <c r="I33" i="3250"/>
  <c r="J33" i="3250"/>
  <c r="K33" i="3250"/>
  <c r="L33" i="3250"/>
  <c r="M33" i="3250"/>
  <c r="N33" i="3250"/>
  <c r="O33" i="3250"/>
  <c r="AF33" i="3250"/>
  <c r="AG33" i="3250"/>
  <c r="AH33" i="3250"/>
  <c r="AI33" i="3250"/>
  <c r="AJ33" i="3250"/>
  <c r="AL33" i="3250"/>
  <c r="B34" i="3250"/>
  <c r="C34" i="3250"/>
  <c r="D34" i="3250"/>
  <c r="E34" i="3250"/>
  <c r="F34" i="3250"/>
  <c r="G34" i="3250"/>
  <c r="H34" i="3250"/>
  <c r="I34" i="3250"/>
  <c r="J34" i="3250"/>
  <c r="K34" i="3250"/>
  <c r="L34" i="3250"/>
  <c r="M34" i="3250"/>
  <c r="N34" i="3250"/>
  <c r="O34" i="3250"/>
  <c r="AF34" i="3250"/>
  <c r="AG34" i="3250"/>
  <c r="AH34" i="3250"/>
  <c r="AI34" i="3250"/>
  <c r="AJ34" i="3250"/>
  <c r="AL34" i="3250"/>
  <c r="B35" i="3250"/>
  <c r="C35" i="3250"/>
  <c r="D35" i="3250"/>
  <c r="E35" i="3250"/>
  <c r="F35" i="3250"/>
  <c r="G35" i="3250"/>
  <c r="H35" i="3250"/>
  <c r="I35" i="3250"/>
  <c r="J35" i="3250"/>
  <c r="K35" i="3250"/>
  <c r="L35" i="3250"/>
  <c r="M35" i="3250"/>
  <c r="N35" i="3250"/>
  <c r="O35" i="3250"/>
  <c r="AF35" i="3250"/>
  <c r="AG35" i="3250"/>
  <c r="AH35" i="3250"/>
  <c r="AI35" i="3250"/>
  <c r="AJ35" i="3250"/>
  <c r="AL35" i="3250"/>
  <c r="B36" i="3250"/>
  <c r="C36" i="3250"/>
  <c r="D36" i="3250"/>
  <c r="E36" i="3250"/>
  <c r="F36" i="3250"/>
  <c r="G36" i="3250"/>
  <c r="H36" i="3250"/>
  <c r="I36" i="3250"/>
  <c r="J36" i="3250"/>
  <c r="K36" i="3250"/>
  <c r="L36" i="3250"/>
  <c r="M36" i="3250"/>
  <c r="N36" i="3250"/>
  <c r="O36" i="3250"/>
  <c r="AF36" i="3250"/>
  <c r="AG36" i="3250"/>
  <c r="AH36" i="3250"/>
  <c r="AI36" i="3250"/>
  <c r="AJ36" i="3250"/>
  <c r="AL36" i="3250"/>
  <c r="B37" i="3250"/>
  <c r="C37" i="3250"/>
  <c r="D37" i="3250"/>
  <c r="E37" i="3250"/>
  <c r="F37" i="3250"/>
  <c r="G37" i="3250"/>
  <c r="H37" i="3250"/>
  <c r="I37" i="3250"/>
  <c r="J37" i="3250"/>
  <c r="K37" i="3250"/>
  <c r="L37" i="3250"/>
  <c r="M37" i="3250"/>
  <c r="N37" i="3250"/>
  <c r="AF37" i="3250"/>
  <c r="AG37" i="3250"/>
  <c r="AH37" i="3250"/>
  <c r="AI37" i="3250"/>
  <c r="AJ37" i="3250"/>
  <c r="AL37" i="3250"/>
  <c r="B38" i="3250"/>
  <c r="E38" i="3250"/>
  <c r="F38" i="3250"/>
  <c r="AF38" i="3250"/>
  <c r="AG38" i="3250"/>
  <c r="AH38" i="3250"/>
  <c r="AI38" i="3250"/>
  <c r="AJ38" i="3250"/>
  <c r="AL38" i="3250"/>
  <c r="B39" i="3250"/>
  <c r="E39" i="3250"/>
  <c r="F39" i="3250"/>
  <c r="G39" i="3250"/>
  <c r="AF39" i="3250"/>
  <c r="AG39" i="3250"/>
  <c r="AH39" i="3250"/>
  <c r="AI39" i="3250"/>
  <c r="AJ39" i="3250"/>
  <c r="AL39" i="3250"/>
  <c r="B40" i="3250"/>
  <c r="E40" i="3250"/>
  <c r="F40" i="3250"/>
  <c r="G40" i="3250"/>
  <c r="AF40" i="3250"/>
  <c r="AG40" i="3250"/>
  <c r="AH40" i="3250"/>
  <c r="AI40" i="3250"/>
  <c r="AJ40" i="3250"/>
  <c r="AL40" i="3250"/>
  <c r="B41" i="3250"/>
  <c r="E41" i="3250"/>
  <c r="F41" i="3250"/>
  <c r="G41" i="3250"/>
  <c r="AF41" i="3250"/>
  <c r="AG41" i="3250"/>
  <c r="AH41" i="3250"/>
  <c r="AI41" i="3250"/>
  <c r="AJ41" i="3250"/>
  <c r="AL41" i="3250"/>
  <c r="B42" i="3250"/>
  <c r="E42" i="3250"/>
  <c r="F42" i="3250"/>
  <c r="G42" i="3250"/>
  <c r="AF42" i="3250"/>
  <c r="AG42" i="3250"/>
  <c r="AH42" i="3250"/>
  <c r="AI42" i="3250"/>
  <c r="AJ42" i="3250"/>
  <c r="AL42" i="3250"/>
  <c r="B43" i="3250"/>
  <c r="E43" i="3250"/>
  <c r="F43" i="3250"/>
  <c r="G43" i="3250"/>
  <c r="AF43" i="3250"/>
  <c r="AG43" i="3250"/>
  <c r="AH43" i="3250"/>
  <c r="AI43" i="3250"/>
  <c r="AJ43" i="3250"/>
  <c r="AL43" i="3250"/>
  <c r="B44" i="3250"/>
  <c r="E44" i="3250"/>
  <c r="F44" i="3250"/>
  <c r="G44" i="3250"/>
  <c r="AF44" i="3250"/>
  <c r="AG44" i="3250"/>
  <c r="AH44" i="3250"/>
  <c r="AI44" i="3250"/>
  <c r="AJ44" i="3250"/>
  <c r="AL44" i="3250"/>
  <c r="B45" i="3250"/>
  <c r="E45" i="3250"/>
  <c r="F45" i="3250"/>
  <c r="G45" i="3250"/>
  <c r="AF45" i="3250"/>
  <c r="AG45" i="3250"/>
  <c r="AH45" i="3250"/>
  <c r="AI45" i="3250"/>
  <c r="AJ45" i="3250"/>
  <c r="AL45" i="3250"/>
  <c r="B46" i="3250"/>
  <c r="E46" i="3250"/>
  <c r="F46" i="3250"/>
  <c r="G46" i="3250"/>
  <c r="AF46" i="3250"/>
  <c r="AG46" i="3250"/>
  <c r="AH46" i="3250"/>
  <c r="AI46" i="3250"/>
  <c r="AJ46" i="3250"/>
  <c r="AL46" i="3250"/>
  <c r="B47" i="3250"/>
  <c r="E47" i="3250"/>
  <c r="F47" i="3250"/>
  <c r="G47" i="3250"/>
  <c r="AF47" i="3250"/>
  <c r="AG47" i="3250"/>
  <c r="AH47" i="3250"/>
  <c r="AI47" i="3250"/>
  <c r="AJ47" i="3250"/>
  <c r="AL47" i="3250"/>
  <c r="B48" i="3250"/>
  <c r="E48" i="3250"/>
  <c r="F48" i="3250"/>
  <c r="G48" i="3250"/>
  <c r="AF48" i="3250"/>
  <c r="AG48" i="3250"/>
  <c r="AH48" i="3250"/>
  <c r="AI48" i="3250"/>
  <c r="AJ48" i="3250"/>
  <c r="AL48" i="3250"/>
  <c r="B49" i="3250"/>
  <c r="E49" i="3250"/>
  <c r="F49" i="3250"/>
  <c r="G49" i="3250"/>
  <c r="AF49" i="3250"/>
  <c r="AG49" i="3250"/>
  <c r="AH49" i="3250"/>
  <c r="AI49" i="3250"/>
  <c r="AJ49" i="3250"/>
  <c r="AL49" i="3250"/>
  <c r="B50" i="3250"/>
  <c r="E50" i="3250"/>
  <c r="AF50" i="3250"/>
  <c r="AG50" i="3250"/>
  <c r="AH50" i="3250"/>
  <c r="AI50" i="3250"/>
  <c r="AJ50" i="3250"/>
  <c r="AL50" i="3250"/>
  <c r="B51" i="3250"/>
  <c r="D51" i="3250"/>
  <c r="E51" i="3250"/>
  <c r="G51" i="3250"/>
  <c r="AF51" i="3250"/>
  <c r="AG51" i="3250"/>
  <c r="AH51" i="3250"/>
  <c r="AI51" i="3250"/>
  <c r="AJ51" i="3250"/>
  <c r="AL51" i="3250"/>
  <c r="B52" i="3250"/>
  <c r="D52" i="3250"/>
  <c r="E52" i="3250"/>
  <c r="G52" i="3250"/>
  <c r="AF52" i="3250"/>
  <c r="AG52" i="3250"/>
  <c r="AH52" i="3250"/>
  <c r="AI52" i="3250"/>
  <c r="AJ52" i="3250"/>
  <c r="AL52" i="3250"/>
  <c r="B53" i="3250"/>
  <c r="D53" i="3250"/>
  <c r="E53" i="3250"/>
  <c r="G53" i="3250"/>
  <c r="AF53" i="3250"/>
  <c r="AG53" i="3250"/>
  <c r="AH53" i="3250"/>
  <c r="AI53" i="3250"/>
  <c r="AJ53" i="3250"/>
  <c r="AL53" i="3250"/>
  <c r="B54" i="3250"/>
  <c r="D54" i="3250"/>
  <c r="E54" i="3250"/>
  <c r="G54" i="3250"/>
  <c r="AF54" i="3250"/>
  <c r="AG54" i="3250"/>
  <c r="AH54" i="3250"/>
  <c r="AI54" i="3250"/>
  <c r="AJ54" i="3250"/>
  <c r="AL54" i="3250"/>
  <c r="B55" i="3250"/>
  <c r="D55" i="3250"/>
  <c r="E55" i="3250"/>
  <c r="G55" i="3250"/>
  <c r="AF55" i="3250"/>
  <c r="AG55" i="3250"/>
  <c r="AH55" i="3250"/>
  <c r="AI55" i="3250"/>
  <c r="AJ55" i="3250"/>
  <c r="AL55" i="3250"/>
  <c r="B56" i="3250"/>
  <c r="D56" i="3250"/>
  <c r="E56" i="3250"/>
  <c r="G56" i="3250"/>
  <c r="AF56" i="3250"/>
  <c r="AG56" i="3250"/>
  <c r="AH56" i="3250"/>
  <c r="AI56" i="3250"/>
  <c r="AJ56" i="3250"/>
  <c r="AL56" i="3250"/>
  <c r="B57" i="3250"/>
  <c r="D57" i="3250"/>
  <c r="E57" i="3250"/>
  <c r="G57" i="3250"/>
  <c r="AF57" i="3250"/>
  <c r="AG57" i="3250"/>
  <c r="AH57" i="3250"/>
  <c r="AI57" i="3250"/>
  <c r="AJ57" i="3250"/>
  <c r="AL57" i="3250"/>
  <c r="D58" i="3250"/>
  <c r="B58" i="3250" s="1"/>
  <c r="G58" i="3250"/>
  <c r="E58" i="3250"/>
  <c r="H58" i="3250"/>
  <c r="AF58" i="3250"/>
  <c r="AG58" i="3250"/>
  <c r="AH58" i="3250"/>
  <c r="AI58" i="3250"/>
  <c r="AJ58" i="3250"/>
  <c r="AL58" i="3250"/>
  <c r="AF59" i="3250"/>
  <c r="AG59" i="3250"/>
  <c r="AH59" i="3250"/>
  <c r="AI59" i="3250"/>
  <c r="AJ59" i="3250"/>
  <c r="AL59" i="3250"/>
  <c r="B60" i="3250"/>
  <c r="C60" i="3250"/>
  <c r="D60" i="3250"/>
  <c r="E60" i="3250"/>
  <c r="F60" i="3250"/>
  <c r="G60" i="3250"/>
  <c r="H60" i="3250"/>
  <c r="I60" i="3250"/>
  <c r="J60" i="3250"/>
  <c r="K60" i="3250"/>
  <c r="L60" i="3250"/>
  <c r="M60" i="3250"/>
  <c r="N60" i="3250"/>
  <c r="O60" i="3250"/>
  <c r="AF60" i="3250"/>
  <c r="AG60" i="3250"/>
  <c r="AH60" i="3250"/>
  <c r="AI60" i="3250"/>
  <c r="AJ60" i="3250"/>
  <c r="AL60" i="3250"/>
  <c r="B61" i="3250"/>
  <c r="C61" i="3250"/>
  <c r="D61" i="3250"/>
  <c r="E61" i="3250"/>
  <c r="F61" i="3250"/>
  <c r="G61" i="3250"/>
  <c r="H61" i="3250"/>
  <c r="I61" i="3250"/>
  <c r="J61" i="3250"/>
  <c r="K61" i="3250"/>
  <c r="L61" i="3250"/>
  <c r="M61" i="3250"/>
  <c r="N61" i="3250"/>
  <c r="O61" i="3250"/>
  <c r="AF61" i="3250"/>
  <c r="AG61" i="3250"/>
  <c r="AH61" i="3250"/>
  <c r="AI61" i="3250"/>
  <c r="AJ61" i="3250"/>
  <c r="AL61" i="3250"/>
  <c r="B62" i="3250"/>
  <c r="C62" i="3250"/>
  <c r="D62" i="3250"/>
  <c r="E62" i="3250"/>
  <c r="F62" i="3250"/>
  <c r="G62" i="3250"/>
  <c r="H62" i="3250"/>
  <c r="I62" i="3250"/>
  <c r="J62" i="3250"/>
  <c r="K62" i="3250"/>
  <c r="L62" i="3250"/>
  <c r="M62" i="3250"/>
  <c r="N62" i="3250"/>
  <c r="O62" i="3250"/>
  <c r="AF62" i="3250"/>
  <c r="AG62" i="3250"/>
  <c r="AH62" i="3250"/>
  <c r="AI62" i="3250"/>
  <c r="AJ62" i="3250"/>
  <c r="AL62" i="3250"/>
  <c r="AF63" i="3250"/>
  <c r="AG63" i="3250"/>
  <c r="AH63" i="3250"/>
  <c r="AI63" i="3250"/>
  <c r="AJ63" i="3250"/>
  <c r="AL63" i="3250"/>
  <c r="AF64" i="3250"/>
  <c r="AG64" i="3250"/>
  <c r="AH64" i="3250"/>
  <c r="AI64" i="3250"/>
  <c r="AJ64" i="3250"/>
  <c r="AL64" i="3250"/>
  <c r="B65" i="3250"/>
  <c r="D65" i="3250"/>
  <c r="E65" i="3250"/>
  <c r="F65" i="3250"/>
  <c r="G65" i="3250"/>
  <c r="H65" i="3250"/>
  <c r="I65" i="3250"/>
  <c r="J65" i="3250"/>
  <c r="K65" i="3250"/>
  <c r="L65" i="3250"/>
  <c r="M65" i="3250"/>
  <c r="N65" i="3250"/>
  <c r="O65" i="3250"/>
  <c r="AF65" i="3250"/>
  <c r="AG65" i="3250"/>
  <c r="AH65" i="3250"/>
  <c r="AI65" i="3250"/>
  <c r="AJ65" i="3250"/>
  <c r="AL65" i="3250"/>
  <c r="B66" i="3250"/>
  <c r="D66" i="3250"/>
  <c r="E66" i="3250"/>
  <c r="F66" i="3250"/>
  <c r="G66" i="3250"/>
  <c r="H66" i="3250"/>
  <c r="I66" i="3250"/>
  <c r="J66" i="3250"/>
  <c r="K66" i="3250"/>
  <c r="L66" i="3250"/>
  <c r="M66" i="3250"/>
  <c r="N66" i="3250"/>
  <c r="O66" i="3250"/>
  <c r="AF66" i="3250"/>
  <c r="AG66" i="3250"/>
  <c r="AH66" i="3250"/>
  <c r="AI66" i="3250"/>
  <c r="AJ66" i="3250"/>
  <c r="AL66" i="3250"/>
  <c r="B67" i="3250"/>
  <c r="D67" i="3250"/>
  <c r="E67" i="3250"/>
  <c r="F67" i="3250"/>
  <c r="G67" i="3250"/>
  <c r="H67" i="3250"/>
  <c r="I67" i="3250"/>
  <c r="J67" i="3250"/>
  <c r="K67" i="3250"/>
  <c r="L67" i="3250"/>
  <c r="M67" i="3250"/>
  <c r="N67" i="3250"/>
  <c r="O67" i="3250"/>
  <c r="AF67" i="3250"/>
  <c r="AG67" i="3250"/>
  <c r="AH67" i="3250"/>
  <c r="AI67" i="3250"/>
  <c r="AJ67" i="3250"/>
  <c r="AL67" i="3250"/>
  <c r="B68" i="3250"/>
  <c r="D68" i="3250"/>
  <c r="E68" i="3250"/>
  <c r="F68" i="3250"/>
  <c r="G68" i="3250"/>
  <c r="H68" i="3250"/>
  <c r="I68" i="3250"/>
  <c r="J68" i="3250"/>
  <c r="K68" i="3250"/>
  <c r="L68" i="3250"/>
  <c r="M68" i="3250"/>
  <c r="N68" i="3250"/>
  <c r="O68" i="3250"/>
  <c r="AF68" i="3250"/>
  <c r="AG68" i="3250"/>
  <c r="AH68" i="3250"/>
  <c r="AI68" i="3250"/>
  <c r="AJ68" i="3250"/>
  <c r="AL68" i="3250"/>
  <c r="B69" i="3250"/>
  <c r="D69" i="3250"/>
  <c r="E69" i="3250"/>
  <c r="F69" i="3250"/>
  <c r="G69" i="3250"/>
  <c r="H69" i="3250"/>
  <c r="I69" i="3250"/>
  <c r="J69" i="3250"/>
  <c r="K69" i="3250"/>
  <c r="L69" i="3250"/>
  <c r="M69" i="3250"/>
  <c r="N69" i="3250"/>
  <c r="O69" i="3250"/>
  <c r="AF69" i="3250"/>
  <c r="AG69" i="3250"/>
  <c r="AH69" i="3250"/>
  <c r="AI69" i="3250"/>
  <c r="AJ69" i="3250"/>
  <c r="AL69" i="3250"/>
  <c r="B70" i="3250"/>
  <c r="D70" i="3250"/>
  <c r="E70" i="3250"/>
  <c r="F70" i="3250"/>
  <c r="G70" i="3250"/>
  <c r="H70" i="3250"/>
  <c r="I70" i="3250"/>
  <c r="J70" i="3250"/>
  <c r="K70" i="3250"/>
  <c r="L70" i="3250"/>
  <c r="M70" i="3250"/>
  <c r="N70" i="3250"/>
  <c r="O70" i="3250"/>
  <c r="AF70" i="3250"/>
  <c r="AG70" i="3250"/>
  <c r="AH70" i="3250"/>
  <c r="AI70" i="3250"/>
  <c r="AJ70" i="3250"/>
  <c r="AL70" i="3250"/>
  <c r="B71" i="3250"/>
  <c r="D71" i="3250"/>
  <c r="E71" i="3250"/>
  <c r="F71" i="3250"/>
  <c r="G71" i="3250"/>
  <c r="H71" i="3250"/>
  <c r="I71" i="3250"/>
  <c r="J71" i="3250"/>
  <c r="K71" i="3250"/>
  <c r="L71" i="3250"/>
  <c r="M71" i="3250"/>
  <c r="N71" i="3250"/>
  <c r="O71" i="3250"/>
  <c r="AF71" i="3250"/>
  <c r="AG71" i="3250"/>
  <c r="AH71" i="3250"/>
  <c r="AI71" i="3250"/>
  <c r="AJ71" i="3250"/>
  <c r="AL71" i="3250"/>
  <c r="B72" i="3250"/>
  <c r="D72" i="3250"/>
  <c r="E72" i="3250"/>
  <c r="F72" i="3250"/>
  <c r="G72" i="3250"/>
  <c r="H72" i="3250"/>
  <c r="I72" i="3250"/>
  <c r="J72" i="3250"/>
  <c r="K72" i="3250"/>
  <c r="L72" i="3250"/>
  <c r="M72" i="3250"/>
  <c r="N72" i="3250"/>
  <c r="O72" i="3250"/>
  <c r="AF72" i="3250"/>
  <c r="AG72" i="3250"/>
  <c r="AH72" i="3250"/>
  <c r="AI72" i="3250"/>
  <c r="AJ72" i="3250"/>
  <c r="AL72" i="3250"/>
  <c r="B73" i="3250"/>
  <c r="D73" i="3250"/>
  <c r="E73" i="3250"/>
  <c r="F73" i="3250"/>
  <c r="G73" i="3250"/>
  <c r="H73" i="3250"/>
  <c r="I73" i="3250"/>
  <c r="J73" i="3250"/>
  <c r="K73" i="3250"/>
  <c r="L73" i="3250"/>
  <c r="M73" i="3250"/>
  <c r="N73" i="3250"/>
  <c r="O73" i="3250"/>
  <c r="AF73" i="3250"/>
  <c r="AG73" i="3250"/>
  <c r="AH73" i="3250"/>
  <c r="AI73" i="3250"/>
  <c r="AJ73" i="3250"/>
  <c r="AL73" i="3250"/>
  <c r="B74" i="3250"/>
  <c r="D74" i="3250"/>
  <c r="E74" i="3250"/>
  <c r="F74" i="3250"/>
  <c r="G74" i="3250"/>
  <c r="H74" i="3250"/>
  <c r="I74" i="3250"/>
  <c r="J74" i="3250"/>
  <c r="K74" i="3250"/>
  <c r="L74" i="3250"/>
  <c r="M74" i="3250"/>
  <c r="N74" i="3250"/>
  <c r="O74" i="3250"/>
  <c r="AF74" i="3250"/>
  <c r="AG74" i="3250"/>
  <c r="AH74" i="3250"/>
  <c r="AI74" i="3250"/>
  <c r="AJ74" i="3250"/>
  <c r="AL74" i="3250"/>
  <c r="B75" i="3250"/>
  <c r="D75" i="3250"/>
  <c r="E75" i="3250"/>
  <c r="F75" i="3250"/>
  <c r="G75" i="3250"/>
  <c r="H75" i="3250"/>
  <c r="I75" i="3250"/>
  <c r="J75" i="3250"/>
  <c r="K75" i="3250"/>
  <c r="L75" i="3250"/>
  <c r="M75" i="3250"/>
  <c r="N75" i="3250"/>
  <c r="O75" i="3250"/>
  <c r="AF75" i="3250"/>
  <c r="AG75" i="3250"/>
  <c r="AH75" i="3250"/>
  <c r="AI75" i="3250"/>
  <c r="AJ75" i="3250"/>
  <c r="AL75" i="3250"/>
  <c r="B76" i="3250"/>
  <c r="D76" i="3250"/>
  <c r="E76" i="3250"/>
  <c r="F76" i="3250"/>
  <c r="G76" i="3250"/>
  <c r="H76" i="3250"/>
  <c r="I76" i="3250"/>
  <c r="J76" i="3250"/>
  <c r="K76" i="3250"/>
  <c r="L76" i="3250"/>
  <c r="M76" i="3250"/>
  <c r="N76" i="3250"/>
  <c r="O76" i="3250"/>
  <c r="AF76" i="3250"/>
  <c r="AG76" i="3250"/>
  <c r="AH76" i="3250"/>
  <c r="AI76" i="3250"/>
  <c r="AJ76" i="3250"/>
  <c r="AL76" i="3250"/>
  <c r="B77" i="3250"/>
  <c r="D77" i="3250"/>
  <c r="E77" i="3250"/>
  <c r="F77" i="3250"/>
  <c r="G77" i="3250"/>
  <c r="H77" i="3250"/>
  <c r="I77" i="3250"/>
  <c r="J77" i="3250"/>
  <c r="K77" i="3250"/>
  <c r="L77" i="3250"/>
  <c r="M77" i="3250"/>
  <c r="N77" i="3250"/>
  <c r="O77" i="3250"/>
  <c r="AF77" i="3250"/>
  <c r="AG77" i="3250"/>
  <c r="AH77" i="3250"/>
  <c r="AI77" i="3250"/>
  <c r="AJ77" i="3250"/>
  <c r="AL77" i="3250"/>
  <c r="B78" i="3250"/>
  <c r="D78" i="3250"/>
  <c r="E78" i="3250"/>
  <c r="F78" i="3250"/>
  <c r="G78" i="3250"/>
  <c r="H78" i="3250"/>
  <c r="I78" i="3250"/>
  <c r="J78" i="3250"/>
  <c r="K78" i="3250"/>
  <c r="L78" i="3250"/>
  <c r="M78" i="3250"/>
  <c r="N78" i="3250"/>
  <c r="O78" i="3250"/>
  <c r="AF78" i="3250"/>
  <c r="AG78" i="3250"/>
  <c r="AH78" i="3250"/>
  <c r="AI78" i="3250"/>
  <c r="AJ78" i="3250"/>
  <c r="AL78" i="3250"/>
  <c r="B79" i="3250"/>
  <c r="D79" i="3250"/>
  <c r="E79" i="3250"/>
  <c r="F79" i="3250"/>
  <c r="G79" i="3250"/>
  <c r="H79" i="3250"/>
  <c r="I79" i="3250"/>
  <c r="J79" i="3250"/>
  <c r="K79" i="3250"/>
  <c r="L79" i="3250"/>
  <c r="M79" i="3250"/>
  <c r="N79" i="3250"/>
  <c r="O79" i="3250"/>
  <c r="AF79" i="3250"/>
  <c r="AG79" i="3250"/>
  <c r="AH79" i="3250"/>
  <c r="AI79" i="3250"/>
  <c r="AJ79" i="3250"/>
  <c r="AL79" i="3250"/>
  <c r="B80" i="3250"/>
  <c r="D80" i="3250"/>
  <c r="E80" i="3250"/>
  <c r="F80" i="3250"/>
  <c r="G80" i="3250"/>
  <c r="H80" i="3250"/>
  <c r="I80" i="3250"/>
  <c r="J80" i="3250"/>
  <c r="K80" i="3250"/>
  <c r="L80" i="3250"/>
  <c r="M80" i="3250"/>
  <c r="N80" i="3250"/>
  <c r="O80" i="3250"/>
  <c r="AF80" i="3250"/>
  <c r="AG80" i="3250"/>
  <c r="AH80" i="3250"/>
  <c r="AI80" i="3250"/>
  <c r="AJ80" i="3250"/>
  <c r="AL80" i="3250"/>
  <c r="B81" i="3250"/>
  <c r="D81" i="3250"/>
  <c r="E81" i="3250"/>
  <c r="F81" i="3250"/>
  <c r="G81" i="3250"/>
  <c r="H81" i="3250"/>
  <c r="I81" i="3250"/>
  <c r="J81" i="3250"/>
  <c r="K81" i="3250"/>
  <c r="L81" i="3250"/>
  <c r="M81" i="3250"/>
  <c r="N81" i="3250"/>
  <c r="O81" i="3250"/>
  <c r="AF81" i="3250"/>
  <c r="AG81" i="3250"/>
  <c r="AH81" i="3250"/>
  <c r="AI81" i="3250"/>
  <c r="AJ81" i="3250"/>
  <c r="AL81" i="3250"/>
  <c r="B82" i="3250"/>
  <c r="D82" i="3250"/>
  <c r="E82" i="3250"/>
  <c r="F82" i="3250"/>
  <c r="G82" i="3250"/>
  <c r="H82" i="3250"/>
  <c r="I82" i="3250"/>
  <c r="J82" i="3250"/>
  <c r="K82" i="3250"/>
  <c r="L82" i="3250"/>
  <c r="M82" i="3250"/>
  <c r="N82" i="3250"/>
  <c r="O82" i="3250"/>
  <c r="AF82" i="3250"/>
  <c r="AG82" i="3250"/>
  <c r="AH82" i="3250"/>
  <c r="AI82" i="3250"/>
  <c r="AJ82" i="3250"/>
  <c r="AL82" i="3250"/>
  <c r="B83" i="3250"/>
  <c r="C83" i="3250"/>
  <c r="D83" i="3250"/>
  <c r="E83" i="3250"/>
  <c r="F83" i="3250"/>
  <c r="G83" i="3250"/>
  <c r="H83" i="3250"/>
  <c r="I83" i="3250"/>
  <c r="J83" i="3250"/>
  <c r="K83" i="3250"/>
  <c r="L83" i="3250"/>
  <c r="M83" i="3250"/>
  <c r="N83" i="3250"/>
  <c r="O83" i="3250"/>
  <c r="AF83" i="3250"/>
  <c r="AG83" i="3250"/>
  <c r="AH83" i="3250"/>
  <c r="AI83" i="3250"/>
  <c r="AJ83" i="3250"/>
  <c r="AL83" i="3250"/>
  <c r="F84" i="3250"/>
  <c r="G84" i="3250"/>
  <c r="H84" i="3250"/>
  <c r="M84" i="3250"/>
  <c r="N84" i="3250"/>
  <c r="O84" i="3250"/>
  <c r="AF84" i="3250"/>
  <c r="AG84" i="3250"/>
  <c r="AH84" i="3250"/>
  <c r="AI84" i="3250"/>
  <c r="AJ84" i="3250"/>
  <c r="AL84" i="3250"/>
  <c r="J85" i="3250"/>
  <c r="K85" i="3250"/>
  <c r="L85" i="3250"/>
  <c r="AF85" i="3250"/>
  <c r="AG85" i="3250"/>
  <c r="AH85" i="3250"/>
  <c r="AI85" i="3250"/>
  <c r="AJ85" i="3250"/>
  <c r="AL85" i="3250"/>
  <c r="C86" i="3250"/>
  <c r="D86" i="3250"/>
  <c r="E86" i="3250"/>
  <c r="F86" i="3250"/>
  <c r="J86" i="3250"/>
  <c r="K86" i="3250"/>
  <c r="L86" i="3250"/>
  <c r="AF86" i="3250"/>
  <c r="AG86" i="3250"/>
  <c r="AH86" i="3250"/>
  <c r="AI86" i="3250"/>
  <c r="AJ86" i="3250"/>
  <c r="AL86" i="3250"/>
  <c r="AF87" i="3250"/>
  <c r="AG87" i="3250"/>
  <c r="AH87" i="3250"/>
  <c r="AI87" i="3250"/>
  <c r="AJ87" i="3250"/>
  <c r="AL87" i="3250"/>
  <c r="B88" i="3250"/>
  <c r="D88" i="3250"/>
  <c r="E88" i="3250"/>
  <c r="F88" i="3250"/>
  <c r="G88" i="3250"/>
  <c r="H88" i="3250"/>
  <c r="I88" i="3250"/>
  <c r="J88" i="3250"/>
  <c r="K88" i="3250"/>
  <c r="L88" i="3250"/>
  <c r="M88" i="3250"/>
  <c r="N88" i="3250"/>
  <c r="O88" i="3250"/>
  <c r="AF88" i="3250"/>
  <c r="AG88" i="3250"/>
  <c r="AH88" i="3250"/>
  <c r="AI88" i="3250"/>
  <c r="AJ88" i="3250"/>
  <c r="AL88" i="3250"/>
  <c r="B89" i="3250"/>
  <c r="E89" i="3250"/>
  <c r="F89" i="3250"/>
  <c r="G89" i="3250"/>
  <c r="H89" i="3250"/>
  <c r="I89" i="3250"/>
  <c r="J89" i="3250"/>
  <c r="K89" i="3250"/>
  <c r="L89" i="3250"/>
  <c r="M89" i="3250"/>
  <c r="N89" i="3250"/>
  <c r="O89" i="3250"/>
  <c r="AF89" i="3250"/>
  <c r="AG89" i="3250"/>
  <c r="AH89" i="3250"/>
  <c r="AI89" i="3250"/>
  <c r="AJ89" i="3250"/>
  <c r="AL89" i="3250"/>
  <c r="B90" i="3250"/>
  <c r="D90" i="3250"/>
  <c r="E90" i="3250"/>
  <c r="F90" i="3250"/>
  <c r="G90" i="3250"/>
  <c r="H90" i="3250"/>
  <c r="I90" i="3250"/>
  <c r="J90" i="3250"/>
  <c r="K90" i="3250"/>
  <c r="L90" i="3250"/>
  <c r="M90" i="3250"/>
  <c r="N90" i="3250"/>
  <c r="O90" i="3250"/>
  <c r="AF90" i="3250"/>
  <c r="AG90" i="3250"/>
  <c r="AH90" i="3250"/>
  <c r="AI90" i="3250"/>
  <c r="AJ90" i="3250"/>
  <c r="AL90" i="3250"/>
  <c r="B91" i="3250"/>
  <c r="C91" i="3250"/>
  <c r="D91" i="3250"/>
  <c r="E91" i="3250"/>
  <c r="F91" i="3250"/>
  <c r="G91" i="3250"/>
  <c r="H91" i="3250"/>
  <c r="I91" i="3250"/>
  <c r="J91" i="3250"/>
  <c r="K91" i="3250"/>
  <c r="L91" i="3250"/>
  <c r="M91" i="3250"/>
  <c r="N91" i="3250"/>
  <c r="O91" i="3250"/>
  <c r="AF91" i="3250"/>
  <c r="AG91" i="3250"/>
  <c r="AH91" i="3250"/>
  <c r="AI91" i="3250"/>
  <c r="AJ91" i="3250"/>
  <c r="AL91" i="3250"/>
  <c r="AF92" i="3250"/>
  <c r="AG92" i="3250"/>
  <c r="AH92" i="3250"/>
  <c r="AI92" i="3250"/>
  <c r="AJ92" i="3250"/>
  <c r="AL92" i="3250"/>
  <c r="AF93" i="3250"/>
  <c r="AG93" i="3250"/>
  <c r="AH93" i="3250"/>
  <c r="AI93" i="3250"/>
  <c r="AJ93" i="3250"/>
  <c r="AL93" i="3250"/>
  <c r="AF94" i="3250"/>
  <c r="AG94" i="3250"/>
  <c r="AH94" i="3250"/>
  <c r="AI94" i="3250"/>
  <c r="AJ94" i="3250"/>
  <c r="AL94" i="3250"/>
  <c r="AF95" i="3250"/>
  <c r="AG95" i="3250"/>
  <c r="AH95" i="3250"/>
  <c r="AI95" i="3250"/>
  <c r="AJ95" i="3250"/>
  <c r="AL95" i="3250"/>
  <c r="AF96" i="3250"/>
  <c r="AG96" i="3250"/>
  <c r="AH96" i="3250"/>
  <c r="AI96" i="3250"/>
  <c r="AJ96" i="3250"/>
  <c r="AL96" i="3250"/>
  <c r="AF97" i="3250"/>
  <c r="AG97" i="3250"/>
  <c r="AH97" i="3250"/>
  <c r="AI97" i="3250"/>
  <c r="AJ97" i="3250"/>
  <c r="AL97" i="3250"/>
  <c r="AF98" i="3250"/>
  <c r="AG98" i="3250"/>
  <c r="AH98" i="3250"/>
  <c r="AI98" i="3250"/>
  <c r="AJ98" i="3250"/>
  <c r="AL98" i="3250"/>
  <c r="AF99" i="3250"/>
  <c r="AG99" i="3250"/>
  <c r="AH99" i="3250"/>
  <c r="AI99" i="3250"/>
  <c r="AJ99" i="3250"/>
  <c r="AL99" i="3250"/>
  <c r="AF100" i="3250"/>
  <c r="AG100" i="3250"/>
  <c r="AH100" i="3250"/>
  <c r="AI100" i="3250"/>
  <c r="AJ100" i="3250"/>
  <c r="AL100" i="3250"/>
  <c r="AF101" i="3250"/>
  <c r="AG101" i="3250"/>
  <c r="AH101" i="3250"/>
  <c r="AI101" i="3250"/>
  <c r="AJ101" i="3250"/>
  <c r="AL101" i="3250"/>
  <c r="AF102" i="3250"/>
  <c r="AG102" i="3250"/>
  <c r="AH102" i="3250"/>
  <c r="AI102" i="3250"/>
  <c r="AJ102" i="3250"/>
  <c r="AL102" i="3250"/>
  <c r="AF103" i="3250"/>
  <c r="AG103" i="3250"/>
  <c r="AH103" i="3250"/>
  <c r="AI103" i="3250"/>
  <c r="AJ103" i="3250"/>
  <c r="AL103" i="3250"/>
  <c r="AF104" i="3250"/>
  <c r="AG104" i="3250"/>
  <c r="AH104" i="3250"/>
  <c r="AI104" i="3250"/>
  <c r="AJ104" i="3250"/>
  <c r="AL104" i="3250"/>
  <c r="AF105" i="3250"/>
  <c r="AG105" i="3250"/>
  <c r="AH105" i="3250"/>
  <c r="AI105" i="3250"/>
  <c r="AJ105" i="3250"/>
  <c r="AL105" i="3250"/>
  <c r="AF106" i="3250"/>
  <c r="AG106" i="3250"/>
  <c r="AH106" i="3250"/>
  <c r="AI106" i="3250"/>
  <c r="AJ106" i="3250"/>
  <c r="AL106" i="3250"/>
  <c r="AF107" i="3250"/>
  <c r="AG107" i="3250"/>
  <c r="AH107" i="3250"/>
  <c r="AI107" i="3250"/>
  <c r="AJ107" i="3250"/>
  <c r="AL107" i="3250"/>
  <c r="AF108" i="3250"/>
  <c r="AG108" i="3250"/>
  <c r="AH108" i="3250"/>
  <c r="AI108" i="3250"/>
  <c r="AJ108" i="3250"/>
  <c r="AL108" i="3250"/>
  <c r="AF109" i="3250"/>
  <c r="AG109" i="3250"/>
  <c r="AH109" i="3250"/>
  <c r="AI109" i="3250"/>
  <c r="AJ109" i="3250"/>
  <c r="AL109" i="3250"/>
  <c r="AF110" i="3250"/>
  <c r="AG110" i="3250"/>
  <c r="AH110" i="3250"/>
  <c r="AI110" i="3250"/>
  <c r="AJ110" i="3250"/>
  <c r="AL110" i="3250"/>
  <c r="AF111" i="3250"/>
  <c r="AG111" i="3250"/>
  <c r="AH111" i="3250"/>
  <c r="AI111" i="3250"/>
  <c r="AJ111" i="3250"/>
  <c r="AL111" i="3250"/>
  <c r="AF112" i="3250"/>
  <c r="AG112" i="3250"/>
  <c r="AH112" i="3250"/>
  <c r="AI112" i="3250"/>
  <c r="AJ112" i="3250"/>
  <c r="AL112" i="3250"/>
  <c r="AF113" i="3250"/>
  <c r="AG113" i="3250"/>
  <c r="AH113" i="3250"/>
  <c r="AI113" i="3250"/>
  <c r="AJ113" i="3250"/>
  <c r="AL113" i="3250"/>
  <c r="AF114" i="3250"/>
  <c r="AG114" i="3250"/>
  <c r="AH114" i="3250"/>
  <c r="AI114" i="3250"/>
  <c r="AJ114" i="3250"/>
  <c r="AL114" i="3250"/>
  <c r="AF115" i="3250"/>
  <c r="AG115" i="3250"/>
  <c r="AH115" i="3250"/>
  <c r="AI115" i="3250"/>
  <c r="AJ115" i="3250"/>
  <c r="AL115" i="3250"/>
  <c r="AF116" i="3250"/>
  <c r="AG116" i="3250"/>
  <c r="AH116" i="3250"/>
  <c r="AI116" i="3250"/>
  <c r="AJ116" i="3250"/>
  <c r="AL116" i="3250"/>
  <c r="AF117" i="3250"/>
  <c r="AG117" i="3250"/>
  <c r="AH117" i="3250"/>
  <c r="AI117" i="3250"/>
  <c r="AJ117" i="3250"/>
  <c r="AL117" i="3250"/>
  <c r="AF118" i="3250"/>
  <c r="AG118" i="3250"/>
  <c r="AH118" i="3250"/>
  <c r="AI118" i="3250"/>
  <c r="AJ118" i="3250"/>
  <c r="AL118" i="3250"/>
  <c r="AF119" i="3250"/>
  <c r="AG119" i="3250"/>
  <c r="AH119" i="3250"/>
  <c r="AI119" i="3250"/>
  <c r="AJ119" i="3250"/>
  <c r="AL119" i="3250"/>
  <c r="AF120" i="3250"/>
  <c r="AG120" i="3250"/>
  <c r="AH120" i="3250"/>
  <c r="AI120" i="3250"/>
  <c r="AJ120" i="3250"/>
  <c r="AL120" i="3250"/>
  <c r="AF121" i="3250"/>
  <c r="AG121" i="3250"/>
  <c r="AH121" i="3250"/>
  <c r="AI121" i="3250"/>
  <c r="AJ121" i="3250"/>
  <c r="AL121" i="3250"/>
  <c r="AF122" i="3250"/>
  <c r="AG122" i="3250"/>
  <c r="AH122" i="3250"/>
  <c r="AI122" i="3250"/>
  <c r="AJ122" i="3250"/>
  <c r="AL122" i="3250"/>
  <c r="AF123" i="3250"/>
  <c r="AG123" i="3250"/>
  <c r="AH123" i="3250"/>
  <c r="AI123" i="3250"/>
  <c r="AJ123" i="3250"/>
  <c r="AL123" i="3250"/>
  <c r="AF124" i="3250"/>
  <c r="AG124" i="3250"/>
  <c r="AH124" i="3250"/>
  <c r="AI124" i="3250"/>
  <c r="AJ124" i="3250"/>
  <c r="AL124" i="3250"/>
  <c r="AF125" i="3250"/>
  <c r="AG125" i="3250"/>
  <c r="AH125" i="3250"/>
  <c r="AI125" i="3250"/>
  <c r="AJ125" i="3250"/>
  <c r="AL125" i="3250"/>
  <c r="AF126" i="3250"/>
  <c r="AG126" i="3250"/>
  <c r="AH126" i="3250"/>
  <c r="AI126" i="3250"/>
  <c r="AJ126" i="3250"/>
  <c r="AL126" i="3250"/>
  <c r="AF127" i="3250"/>
  <c r="AG127" i="3250"/>
  <c r="AH127" i="3250"/>
  <c r="AI127" i="3250"/>
  <c r="AJ127" i="3250"/>
  <c r="AL127" i="3250"/>
  <c r="AF128" i="3250"/>
  <c r="AG128" i="3250"/>
  <c r="AH128" i="3250"/>
  <c r="AI128" i="3250"/>
  <c r="AJ128" i="3250"/>
  <c r="AL128" i="3250"/>
  <c r="AF129" i="3250"/>
  <c r="AG129" i="3250"/>
  <c r="AH129" i="3250"/>
  <c r="AI129" i="3250"/>
  <c r="AJ129" i="3250"/>
  <c r="AL129" i="3250"/>
  <c r="AF130" i="3250"/>
  <c r="AG130" i="3250"/>
  <c r="AH130" i="3250"/>
  <c r="AI130" i="3250"/>
  <c r="AJ130" i="3250"/>
  <c r="AL130" i="3250"/>
  <c r="AF131" i="3250"/>
  <c r="AG131" i="3250"/>
  <c r="AH131" i="3250"/>
  <c r="AI131" i="3250"/>
  <c r="AJ131" i="3250"/>
  <c r="AL131" i="3250"/>
  <c r="AF132" i="3250"/>
  <c r="AG132" i="3250"/>
  <c r="AH132" i="3250"/>
  <c r="AI132" i="3250"/>
  <c r="AJ132" i="3250"/>
  <c r="AL132" i="3250"/>
  <c r="AF133" i="3250"/>
  <c r="AG133" i="3250"/>
  <c r="AH133" i="3250"/>
  <c r="AI133" i="3250"/>
  <c r="AJ133" i="3250"/>
  <c r="AL133" i="3250"/>
  <c r="AF134" i="3250"/>
  <c r="AG134" i="3250"/>
  <c r="AH134" i="3250"/>
  <c r="AI134" i="3250"/>
  <c r="AJ134" i="3250"/>
  <c r="AL134" i="3250"/>
  <c r="AF135" i="3250"/>
  <c r="AG135" i="3250"/>
  <c r="AH135" i="3250"/>
  <c r="AI135" i="3250"/>
  <c r="AJ135" i="3250"/>
  <c r="AL135" i="3250"/>
  <c r="AF136" i="3250"/>
  <c r="AG136" i="3250"/>
  <c r="AH136" i="3250"/>
  <c r="AI136" i="3250"/>
  <c r="AJ136" i="3250"/>
  <c r="AL136" i="3250"/>
  <c r="AF137" i="3250"/>
  <c r="AG137" i="3250"/>
  <c r="AH137" i="3250"/>
  <c r="AI137" i="3250"/>
  <c r="AJ137" i="3250"/>
  <c r="AL137" i="3250"/>
  <c r="AF138" i="3250"/>
  <c r="AG138" i="3250"/>
  <c r="AH138" i="3250"/>
  <c r="AI138" i="3250"/>
  <c r="AJ138" i="3250"/>
  <c r="AL138" i="3250"/>
  <c r="AF139" i="3250"/>
  <c r="AG139" i="3250"/>
  <c r="AH139" i="3250"/>
  <c r="AI139" i="3250"/>
  <c r="AJ139" i="3250"/>
  <c r="AL139" i="3250"/>
  <c r="AF140" i="3250"/>
  <c r="AG140" i="3250"/>
  <c r="AH140" i="3250"/>
  <c r="AI140" i="3250"/>
  <c r="AJ140" i="3250"/>
  <c r="AL140" i="3250"/>
  <c r="AF141" i="3250"/>
  <c r="AG141" i="3250"/>
  <c r="AH141" i="3250"/>
  <c r="AI141" i="3250"/>
  <c r="AJ141" i="3250"/>
  <c r="AL141" i="3250"/>
  <c r="AF142" i="3250"/>
  <c r="AG142" i="3250"/>
  <c r="AH142" i="3250"/>
  <c r="AI142" i="3250"/>
  <c r="AJ142" i="3250"/>
  <c r="AL142" i="3250"/>
  <c r="AF143" i="3250"/>
  <c r="AG143" i="3250"/>
  <c r="AH143" i="3250"/>
  <c r="AI143" i="3250"/>
  <c r="AJ143" i="3250"/>
  <c r="AL143" i="3250"/>
  <c r="AF144" i="3250"/>
  <c r="AG144" i="3250"/>
  <c r="AH144" i="3250"/>
  <c r="AI144" i="3250"/>
  <c r="AJ144" i="3250"/>
  <c r="AL144" i="3250"/>
  <c r="AF145" i="3250"/>
  <c r="AG145" i="3250"/>
  <c r="AH145" i="3250"/>
  <c r="AI145" i="3250"/>
  <c r="AJ145" i="3250"/>
  <c r="AL145" i="3250"/>
  <c r="AF146" i="3250"/>
  <c r="AG146" i="3250"/>
  <c r="AH146" i="3250"/>
  <c r="AI146" i="3250"/>
  <c r="AJ146" i="3250"/>
  <c r="AL146" i="3250"/>
  <c r="AF147" i="3250"/>
  <c r="AG147" i="3250"/>
  <c r="AH147" i="3250"/>
  <c r="AI147" i="3250"/>
  <c r="AJ147" i="3250"/>
  <c r="AL147" i="3250"/>
  <c r="AF148" i="3250"/>
  <c r="AG148" i="3250"/>
  <c r="AH148" i="3250"/>
  <c r="AI148" i="3250"/>
  <c r="AJ148" i="3250"/>
  <c r="AL148" i="3250"/>
  <c r="AF149" i="3250"/>
  <c r="AG149" i="3250"/>
  <c r="AH149" i="3250"/>
  <c r="AI149" i="3250"/>
  <c r="AJ149" i="3250"/>
  <c r="AL149" i="3250"/>
  <c r="AF150" i="3250"/>
  <c r="AG150" i="3250"/>
  <c r="AH150" i="3250"/>
  <c r="AI150" i="3250"/>
  <c r="AJ150" i="3250"/>
  <c r="AL150" i="3250"/>
  <c r="AF151" i="3250"/>
  <c r="AG151" i="3250"/>
  <c r="AH151" i="3250"/>
  <c r="AI151" i="3250"/>
  <c r="AJ151" i="3250"/>
  <c r="AL151" i="3250"/>
  <c r="AF152" i="3250"/>
  <c r="AG152" i="3250"/>
  <c r="AH152" i="3250"/>
  <c r="AI152" i="3250"/>
  <c r="AJ152" i="3250"/>
  <c r="AL152" i="3250"/>
  <c r="AF153" i="3250"/>
  <c r="AG153" i="3250"/>
  <c r="AH153" i="3250"/>
  <c r="AI153" i="3250"/>
  <c r="AJ153" i="3250"/>
  <c r="AL153" i="3250"/>
  <c r="AF154" i="3250"/>
  <c r="AG154" i="3250"/>
  <c r="AH154" i="3250"/>
  <c r="AI154" i="3250"/>
  <c r="AJ154" i="3250"/>
  <c r="AL154" i="3250"/>
  <c r="AF155" i="3250"/>
  <c r="AG155" i="3250"/>
  <c r="AH155" i="3250"/>
  <c r="AI155" i="3250"/>
  <c r="AJ155" i="3250"/>
  <c r="AL155" i="3250"/>
  <c r="AF156" i="3250"/>
  <c r="AG156" i="3250"/>
  <c r="AH156" i="3250"/>
  <c r="AI156" i="3250"/>
  <c r="AJ156" i="3250"/>
  <c r="AL156" i="3250"/>
  <c r="AF157" i="3250"/>
  <c r="AG157" i="3250"/>
  <c r="AH157" i="3250"/>
  <c r="AI157" i="3250"/>
  <c r="AJ157" i="3250"/>
  <c r="AL157" i="3250"/>
  <c r="AF158" i="3250"/>
  <c r="AG158" i="3250"/>
  <c r="AH158" i="3250"/>
  <c r="AI158" i="3250"/>
  <c r="AJ158" i="3250"/>
  <c r="AL158" i="3250"/>
  <c r="AF159" i="3250"/>
  <c r="AG159" i="3250"/>
  <c r="AH159" i="3250"/>
  <c r="AI159" i="3250"/>
  <c r="AJ159" i="3250"/>
  <c r="AL159" i="3250"/>
  <c r="AF160" i="3250"/>
  <c r="AG160" i="3250"/>
  <c r="AH160" i="3250"/>
  <c r="AI160" i="3250"/>
  <c r="AJ160" i="3250"/>
  <c r="AL160" i="3250"/>
  <c r="AF161" i="3250"/>
  <c r="AG161" i="3250"/>
  <c r="AH161" i="3250"/>
  <c r="AI161" i="3250"/>
  <c r="AJ161" i="3250"/>
  <c r="AL161" i="3250"/>
  <c r="AF162" i="3250"/>
  <c r="AG162" i="3250"/>
  <c r="AH162" i="3250"/>
  <c r="AI162" i="3250"/>
  <c r="AJ162" i="3250"/>
  <c r="AL162" i="3250"/>
  <c r="AF163" i="3250"/>
  <c r="AG163" i="3250"/>
  <c r="AH163" i="3250"/>
  <c r="AI163" i="3250"/>
  <c r="AJ163" i="3250"/>
  <c r="AL163" i="3250"/>
  <c r="AF164" i="3250"/>
  <c r="AG164" i="3250"/>
  <c r="AH164" i="3250"/>
  <c r="AI164" i="3250"/>
  <c r="AJ164" i="3250"/>
  <c r="AL164" i="3250"/>
  <c r="AF165" i="3250"/>
  <c r="AG165" i="3250"/>
  <c r="AH165" i="3250"/>
  <c r="AI165" i="3250"/>
  <c r="AJ165" i="3250"/>
  <c r="AL165" i="3250"/>
  <c r="AF166" i="3250"/>
  <c r="AG166" i="3250"/>
  <c r="AH166" i="3250"/>
  <c r="AI166" i="3250"/>
  <c r="AJ166" i="3250"/>
  <c r="AL166" i="3250"/>
  <c r="AF167" i="3250"/>
  <c r="AG167" i="3250"/>
  <c r="AH167" i="3250"/>
  <c r="AI167" i="3250"/>
  <c r="AJ167" i="3250"/>
  <c r="AL167" i="3250"/>
  <c r="AF168" i="3250"/>
  <c r="AG168" i="3250"/>
  <c r="AH168" i="3250"/>
  <c r="AI168" i="3250"/>
  <c r="AJ168" i="3250"/>
  <c r="AL168" i="3250"/>
  <c r="AF169" i="3250"/>
  <c r="AG169" i="3250"/>
  <c r="AH169" i="3250"/>
  <c r="AI169" i="3250"/>
  <c r="AJ169" i="3250"/>
  <c r="AL169" i="3250"/>
  <c r="AF170" i="3250"/>
  <c r="AG170" i="3250"/>
  <c r="AH170" i="3250"/>
  <c r="AI170" i="3250"/>
  <c r="AJ170" i="3250"/>
  <c r="AL170" i="3250"/>
  <c r="AF171" i="3250"/>
  <c r="AG171" i="3250"/>
  <c r="AH171" i="3250"/>
  <c r="AI171" i="3250"/>
  <c r="AJ171" i="3250"/>
  <c r="AL171" i="3250"/>
  <c r="AF172" i="3250"/>
  <c r="AG172" i="3250"/>
  <c r="AH172" i="3250"/>
  <c r="AI172" i="3250"/>
  <c r="AJ172" i="3250"/>
  <c r="AL172" i="3250"/>
  <c r="AF173" i="3250"/>
  <c r="AG173" i="3250"/>
  <c r="AH173" i="3250"/>
  <c r="AI173" i="3250"/>
  <c r="AJ173" i="3250"/>
  <c r="AL173" i="3250"/>
  <c r="AF174" i="3250"/>
  <c r="AG174" i="3250"/>
  <c r="AH174" i="3250"/>
  <c r="AI174" i="3250"/>
  <c r="AJ174" i="3250"/>
  <c r="AL174" i="3250"/>
  <c r="AF175" i="3250"/>
  <c r="AG175" i="3250"/>
  <c r="AH175" i="3250"/>
  <c r="AI175" i="3250"/>
  <c r="AJ175" i="3250"/>
  <c r="AL175" i="3250"/>
  <c r="AF176" i="3250"/>
  <c r="AG176" i="3250"/>
  <c r="AH176" i="3250"/>
  <c r="AI176" i="3250"/>
  <c r="AJ176" i="3250"/>
  <c r="AL176" i="3250"/>
  <c r="AF177" i="3250"/>
  <c r="AG177" i="3250"/>
  <c r="AH177" i="3250"/>
  <c r="AI177" i="3250"/>
  <c r="AJ177" i="3250"/>
  <c r="AL177" i="3250"/>
  <c r="AF178" i="3250"/>
  <c r="AG178" i="3250"/>
  <c r="AH178" i="3250"/>
  <c r="AI178" i="3250"/>
  <c r="AJ178" i="3250"/>
  <c r="AL178" i="3250"/>
  <c r="AF179" i="3250"/>
  <c r="AG179" i="3250"/>
  <c r="AH179" i="3250"/>
  <c r="AI179" i="3250"/>
  <c r="AJ179" i="3250"/>
  <c r="AL179" i="3250"/>
  <c r="AF180" i="3250"/>
  <c r="AG180" i="3250"/>
  <c r="AH180" i="3250"/>
  <c r="AI180" i="3250"/>
  <c r="AJ180" i="3250"/>
  <c r="AL180" i="3250"/>
  <c r="AF181" i="3250"/>
  <c r="AG181" i="3250"/>
  <c r="AH181" i="3250"/>
  <c r="AI181" i="3250"/>
  <c r="AJ181" i="3250"/>
  <c r="AL181" i="3250"/>
  <c r="AF182" i="3250"/>
  <c r="AG182" i="3250"/>
  <c r="AH182" i="3250"/>
  <c r="AI182" i="3250"/>
  <c r="AJ182" i="3250"/>
  <c r="AL182" i="3250"/>
  <c r="AF183" i="3250"/>
  <c r="AG183" i="3250"/>
  <c r="AH183" i="3250"/>
  <c r="AI183" i="3250"/>
  <c r="AJ183" i="3250"/>
  <c r="AL183" i="3250"/>
  <c r="AF184" i="3250"/>
  <c r="AG184" i="3250"/>
  <c r="AH184" i="3250"/>
  <c r="AI184" i="3250"/>
  <c r="AJ184" i="3250"/>
  <c r="AL184" i="3250"/>
  <c r="AF185" i="3250"/>
  <c r="AG185" i="3250"/>
  <c r="AH185" i="3250"/>
  <c r="AI185" i="3250"/>
  <c r="AJ185" i="3250"/>
  <c r="AL185" i="3250"/>
  <c r="AF186" i="3250"/>
  <c r="AG186" i="3250"/>
  <c r="AH186" i="3250"/>
  <c r="AI186" i="3250"/>
  <c r="AJ186" i="3250"/>
  <c r="AL186" i="3250"/>
  <c r="AF187" i="3250"/>
  <c r="AG187" i="3250"/>
  <c r="AH187" i="3250"/>
  <c r="AI187" i="3250"/>
  <c r="AJ187" i="3250"/>
  <c r="AL187" i="3250"/>
  <c r="AF188" i="3250"/>
  <c r="AG188" i="3250"/>
  <c r="AH188" i="3250"/>
  <c r="AI188" i="3250"/>
  <c r="AJ188" i="3250"/>
  <c r="AL188" i="3250"/>
  <c r="AF189" i="3250"/>
  <c r="AG189" i="3250"/>
  <c r="AH189" i="3250"/>
  <c r="AI189" i="3250"/>
  <c r="AJ189" i="3250"/>
  <c r="AL189" i="3250"/>
  <c r="AF190" i="3250"/>
  <c r="AG190" i="3250"/>
  <c r="AH190" i="3250"/>
  <c r="AI190" i="3250"/>
  <c r="AJ190" i="3250"/>
  <c r="AL190" i="3250"/>
  <c r="AF191" i="3250"/>
  <c r="AG191" i="3250"/>
  <c r="AH191" i="3250"/>
  <c r="AI191" i="3250"/>
  <c r="AJ191" i="3250"/>
  <c r="AL191" i="3250"/>
  <c r="AF192" i="3250"/>
  <c r="AG192" i="3250"/>
  <c r="AH192" i="3250"/>
  <c r="AI192" i="3250"/>
  <c r="AJ192" i="3250"/>
  <c r="AL192" i="3250"/>
  <c r="AF193" i="3250"/>
  <c r="AG193" i="3250"/>
  <c r="AH193" i="3250"/>
  <c r="AI193" i="3250"/>
  <c r="AJ193" i="3250"/>
  <c r="AL193" i="3250"/>
  <c r="AF194" i="3250"/>
  <c r="AG194" i="3250"/>
  <c r="AH194" i="3250"/>
  <c r="AI194" i="3250"/>
  <c r="AJ194" i="3250"/>
  <c r="AL194" i="3250"/>
  <c r="AF195" i="3250"/>
  <c r="AG195" i="3250"/>
  <c r="AH195" i="3250"/>
  <c r="AI195" i="3250"/>
  <c r="AJ195" i="3250"/>
  <c r="AL195" i="3250"/>
  <c r="AF196" i="3250"/>
  <c r="AG196" i="3250"/>
  <c r="AH196" i="3250"/>
  <c r="AI196" i="3250"/>
  <c r="AJ196" i="3250"/>
  <c r="AL196" i="3250"/>
  <c r="AF197" i="3250"/>
  <c r="AG197" i="3250"/>
  <c r="AH197" i="3250"/>
  <c r="AI197" i="3250"/>
  <c r="AJ197" i="3250"/>
  <c r="AL197" i="3250"/>
  <c r="AF198" i="3250"/>
  <c r="AG198" i="3250"/>
  <c r="AH198" i="3250"/>
  <c r="AI198" i="3250"/>
  <c r="AJ198" i="3250"/>
  <c r="AL198" i="3250"/>
  <c r="AF199" i="3250"/>
  <c r="AG199" i="3250"/>
  <c r="AH199" i="3250"/>
  <c r="AI199" i="3250"/>
  <c r="AJ199" i="3250"/>
  <c r="AL199" i="3250"/>
  <c r="AF200" i="3250"/>
  <c r="AG200" i="3250"/>
  <c r="AH200" i="3250"/>
  <c r="AI200" i="3250"/>
  <c r="AJ200" i="3250"/>
  <c r="AL200" i="3250"/>
  <c r="AF201" i="3250"/>
  <c r="AG201" i="3250"/>
  <c r="AH201" i="3250"/>
  <c r="AI201" i="3250"/>
  <c r="AJ201" i="3250"/>
  <c r="AL201" i="3250"/>
  <c r="AF202" i="3250"/>
  <c r="AG202" i="3250"/>
  <c r="AH202" i="3250"/>
  <c r="AI202" i="3250"/>
  <c r="AJ202" i="3250"/>
  <c r="AL202" i="3250"/>
  <c r="AF203" i="3250"/>
  <c r="AG203" i="3250"/>
  <c r="AH203" i="3250"/>
  <c r="AI203" i="3250"/>
  <c r="AJ203" i="3250"/>
  <c r="AL203" i="3250"/>
  <c r="AF204" i="3250"/>
  <c r="AG204" i="3250"/>
  <c r="AH204" i="3250"/>
  <c r="AI204" i="3250"/>
  <c r="AJ204" i="3250"/>
  <c r="AL204" i="3250"/>
  <c r="AF205" i="3250"/>
  <c r="AG205" i="3250"/>
  <c r="AH205" i="3250"/>
  <c r="AI205" i="3250"/>
  <c r="AJ205" i="3250"/>
  <c r="AL205" i="3250"/>
  <c r="AF206" i="3250"/>
  <c r="AG206" i="3250"/>
  <c r="AH206" i="3250"/>
  <c r="AI206" i="3250"/>
  <c r="AJ206" i="3250"/>
  <c r="AL206" i="3250"/>
  <c r="AF207" i="3250"/>
  <c r="AG207" i="3250"/>
  <c r="AH207" i="3250"/>
  <c r="AI207" i="3250"/>
  <c r="AJ207" i="3250"/>
  <c r="AL207" i="3250"/>
  <c r="AF208" i="3250"/>
  <c r="AG208" i="3250"/>
  <c r="AH208" i="3250"/>
  <c r="AI208" i="3250"/>
  <c r="AJ208" i="3250"/>
  <c r="AL208" i="3250"/>
  <c r="AF209" i="3250"/>
  <c r="AG209" i="3250"/>
  <c r="AH209" i="3250"/>
  <c r="AI209" i="3250"/>
  <c r="AJ209" i="3250"/>
  <c r="AL209" i="3250"/>
  <c r="AF210" i="3250"/>
  <c r="AG210" i="3250"/>
  <c r="AH210" i="3250"/>
  <c r="AI210" i="3250"/>
  <c r="AJ210" i="3250"/>
  <c r="AL210" i="3250"/>
  <c r="AF211" i="3250"/>
  <c r="AG211" i="3250"/>
  <c r="AH211" i="3250"/>
  <c r="AI211" i="3250"/>
  <c r="AJ211" i="3250"/>
  <c r="AL211" i="3250"/>
  <c r="AF212" i="3250"/>
  <c r="AG212" i="3250"/>
  <c r="AH212" i="3250"/>
  <c r="AI212" i="3250"/>
  <c r="AJ212" i="3250"/>
  <c r="AL212" i="3250"/>
  <c r="AF213" i="3250"/>
  <c r="AG213" i="3250"/>
  <c r="AH213" i="3250"/>
  <c r="AI213" i="3250"/>
  <c r="AJ213" i="3250"/>
  <c r="AL213" i="3250"/>
  <c r="AF214" i="3250"/>
  <c r="AG214" i="3250"/>
  <c r="AH214" i="3250"/>
  <c r="AI214" i="3250"/>
  <c r="AJ214" i="3250"/>
  <c r="AL214" i="3250"/>
  <c r="AF215" i="3250"/>
  <c r="AG215" i="3250"/>
  <c r="AH215" i="3250"/>
  <c r="AI215" i="3250"/>
  <c r="AJ215" i="3250"/>
  <c r="AL215" i="3250"/>
  <c r="AF216" i="3250"/>
  <c r="AG216" i="3250"/>
  <c r="AH216" i="3250"/>
  <c r="AI216" i="3250"/>
  <c r="AJ216" i="3250"/>
  <c r="AL216" i="3250"/>
  <c r="AF217" i="3250"/>
  <c r="AG217" i="3250"/>
  <c r="AH217" i="3250"/>
  <c r="AI217" i="3250"/>
  <c r="AJ217" i="3250"/>
  <c r="AL217" i="3250"/>
  <c r="AF218" i="3250"/>
  <c r="AG218" i="3250"/>
  <c r="AH218" i="3250"/>
  <c r="AI218" i="3250"/>
  <c r="AJ218" i="3250"/>
  <c r="AL218" i="3250"/>
  <c r="AF219" i="3250"/>
  <c r="AG219" i="3250"/>
  <c r="AH219" i="3250"/>
  <c r="AI219" i="3250"/>
  <c r="AJ219" i="3250"/>
  <c r="AL219" i="3250"/>
  <c r="AF220" i="3250"/>
  <c r="AG220" i="3250"/>
  <c r="AH220" i="3250"/>
  <c r="AI220" i="3250"/>
  <c r="AJ220" i="3250"/>
  <c r="AL220" i="3250"/>
  <c r="AF221" i="3250"/>
  <c r="AG221" i="3250"/>
  <c r="AH221" i="3250"/>
  <c r="AI221" i="3250"/>
  <c r="AJ221" i="3250"/>
  <c r="AL221" i="3250"/>
  <c r="AF222" i="3250"/>
  <c r="AG222" i="3250"/>
  <c r="AH222" i="3250"/>
  <c r="AI222" i="3250"/>
  <c r="AJ222" i="3250"/>
  <c r="AL222" i="3250"/>
  <c r="AF223" i="3250"/>
  <c r="AG223" i="3250"/>
  <c r="AH223" i="3250"/>
  <c r="AI223" i="3250"/>
  <c r="AJ223" i="3250"/>
  <c r="AL223" i="3250"/>
  <c r="AF224" i="3250"/>
  <c r="AG224" i="3250"/>
  <c r="AH224" i="3250"/>
  <c r="AI224" i="3250"/>
  <c r="AJ224" i="3250"/>
  <c r="AL224" i="3250"/>
  <c r="AF225" i="3250"/>
  <c r="AG225" i="3250"/>
  <c r="AH225" i="3250"/>
  <c r="AI225" i="3250"/>
  <c r="AJ225" i="3250"/>
  <c r="AL225" i="3250"/>
  <c r="AF226" i="3250"/>
  <c r="AG226" i="3250"/>
  <c r="AH226" i="3250"/>
  <c r="AI226" i="3250"/>
  <c r="AJ226" i="3250"/>
  <c r="AL226" i="3250"/>
  <c r="AF227" i="3250"/>
  <c r="AG227" i="3250"/>
  <c r="AH227" i="3250"/>
  <c r="AI227" i="3250"/>
  <c r="AJ227" i="3250"/>
  <c r="AL227" i="3250"/>
  <c r="AF228" i="3250"/>
  <c r="AG228" i="3250"/>
  <c r="AH228" i="3250"/>
  <c r="AI228" i="3250"/>
  <c r="AJ228" i="3250"/>
  <c r="AL228" i="3250"/>
  <c r="AF229" i="3250"/>
  <c r="AG229" i="3250"/>
  <c r="AH229" i="3250"/>
  <c r="AI229" i="3250"/>
  <c r="AJ229" i="3250"/>
  <c r="AL229" i="3250"/>
  <c r="AF230" i="3250"/>
  <c r="AG230" i="3250"/>
  <c r="AH230" i="3250"/>
  <c r="AI230" i="3250"/>
  <c r="AJ230" i="3250"/>
  <c r="AL230" i="3250"/>
  <c r="AF231" i="3250"/>
  <c r="AG231" i="3250"/>
  <c r="AH231" i="3250"/>
  <c r="AI231" i="3250"/>
  <c r="AJ231" i="3250"/>
  <c r="AL231" i="3250"/>
  <c r="AF232" i="3250"/>
  <c r="AG232" i="3250"/>
  <c r="AH232" i="3250"/>
  <c r="AI232" i="3250"/>
  <c r="AJ232" i="3250"/>
  <c r="AL232" i="3250"/>
  <c r="AF233" i="3250"/>
  <c r="AG233" i="3250"/>
  <c r="AH233" i="3250"/>
  <c r="AI233" i="3250"/>
  <c r="AJ233" i="3250"/>
  <c r="AL233" i="3250"/>
  <c r="AF234" i="3250"/>
  <c r="AG234" i="3250"/>
  <c r="AH234" i="3250"/>
  <c r="AI234" i="3250"/>
  <c r="AJ234" i="3250"/>
  <c r="AL234" i="3250"/>
  <c r="AF235" i="3250"/>
  <c r="AG235" i="3250"/>
  <c r="AH235" i="3250"/>
  <c r="AI235" i="3250"/>
  <c r="AJ235" i="3250"/>
  <c r="AL235" i="3250"/>
  <c r="AF236" i="3250"/>
  <c r="AG236" i="3250"/>
  <c r="AH236" i="3250"/>
  <c r="AI236" i="3250"/>
  <c r="AJ236" i="3250"/>
  <c r="AL236" i="3250"/>
  <c r="AF237" i="3250"/>
  <c r="AG237" i="3250"/>
  <c r="AH237" i="3250"/>
  <c r="AI237" i="3250"/>
  <c r="AJ237" i="3250"/>
  <c r="AL237" i="3250"/>
  <c r="AF238" i="3250"/>
  <c r="AG238" i="3250"/>
  <c r="AH238" i="3250"/>
  <c r="AI238" i="3250"/>
  <c r="AJ238" i="3250"/>
  <c r="AL238" i="3250"/>
  <c r="AF239" i="3250"/>
  <c r="AG239" i="3250"/>
  <c r="AH239" i="3250"/>
  <c r="AI239" i="3250"/>
  <c r="AJ239" i="3250"/>
  <c r="AL239" i="3250"/>
  <c r="AF240" i="3250"/>
  <c r="AG240" i="3250"/>
  <c r="AH240" i="3250"/>
  <c r="AI240" i="3250"/>
  <c r="AJ240" i="3250"/>
  <c r="AL240" i="3250"/>
  <c r="AF241" i="3250"/>
  <c r="AG241" i="3250"/>
  <c r="AH241" i="3250"/>
  <c r="AI241" i="3250"/>
  <c r="AJ241" i="3250"/>
  <c r="AL241" i="3250"/>
  <c r="AF242" i="3250"/>
  <c r="AG242" i="3250"/>
  <c r="AH242" i="3250"/>
  <c r="AI242" i="3250"/>
  <c r="AJ242" i="3250"/>
  <c r="AL242" i="3250"/>
  <c r="AF243" i="3250"/>
  <c r="AG243" i="3250"/>
  <c r="AH243" i="3250"/>
  <c r="AI243" i="3250"/>
  <c r="AJ243" i="3250"/>
  <c r="AL243" i="3250"/>
  <c r="AF244" i="3250"/>
  <c r="AG244" i="3250"/>
  <c r="AH244" i="3250"/>
  <c r="AI244" i="3250"/>
  <c r="AJ244" i="3250"/>
  <c r="AL244" i="3250"/>
  <c r="AF245" i="3250"/>
  <c r="AG245" i="3250"/>
  <c r="AH245" i="3250"/>
  <c r="AI245" i="3250"/>
  <c r="AJ245" i="3250"/>
  <c r="AL245" i="3250"/>
  <c r="AF246" i="3250"/>
  <c r="AG246" i="3250"/>
  <c r="AH246" i="3250"/>
  <c r="AI246" i="3250"/>
  <c r="AJ246" i="3250"/>
  <c r="AL246" i="3250"/>
  <c r="AF247" i="3250"/>
  <c r="AG247" i="3250"/>
  <c r="AH247" i="3250"/>
  <c r="AI247" i="3250"/>
  <c r="AJ247" i="3250"/>
  <c r="AL247" i="3250"/>
  <c r="AF248" i="3250"/>
  <c r="AG248" i="3250"/>
  <c r="AH248" i="3250"/>
  <c r="AI248" i="3250"/>
  <c r="AJ248" i="3250"/>
  <c r="AL248" i="3250"/>
  <c r="AF249" i="3250"/>
  <c r="AG249" i="3250"/>
  <c r="AH249" i="3250"/>
  <c r="AI249" i="3250"/>
  <c r="AJ249" i="3250"/>
  <c r="AL249" i="3250"/>
  <c r="AF250" i="3250"/>
  <c r="AG250" i="3250"/>
  <c r="AH250" i="3250"/>
  <c r="AI250" i="3250"/>
  <c r="AJ250" i="3250"/>
  <c r="AL250" i="3250"/>
  <c r="AF251" i="3250"/>
  <c r="AG251" i="3250"/>
  <c r="AH251" i="3250"/>
  <c r="AI251" i="3250"/>
  <c r="AJ251" i="3250"/>
  <c r="AL251" i="3250"/>
  <c r="AF252" i="3250"/>
  <c r="AG252" i="3250"/>
  <c r="AH252" i="3250"/>
  <c r="AI252" i="3250"/>
  <c r="AJ252" i="3250"/>
  <c r="AL252" i="3250"/>
  <c r="AF253" i="3250"/>
  <c r="AG253" i="3250"/>
  <c r="AH253" i="3250"/>
  <c r="AI253" i="3250"/>
  <c r="AJ253" i="3250"/>
  <c r="AL253" i="3250"/>
  <c r="AF254" i="3250"/>
  <c r="AG254" i="3250"/>
  <c r="AH254" i="3250"/>
  <c r="AI254" i="3250"/>
  <c r="AJ254" i="3250"/>
  <c r="AL254" i="3250"/>
  <c r="AF255" i="3250"/>
  <c r="AG255" i="3250"/>
  <c r="AH255" i="3250"/>
  <c r="AI255" i="3250"/>
  <c r="AJ255" i="3250"/>
  <c r="AL255" i="3250"/>
  <c r="AF256" i="3250"/>
  <c r="AG256" i="3250"/>
  <c r="AH256" i="3250"/>
  <c r="AI256" i="3250"/>
  <c r="AJ256" i="3250"/>
  <c r="AL256" i="3250"/>
  <c r="AF257" i="3250"/>
  <c r="AG257" i="3250"/>
  <c r="AH257" i="3250"/>
  <c r="AI257" i="3250"/>
  <c r="AJ257" i="3250"/>
  <c r="AL257" i="3250"/>
  <c r="AF258" i="3250"/>
  <c r="AG258" i="3250"/>
  <c r="AH258" i="3250"/>
  <c r="AI258" i="3250"/>
  <c r="AJ258" i="3250"/>
  <c r="AL258" i="3250"/>
  <c r="AF259" i="3250"/>
  <c r="AG259" i="3250"/>
  <c r="AH259" i="3250"/>
  <c r="AI259" i="3250"/>
  <c r="AJ259" i="3250"/>
  <c r="AL259" i="3250"/>
  <c r="AF260" i="3250"/>
  <c r="AG260" i="3250"/>
  <c r="AH260" i="3250"/>
  <c r="AI260" i="3250"/>
  <c r="AJ260" i="3250"/>
  <c r="AL260" i="3250"/>
  <c r="AF261" i="3250"/>
  <c r="AG261" i="3250"/>
  <c r="AH261" i="3250"/>
  <c r="AI261" i="3250"/>
  <c r="AJ261" i="3250"/>
  <c r="AL261" i="3250"/>
  <c r="AF262" i="3250"/>
  <c r="AG262" i="3250"/>
  <c r="AH262" i="3250"/>
  <c r="AI262" i="3250"/>
  <c r="AJ262" i="3250"/>
  <c r="AL262" i="3250"/>
  <c r="AF263" i="3250"/>
  <c r="AG263" i="3250"/>
  <c r="AH263" i="3250"/>
  <c r="AI263" i="3250"/>
  <c r="AJ263" i="3250"/>
  <c r="AL263" i="3250"/>
  <c r="AF264" i="3250"/>
  <c r="AG264" i="3250"/>
  <c r="AH264" i="3250"/>
  <c r="AI264" i="3250"/>
  <c r="AJ264" i="3250"/>
  <c r="AL264" i="3250"/>
  <c r="AF265" i="3250"/>
  <c r="AG265" i="3250"/>
  <c r="AH265" i="3250"/>
  <c r="AI265" i="3250"/>
  <c r="AJ265" i="3250"/>
  <c r="AL265" i="3250"/>
  <c r="AF266" i="3250"/>
  <c r="AG266" i="3250"/>
  <c r="AH266" i="3250"/>
  <c r="AI266" i="3250"/>
  <c r="AJ266" i="3250"/>
  <c r="AL266" i="3250"/>
  <c r="AF267" i="3250"/>
  <c r="AG267" i="3250"/>
  <c r="AH267" i="3250"/>
  <c r="AI267" i="3250"/>
  <c r="AJ267" i="3250"/>
  <c r="AL267" i="3250"/>
  <c r="AF268" i="3250"/>
  <c r="AG268" i="3250"/>
  <c r="AH268" i="3250"/>
  <c r="AI268" i="3250"/>
  <c r="AJ268" i="3250"/>
  <c r="AL268" i="3250"/>
  <c r="AF269" i="3250"/>
  <c r="AG269" i="3250"/>
  <c r="AH269" i="3250"/>
  <c r="AI269" i="3250"/>
  <c r="AJ269" i="3250"/>
  <c r="AL269" i="3250"/>
  <c r="AF270" i="3250"/>
  <c r="AG270" i="3250"/>
  <c r="AH270" i="3250"/>
  <c r="AI270" i="3250"/>
  <c r="AJ270" i="3250"/>
  <c r="AL270" i="3250"/>
  <c r="AF271" i="3250"/>
  <c r="AG271" i="3250"/>
  <c r="AH271" i="3250"/>
  <c r="AI271" i="3250"/>
  <c r="AJ271" i="3250"/>
  <c r="AL271" i="3250"/>
  <c r="AF272" i="3250"/>
  <c r="AG272" i="3250"/>
  <c r="AH272" i="3250"/>
  <c r="AI272" i="3250"/>
  <c r="AJ272" i="3250"/>
  <c r="AL272" i="3250"/>
  <c r="AF273" i="3250"/>
  <c r="AG273" i="3250"/>
  <c r="AH273" i="3250"/>
  <c r="AI273" i="3250"/>
  <c r="AJ273" i="3250"/>
  <c r="AL273" i="3250"/>
  <c r="AF274" i="3250"/>
  <c r="AG274" i="3250"/>
  <c r="AH274" i="3250"/>
  <c r="AI274" i="3250"/>
  <c r="AJ274" i="3250"/>
  <c r="AL274" i="3250"/>
  <c r="AF275" i="3250"/>
  <c r="AG275" i="3250"/>
  <c r="AH275" i="3250"/>
  <c r="AI275" i="3250"/>
  <c r="AJ275" i="3250"/>
  <c r="AL275" i="3250"/>
  <c r="AF276" i="3250"/>
  <c r="AG276" i="3250"/>
  <c r="AH276" i="3250"/>
  <c r="AI276" i="3250"/>
  <c r="AJ276" i="3250"/>
  <c r="AL276" i="3250"/>
  <c r="AF277" i="3250"/>
  <c r="AG277" i="3250"/>
  <c r="AH277" i="3250"/>
  <c r="AI277" i="3250"/>
  <c r="AJ277" i="3250"/>
  <c r="AL277" i="3250"/>
  <c r="AF278" i="3250"/>
  <c r="AG278" i="3250"/>
  <c r="AH278" i="3250"/>
  <c r="AI278" i="3250"/>
  <c r="AJ278" i="3250"/>
  <c r="AL278" i="3250"/>
  <c r="AF279" i="3250"/>
  <c r="AG279" i="3250"/>
  <c r="AH279" i="3250"/>
  <c r="AI279" i="3250"/>
  <c r="AJ279" i="3250"/>
  <c r="AL279" i="3250"/>
  <c r="AF280" i="3250"/>
  <c r="AG280" i="3250"/>
  <c r="AH280" i="3250"/>
  <c r="AI280" i="3250"/>
  <c r="AJ280" i="3250"/>
  <c r="AL280" i="3250"/>
  <c r="AF281" i="3250"/>
  <c r="AG281" i="3250"/>
  <c r="AH281" i="3250"/>
  <c r="AI281" i="3250"/>
  <c r="AJ281" i="3250"/>
  <c r="AL281" i="3250"/>
  <c r="AF282" i="3250"/>
  <c r="AG282" i="3250"/>
  <c r="AH282" i="3250"/>
  <c r="AI282" i="3250"/>
  <c r="AJ282" i="3250"/>
  <c r="AL282" i="3250"/>
  <c r="AF283" i="3250"/>
  <c r="AG283" i="3250"/>
  <c r="AH283" i="3250"/>
  <c r="AI283" i="3250"/>
  <c r="AJ283" i="3250"/>
  <c r="AL283" i="3250"/>
  <c r="AF284" i="3250"/>
  <c r="AG284" i="3250"/>
  <c r="AH284" i="3250"/>
  <c r="AI284" i="3250"/>
  <c r="AJ284" i="3250"/>
  <c r="AL284" i="3250"/>
  <c r="AF285" i="3250"/>
  <c r="AG285" i="3250"/>
  <c r="AH285" i="3250"/>
  <c r="AI285" i="3250"/>
  <c r="AJ285" i="3250"/>
  <c r="AL285" i="3250"/>
  <c r="AF286" i="3250"/>
  <c r="AG286" i="3250"/>
  <c r="AH286" i="3250"/>
  <c r="AI286" i="3250"/>
  <c r="AJ286" i="3250"/>
  <c r="AL286" i="3250"/>
  <c r="AF287" i="3250"/>
  <c r="AG287" i="3250"/>
  <c r="AH287" i="3250"/>
  <c r="AI287" i="3250"/>
  <c r="AJ287" i="3250"/>
  <c r="AL287" i="3250"/>
  <c r="AF288" i="3250"/>
  <c r="AG288" i="3250"/>
  <c r="AH288" i="3250"/>
  <c r="AI288" i="3250"/>
  <c r="AJ288" i="3250"/>
  <c r="AL288" i="3250"/>
  <c r="AF289" i="3250"/>
  <c r="AG289" i="3250"/>
  <c r="AH289" i="3250"/>
  <c r="AI289" i="3250"/>
  <c r="AJ289" i="3250"/>
  <c r="AL289" i="3250"/>
  <c r="AF290" i="3250"/>
  <c r="AG290" i="3250"/>
  <c r="AH290" i="3250"/>
  <c r="AI290" i="3250"/>
  <c r="AJ290" i="3250"/>
  <c r="AL290" i="3250"/>
  <c r="AF291" i="3250"/>
  <c r="AG291" i="3250"/>
  <c r="AH291" i="3250"/>
  <c r="AI291" i="3250"/>
  <c r="AJ291" i="3250"/>
  <c r="AL291" i="3250"/>
  <c r="AF292" i="3250"/>
  <c r="AG292" i="3250"/>
  <c r="AH292" i="3250"/>
  <c r="AI292" i="3250"/>
  <c r="AJ292" i="3250"/>
  <c r="AL292" i="3250"/>
  <c r="AF293" i="3250"/>
  <c r="AG293" i="3250"/>
  <c r="AH293" i="3250"/>
  <c r="AI293" i="3250"/>
  <c r="AJ293" i="3250"/>
  <c r="AL293" i="3250"/>
  <c r="AF294" i="3250"/>
  <c r="AG294" i="3250"/>
  <c r="AH294" i="3250"/>
  <c r="AI294" i="3250"/>
  <c r="AJ294" i="3250"/>
  <c r="AL294" i="3250"/>
  <c r="AF295" i="3250"/>
  <c r="AG295" i="3250"/>
  <c r="AH295" i="3250"/>
  <c r="AI295" i="3250"/>
  <c r="AJ295" i="3250"/>
  <c r="AL295" i="3250"/>
  <c r="AF296" i="3250"/>
  <c r="AG296" i="3250"/>
  <c r="AH296" i="3250"/>
  <c r="AI296" i="3250"/>
  <c r="AJ296" i="3250"/>
  <c r="AL296" i="3250"/>
  <c r="AF297" i="3250"/>
  <c r="AG297" i="3250"/>
  <c r="AH297" i="3250"/>
  <c r="AI297" i="3250"/>
  <c r="AJ297" i="3250"/>
  <c r="AL297" i="3250"/>
  <c r="AF298" i="3250"/>
  <c r="AG298" i="3250"/>
  <c r="AH298" i="3250"/>
  <c r="AI298" i="3250"/>
  <c r="AJ298" i="3250"/>
  <c r="AL298" i="3250"/>
  <c r="AF299" i="3250"/>
  <c r="AG299" i="3250"/>
  <c r="AH299" i="3250"/>
  <c r="AI299" i="3250"/>
  <c r="AJ299" i="3250"/>
  <c r="AL299" i="3250"/>
  <c r="AF300" i="3250"/>
  <c r="AG300" i="3250"/>
  <c r="AH300" i="3250"/>
  <c r="AI300" i="3250"/>
  <c r="AJ300" i="3250"/>
  <c r="AL300" i="3250"/>
  <c r="AF301" i="3250"/>
  <c r="AG301" i="3250"/>
  <c r="AH301" i="3250"/>
  <c r="AI301" i="3250"/>
  <c r="AJ301" i="3250"/>
  <c r="AL301" i="3250"/>
  <c r="AF302" i="3250"/>
  <c r="AG302" i="3250"/>
  <c r="AH302" i="3250"/>
  <c r="AI302" i="3250"/>
  <c r="AJ302" i="3250"/>
  <c r="AL302" i="3250"/>
  <c r="AF303" i="3250"/>
  <c r="AG303" i="3250"/>
  <c r="AH303" i="3250"/>
  <c r="AI303" i="3250"/>
  <c r="AJ303" i="3250"/>
  <c r="AL303" i="3250"/>
  <c r="AF304" i="3250"/>
  <c r="AG304" i="3250"/>
  <c r="AH304" i="3250"/>
  <c r="AI304" i="3250"/>
  <c r="AJ304" i="3250"/>
  <c r="AL304" i="3250"/>
  <c r="AF305" i="3250"/>
  <c r="AG305" i="3250"/>
  <c r="AH305" i="3250"/>
  <c r="AI305" i="3250"/>
  <c r="AJ305" i="3250"/>
  <c r="AL305" i="3250"/>
  <c r="AF306" i="3250"/>
  <c r="AG306" i="3250"/>
  <c r="AH306" i="3250"/>
  <c r="AI306" i="3250"/>
  <c r="AJ306" i="3250"/>
  <c r="AL306" i="3250"/>
  <c r="AF307" i="3250"/>
  <c r="AG307" i="3250"/>
  <c r="AH307" i="3250"/>
  <c r="AI307" i="3250"/>
  <c r="AJ307" i="3250"/>
  <c r="AL307" i="3250"/>
  <c r="AF308" i="3250"/>
  <c r="AG308" i="3250"/>
  <c r="AH308" i="3250"/>
  <c r="AI308" i="3250"/>
  <c r="AJ308" i="3250"/>
  <c r="AL308" i="3250"/>
  <c r="AF309" i="3250"/>
  <c r="AG309" i="3250"/>
  <c r="AH309" i="3250"/>
  <c r="AI309" i="3250"/>
  <c r="AJ309" i="3250"/>
  <c r="AL309" i="3250"/>
  <c r="AF310" i="3250"/>
  <c r="AG310" i="3250"/>
  <c r="AH310" i="3250"/>
  <c r="AI310" i="3250"/>
  <c r="AJ310" i="3250"/>
  <c r="AL310" i="3250"/>
  <c r="AF311" i="3250"/>
  <c r="AG311" i="3250"/>
  <c r="AH311" i="3250"/>
  <c r="AI311" i="3250"/>
  <c r="AJ311" i="3250"/>
  <c r="AL311" i="3250"/>
  <c r="AF312" i="3250"/>
  <c r="AG312" i="3250"/>
  <c r="AH312" i="3250"/>
  <c r="AI312" i="3250"/>
  <c r="AJ312" i="3250"/>
  <c r="AL312" i="3250"/>
  <c r="AF313" i="3250"/>
  <c r="AG313" i="3250"/>
  <c r="AH313" i="3250"/>
  <c r="AI313" i="3250"/>
  <c r="AJ313" i="3250"/>
  <c r="AL313" i="3250"/>
  <c r="AF314" i="3250"/>
  <c r="AG314" i="3250"/>
  <c r="AH314" i="3250"/>
  <c r="AI314" i="3250"/>
  <c r="AJ314" i="3250"/>
  <c r="AL314" i="3250"/>
  <c r="AF315" i="3250"/>
  <c r="AG315" i="3250"/>
  <c r="AH315" i="3250"/>
  <c r="AI315" i="3250"/>
  <c r="AJ315" i="3250"/>
  <c r="AL315" i="3250"/>
  <c r="AF316" i="3250"/>
  <c r="AG316" i="3250"/>
  <c r="AH316" i="3250"/>
  <c r="AI316" i="3250"/>
  <c r="AJ316" i="3250"/>
  <c r="AL316" i="3250"/>
  <c r="AF317" i="3250"/>
  <c r="AG317" i="3250"/>
  <c r="AH317" i="3250"/>
  <c r="AI317" i="3250"/>
  <c r="AJ317" i="3250"/>
  <c r="AL317" i="3250"/>
  <c r="AF318" i="3250"/>
  <c r="AG318" i="3250"/>
  <c r="AH318" i="3250"/>
  <c r="AI318" i="3250"/>
  <c r="AJ318" i="3250"/>
  <c r="AL318" i="3250"/>
  <c r="AF319" i="3250"/>
  <c r="AG319" i="3250"/>
  <c r="AH319" i="3250"/>
  <c r="AI319" i="3250"/>
  <c r="AJ319" i="3250"/>
  <c r="AL319" i="3250"/>
  <c r="AF320" i="3250"/>
  <c r="AG320" i="3250"/>
  <c r="AH320" i="3250"/>
  <c r="AI320" i="3250"/>
  <c r="AJ320" i="3250"/>
  <c r="AL320" i="3250"/>
  <c r="AF321" i="3250"/>
  <c r="AG321" i="3250"/>
  <c r="AH321" i="3250"/>
  <c r="AI321" i="3250"/>
  <c r="AJ321" i="3250"/>
  <c r="AL321" i="3250"/>
  <c r="AF322" i="3250"/>
  <c r="AG322" i="3250"/>
  <c r="AH322" i="3250"/>
  <c r="AI322" i="3250"/>
  <c r="AJ322" i="3250"/>
  <c r="AL322" i="3250"/>
  <c r="AF323" i="3250"/>
  <c r="AG323" i="3250"/>
  <c r="AH323" i="3250"/>
  <c r="AI323" i="3250"/>
  <c r="AJ323" i="3250"/>
  <c r="AL323" i="3250"/>
  <c r="AF324" i="3250"/>
  <c r="AG324" i="3250"/>
  <c r="AH324" i="3250"/>
  <c r="AI324" i="3250"/>
  <c r="AJ324" i="3250"/>
  <c r="AL324" i="3250"/>
  <c r="AF325" i="3250"/>
  <c r="AG325" i="3250"/>
  <c r="AH325" i="3250"/>
  <c r="AI325" i="3250"/>
  <c r="AJ325" i="3250"/>
  <c r="AL325" i="3250"/>
  <c r="AF326" i="3250"/>
  <c r="AG326" i="3250"/>
  <c r="AH326" i="3250"/>
  <c r="AI326" i="3250"/>
  <c r="AJ326" i="3250"/>
  <c r="AL326" i="3250"/>
  <c r="AF327" i="3250"/>
  <c r="AG327" i="3250"/>
  <c r="AH327" i="3250"/>
  <c r="AI327" i="3250"/>
  <c r="AJ327" i="3250"/>
  <c r="AL327" i="3250"/>
  <c r="AF328" i="3250"/>
  <c r="AG328" i="3250"/>
  <c r="AH328" i="3250"/>
  <c r="AI328" i="3250"/>
  <c r="AJ328" i="3250"/>
  <c r="AL328" i="3250"/>
  <c r="AF329" i="3250"/>
  <c r="AG329" i="3250"/>
  <c r="AH329" i="3250"/>
  <c r="AI329" i="3250"/>
  <c r="AJ329" i="3250"/>
  <c r="AL329" i="3250"/>
  <c r="AF330" i="3250"/>
  <c r="AG330" i="3250"/>
  <c r="AH330" i="3250"/>
  <c r="AI330" i="3250"/>
  <c r="AJ330" i="3250"/>
  <c r="AL330" i="3250"/>
  <c r="AF331" i="3250"/>
  <c r="AG331" i="3250"/>
  <c r="AH331" i="3250"/>
  <c r="AI331" i="3250"/>
  <c r="AJ331" i="3250"/>
  <c r="AL331" i="3250"/>
  <c r="AF332" i="3250"/>
  <c r="AG332" i="3250"/>
  <c r="AH332" i="3250"/>
  <c r="AI332" i="3250"/>
  <c r="AJ332" i="3250"/>
  <c r="AL332" i="3250"/>
  <c r="AF333" i="3250"/>
  <c r="AG333" i="3250"/>
  <c r="AH333" i="3250"/>
  <c r="AI333" i="3250"/>
  <c r="AJ333" i="3250"/>
  <c r="AL333" i="3250"/>
  <c r="AF334" i="3250"/>
  <c r="AG334" i="3250"/>
  <c r="AH334" i="3250"/>
  <c r="AI334" i="3250"/>
  <c r="AJ334" i="3250"/>
  <c r="AL334" i="3250"/>
  <c r="AF335" i="3250"/>
  <c r="AG335" i="3250"/>
  <c r="AH335" i="3250"/>
  <c r="AI335" i="3250"/>
  <c r="AJ335" i="3250"/>
  <c r="AL335" i="3250"/>
  <c r="AF336" i="3250"/>
  <c r="AG336" i="3250"/>
  <c r="AH336" i="3250"/>
  <c r="AI336" i="3250"/>
  <c r="AJ336" i="3250"/>
  <c r="AL336" i="3250"/>
  <c r="AF337" i="3250"/>
  <c r="AG337" i="3250"/>
  <c r="AH337" i="3250"/>
  <c r="AI337" i="3250"/>
  <c r="AJ337" i="3250"/>
  <c r="AL337" i="3250"/>
  <c r="AF338" i="3250"/>
  <c r="AG338" i="3250"/>
  <c r="AH338" i="3250"/>
  <c r="AI338" i="3250"/>
  <c r="AJ338" i="3250"/>
  <c r="AL338" i="3250"/>
  <c r="AF339" i="3250"/>
  <c r="AG339" i="3250"/>
  <c r="AH339" i="3250"/>
  <c r="AI339" i="3250"/>
  <c r="AJ339" i="3250"/>
  <c r="AL339" i="3250"/>
  <c r="AF340" i="3250"/>
  <c r="AG340" i="3250"/>
  <c r="AH340" i="3250"/>
  <c r="AI340" i="3250"/>
  <c r="AJ340" i="3250"/>
  <c r="AL340" i="3250"/>
  <c r="AF341" i="3250"/>
  <c r="AG341" i="3250"/>
  <c r="AH341" i="3250"/>
  <c r="AI341" i="3250"/>
  <c r="AJ341" i="3250"/>
  <c r="AL341" i="3250"/>
  <c r="AF342" i="3250"/>
  <c r="AG342" i="3250"/>
  <c r="AH342" i="3250"/>
  <c r="AI342" i="3250"/>
  <c r="AJ342" i="3250"/>
  <c r="AL342" i="3250"/>
  <c r="AF343" i="3250"/>
  <c r="AG343" i="3250"/>
  <c r="AH343" i="3250"/>
  <c r="AI343" i="3250"/>
  <c r="AJ343" i="3250"/>
  <c r="AL343" i="3250"/>
  <c r="AF344" i="3250"/>
  <c r="AG344" i="3250"/>
  <c r="AH344" i="3250"/>
  <c r="AI344" i="3250"/>
  <c r="AJ344" i="3250"/>
  <c r="AL344" i="3250"/>
  <c r="AF345" i="3250"/>
  <c r="AG345" i="3250"/>
  <c r="AH345" i="3250"/>
  <c r="AI345" i="3250"/>
  <c r="AJ345" i="3250"/>
  <c r="AL345" i="3250"/>
  <c r="AF346" i="3250"/>
  <c r="AG346" i="3250"/>
  <c r="AH346" i="3250"/>
  <c r="AI346" i="3250"/>
  <c r="AJ346" i="3250"/>
  <c r="AL346" i="3250"/>
  <c r="AF347" i="3250"/>
  <c r="AG347" i="3250"/>
  <c r="AH347" i="3250"/>
  <c r="AI347" i="3250"/>
  <c r="AJ347" i="3250"/>
  <c r="AL347" i="3250"/>
  <c r="AF348" i="3250"/>
  <c r="AG348" i="3250"/>
  <c r="AH348" i="3250"/>
  <c r="AI348" i="3250"/>
  <c r="AJ348" i="3250"/>
  <c r="AL348" i="3250"/>
  <c r="AF349" i="3250"/>
  <c r="AG349" i="3250"/>
  <c r="AH349" i="3250"/>
  <c r="AI349" i="3250"/>
  <c r="AJ349" i="3250"/>
  <c r="AL349" i="3250"/>
  <c r="AF350" i="3250"/>
  <c r="AG350" i="3250"/>
  <c r="AH350" i="3250"/>
  <c r="AI350" i="3250"/>
  <c r="AJ350" i="3250"/>
  <c r="AL350" i="3250"/>
  <c r="AF351" i="3250"/>
  <c r="AG351" i="3250"/>
  <c r="AH351" i="3250"/>
  <c r="AI351" i="3250"/>
  <c r="AJ351" i="3250"/>
  <c r="AL351" i="3250"/>
  <c r="AF352" i="3250"/>
  <c r="AG352" i="3250"/>
  <c r="AH352" i="3250"/>
  <c r="AI352" i="3250"/>
  <c r="AJ352" i="3250"/>
  <c r="AL352" i="3250"/>
  <c r="AF353" i="3250"/>
  <c r="AG353" i="3250"/>
  <c r="AH353" i="3250"/>
  <c r="AI353" i="3250"/>
  <c r="AJ353" i="3250"/>
  <c r="AL353" i="3250"/>
  <c r="AF354" i="3250"/>
  <c r="AG354" i="3250"/>
  <c r="AH354" i="3250"/>
  <c r="AI354" i="3250"/>
  <c r="AJ354" i="3250"/>
  <c r="AL354" i="3250"/>
  <c r="AF355" i="3250"/>
  <c r="AG355" i="3250"/>
  <c r="AH355" i="3250"/>
  <c r="AI355" i="3250"/>
  <c r="AJ355" i="3250"/>
  <c r="AL355" i="3250"/>
  <c r="AF356" i="3250"/>
  <c r="AG356" i="3250"/>
  <c r="AH356" i="3250"/>
  <c r="AI356" i="3250"/>
  <c r="AJ356" i="3250"/>
  <c r="AL356" i="3250"/>
  <c r="AF357" i="3250"/>
  <c r="AG357" i="3250"/>
  <c r="AH357" i="3250"/>
  <c r="AI357" i="3250"/>
  <c r="AJ357" i="3250"/>
  <c r="AL357" i="3250"/>
  <c r="AF358" i="3250"/>
  <c r="AG358" i="3250"/>
  <c r="AH358" i="3250"/>
  <c r="AI358" i="3250"/>
  <c r="AJ358" i="3250"/>
  <c r="AL358" i="3250"/>
  <c r="AF359" i="3250"/>
  <c r="AG359" i="3250"/>
  <c r="AH359" i="3250"/>
  <c r="AI359" i="3250"/>
  <c r="AJ359" i="3250"/>
  <c r="AL359" i="3250"/>
  <c r="AF360" i="3250"/>
  <c r="AG360" i="3250"/>
  <c r="AH360" i="3250"/>
  <c r="AI360" i="3250"/>
  <c r="AJ360" i="3250"/>
  <c r="AL360" i="3250"/>
  <c r="AF361" i="3250"/>
  <c r="AG361" i="3250"/>
  <c r="AH361" i="3250"/>
  <c r="AI361" i="3250"/>
  <c r="AJ361" i="3250"/>
  <c r="AL361" i="3250"/>
  <c r="AF362" i="3250"/>
  <c r="AG362" i="3250"/>
  <c r="AH362" i="3250"/>
  <c r="AI362" i="3250"/>
  <c r="AJ362" i="3250"/>
  <c r="AL362" i="3250"/>
  <c r="AF363" i="3250"/>
  <c r="AG363" i="3250"/>
  <c r="AH363" i="3250"/>
  <c r="AI363" i="3250"/>
  <c r="AJ363" i="3250"/>
  <c r="AL363" i="3250"/>
  <c r="AF364" i="3250"/>
  <c r="AG364" i="3250"/>
  <c r="AH364" i="3250"/>
  <c r="AI364" i="3250"/>
  <c r="AJ364" i="3250"/>
  <c r="AL364" i="3250"/>
  <c r="AF365" i="3250"/>
  <c r="AG365" i="3250"/>
  <c r="AH365" i="3250"/>
  <c r="AI365" i="3250"/>
  <c r="AJ365" i="3250"/>
  <c r="AL365" i="3250"/>
  <c r="AF366" i="3250"/>
  <c r="AG366" i="3250"/>
  <c r="AH366" i="3250"/>
  <c r="AI366" i="3250"/>
  <c r="AJ366" i="3250"/>
  <c r="AL366" i="3250"/>
  <c r="AF367" i="3250"/>
  <c r="AG367" i="3250"/>
  <c r="AH367" i="3250"/>
  <c r="AI367" i="3250"/>
  <c r="AJ367" i="3250"/>
  <c r="AL367" i="3250"/>
  <c r="AF368" i="3250"/>
  <c r="AG368" i="3250"/>
  <c r="AH368" i="3250"/>
  <c r="AI368" i="3250"/>
  <c r="AJ368" i="3250"/>
  <c r="AL368" i="3250"/>
  <c r="AF369" i="3250"/>
  <c r="AG369" i="3250"/>
  <c r="AH369" i="3250"/>
  <c r="AI369" i="3250"/>
  <c r="AJ369" i="3250"/>
  <c r="AL369" i="3250"/>
  <c r="AF370" i="3250"/>
  <c r="AG370" i="3250"/>
  <c r="AH370" i="3250"/>
  <c r="AI370" i="3250"/>
  <c r="AJ370" i="3250"/>
  <c r="AL370" i="3250"/>
  <c r="AF371" i="3250"/>
  <c r="AG371" i="3250"/>
  <c r="AH371" i="3250"/>
  <c r="AI371" i="3250"/>
  <c r="AJ371" i="3250"/>
  <c r="AL371" i="3250"/>
  <c r="AF372" i="3250"/>
  <c r="AG372" i="3250"/>
  <c r="AH372" i="3250"/>
  <c r="AI372" i="3250"/>
  <c r="AJ372" i="3250"/>
  <c r="AL372" i="3250"/>
  <c r="AF373" i="3250"/>
  <c r="AG373" i="3250"/>
  <c r="AH373" i="3250"/>
  <c r="AI373" i="3250"/>
  <c r="AJ373" i="3250"/>
  <c r="AL373" i="3250"/>
  <c r="AF374" i="3250"/>
  <c r="AG374" i="3250"/>
  <c r="AH374" i="3250"/>
  <c r="AI374" i="3250"/>
  <c r="AJ374" i="3250"/>
  <c r="AL374" i="3250"/>
  <c r="AF375" i="3250"/>
  <c r="AG375" i="3250"/>
  <c r="AH375" i="3250"/>
  <c r="AI375" i="3250"/>
  <c r="AJ375" i="3250"/>
  <c r="AL375" i="3250"/>
  <c r="AF376" i="3250"/>
  <c r="AG376" i="3250"/>
  <c r="AH376" i="3250"/>
  <c r="AI376" i="3250"/>
  <c r="AJ376" i="3250"/>
  <c r="AL376" i="3250"/>
  <c r="AF377" i="3250"/>
  <c r="AG377" i="3250"/>
  <c r="AH377" i="3250"/>
  <c r="AI377" i="3250"/>
  <c r="AJ377" i="3250"/>
  <c r="AL377" i="3250"/>
  <c r="AF378" i="3250"/>
  <c r="AG378" i="3250"/>
  <c r="AH378" i="3250"/>
  <c r="AI378" i="3250"/>
  <c r="AJ378" i="3250"/>
  <c r="AL378" i="3250"/>
  <c r="AF379" i="3250"/>
  <c r="AG379" i="3250"/>
  <c r="AH379" i="3250"/>
  <c r="AI379" i="3250"/>
  <c r="AJ379" i="3250"/>
  <c r="AL379" i="3250"/>
  <c r="AF380" i="3250"/>
  <c r="AG380" i="3250"/>
  <c r="AH380" i="3250"/>
  <c r="AI380" i="3250"/>
  <c r="AJ380" i="3250"/>
  <c r="AL380" i="3250"/>
  <c r="AF381" i="3250"/>
  <c r="AG381" i="3250"/>
  <c r="AH381" i="3250"/>
  <c r="AI381" i="3250"/>
  <c r="AJ381" i="3250"/>
  <c r="AL381" i="3250"/>
  <c r="AF382" i="3250"/>
  <c r="AG382" i="3250"/>
  <c r="AH382" i="3250"/>
  <c r="AI382" i="3250"/>
  <c r="AJ382" i="3250"/>
  <c r="AL382" i="3250"/>
  <c r="AF383" i="3250"/>
  <c r="AG383" i="3250"/>
  <c r="AH383" i="3250"/>
  <c r="AI383" i="3250"/>
  <c r="AJ383" i="3250"/>
  <c r="AL383" i="3250"/>
  <c r="AF384" i="3250"/>
  <c r="AG384" i="3250"/>
  <c r="AH384" i="3250"/>
  <c r="AI384" i="3250"/>
  <c r="AJ384" i="3250"/>
  <c r="AL384" i="3250"/>
  <c r="AF385" i="3250"/>
  <c r="AG385" i="3250"/>
  <c r="AH385" i="3250"/>
  <c r="AI385" i="3250"/>
  <c r="AJ385" i="3250"/>
  <c r="AL385" i="3250"/>
  <c r="AF386" i="3250"/>
  <c r="AG386" i="3250"/>
  <c r="AH386" i="3250"/>
  <c r="AI386" i="3250"/>
  <c r="AJ386" i="3250"/>
  <c r="AL386" i="3250"/>
  <c r="AF387" i="3250"/>
  <c r="AG387" i="3250"/>
  <c r="AH387" i="3250"/>
  <c r="AI387" i="3250"/>
  <c r="AJ387" i="3250"/>
  <c r="AL387" i="3250"/>
  <c r="AF388" i="3250"/>
  <c r="AG388" i="3250"/>
  <c r="AH388" i="3250"/>
  <c r="AI388" i="3250"/>
  <c r="AJ388" i="3250"/>
  <c r="AL388" i="3250"/>
  <c r="AF389" i="3250"/>
  <c r="AG389" i="3250"/>
  <c r="AH389" i="3250"/>
  <c r="AI389" i="3250"/>
  <c r="AJ389" i="3250"/>
  <c r="AL389" i="3250"/>
  <c r="AF390" i="3250"/>
  <c r="AG390" i="3250"/>
  <c r="AH390" i="3250"/>
  <c r="AI390" i="3250"/>
  <c r="AJ390" i="3250"/>
  <c r="AL390" i="3250"/>
  <c r="AF391" i="3250"/>
  <c r="AG391" i="3250"/>
  <c r="AH391" i="3250"/>
  <c r="AI391" i="3250"/>
  <c r="AJ391" i="3250"/>
  <c r="AL391" i="3250"/>
  <c r="AF392" i="3250"/>
  <c r="AG392" i="3250"/>
  <c r="AH392" i="3250"/>
  <c r="AI392" i="3250"/>
  <c r="AJ392" i="3250"/>
  <c r="AL392" i="3250"/>
  <c r="AF393" i="3250"/>
  <c r="AG393" i="3250"/>
  <c r="AH393" i="3250"/>
  <c r="AI393" i="3250"/>
  <c r="AJ393" i="3250"/>
  <c r="AL393" i="3250"/>
  <c r="AF394" i="3250"/>
  <c r="AG394" i="3250"/>
  <c r="AH394" i="3250"/>
  <c r="AI394" i="3250"/>
  <c r="AJ394" i="3250"/>
  <c r="AL394" i="3250"/>
  <c r="AF395" i="3250"/>
  <c r="AG395" i="3250"/>
  <c r="AH395" i="3250"/>
  <c r="AI395" i="3250"/>
  <c r="AJ395" i="3250"/>
  <c r="AL395" i="3250"/>
  <c r="AF396" i="3250"/>
  <c r="AG396" i="3250"/>
  <c r="AH396" i="3250"/>
  <c r="AI396" i="3250"/>
  <c r="AJ396" i="3250"/>
  <c r="AL396" i="3250"/>
  <c r="AF397" i="3250"/>
  <c r="AG397" i="3250"/>
  <c r="AH397" i="3250"/>
  <c r="AI397" i="3250"/>
  <c r="AJ397" i="3250"/>
  <c r="AL397" i="3250"/>
  <c r="AF398" i="3250"/>
  <c r="AG398" i="3250"/>
  <c r="AH398" i="3250"/>
  <c r="AI398" i="3250"/>
  <c r="AJ398" i="3250"/>
  <c r="AL398" i="3250"/>
  <c r="AF399" i="3250"/>
  <c r="AG399" i="3250"/>
  <c r="AH399" i="3250"/>
  <c r="AI399" i="3250"/>
  <c r="AJ399" i="3250"/>
  <c r="AL399" i="3250"/>
  <c r="AF400" i="3250"/>
  <c r="AG400" i="3250"/>
  <c r="AH400" i="3250"/>
  <c r="AI400" i="3250"/>
  <c r="AJ400" i="3250"/>
  <c r="AL400" i="3250"/>
  <c r="AF401" i="3250"/>
  <c r="AG401" i="3250"/>
  <c r="AH401" i="3250"/>
  <c r="AI401" i="3250"/>
  <c r="AJ401" i="3250"/>
  <c r="AL401" i="3250"/>
  <c r="AF402" i="3250"/>
  <c r="AG402" i="3250"/>
  <c r="AH402" i="3250"/>
  <c r="AI402" i="3250"/>
  <c r="AJ402" i="3250"/>
  <c r="AL402" i="3250"/>
  <c r="AF403" i="3250"/>
  <c r="AG403" i="3250"/>
  <c r="AH403" i="3250"/>
  <c r="AI403" i="3250"/>
  <c r="AJ403" i="3250"/>
  <c r="AL403" i="3250"/>
  <c r="AF404" i="3250"/>
  <c r="AG404" i="3250"/>
  <c r="AH404" i="3250"/>
  <c r="AI404" i="3250"/>
  <c r="AJ404" i="3250"/>
  <c r="AL404" i="3250"/>
  <c r="AF405" i="3250"/>
  <c r="AG405" i="3250"/>
  <c r="AH405" i="3250"/>
  <c r="AI405" i="3250"/>
  <c r="AJ405" i="3250"/>
  <c r="AL405" i="3250"/>
  <c r="AF406" i="3250"/>
  <c r="AG406" i="3250"/>
  <c r="AH406" i="3250"/>
  <c r="AI406" i="3250"/>
  <c r="AJ406" i="3250"/>
  <c r="AL406" i="3250"/>
  <c r="AF407" i="3250"/>
  <c r="AG407" i="3250"/>
  <c r="AH407" i="3250"/>
  <c r="AI407" i="3250"/>
  <c r="AJ407" i="3250"/>
  <c r="AL407" i="3250"/>
  <c r="AF408" i="3250"/>
  <c r="AG408" i="3250"/>
  <c r="AH408" i="3250"/>
  <c r="AI408" i="3250"/>
  <c r="AJ408" i="3250"/>
  <c r="AL408" i="3250"/>
  <c r="AF409" i="3250"/>
  <c r="AG409" i="3250"/>
  <c r="AH409" i="3250"/>
  <c r="AI409" i="3250"/>
  <c r="AJ409" i="3250"/>
  <c r="AL409" i="3250"/>
  <c r="AF410" i="3250"/>
  <c r="AG410" i="3250"/>
  <c r="AH410" i="3250"/>
  <c r="AI410" i="3250"/>
  <c r="AJ410" i="3250"/>
  <c r="AL410" i="3250"/>
  <c r="AF411" i="3250"/>
  <c r="AG411" i="3250"/>
  <c r="AH411" i="3250"/>
  <c r="AI411" i="3250"/>
  <c r="AJ411" i="3250"/>
  <c r="AL411" i="3250"/>
  <c r="AF412" i="3250"/>
  <c r="AG412" i="3250"/>
  <c r="AH412" i="3250"/>
  <c r="AI412" i="3250"/>
  <c r="AJ412" i="3250"/>
  <c r="AL412" i="3250"/>
  <c r="AF413" i="3250"/>
  <c r="AG413" i="3250"/>
  <c r="AH413" i="3250"/>
  <c r="AI413" i="3250"/>
  <c r="AJ413" i="3250"/>
  <c r="AL413" i="3250"/>
  <c r="AF414" i="3250"/>
  <c r="AG414" i="3250"/>
  <c r="AH414" i="3250"/>
  <c r="AI414" i="3250"/>
  <c r="AJ414" i="3250"/>
  <c r="AL414" i="3250"/>
  <c r="AF415" i="3250"/>
  <c r="AG415" i="3250"/>
  <c r="AH415" i="3250"/>
  <c r="AI415" i="3250"/>
  <c r="AJ415" i="3250"/>
  <c r="AL415" i="3250"/>
  <c r="AF416" i="3250"/>
  <c r="AG416" i="3250"/>
  <c r="AH416" i="3250"/>
  <c r="AI416" i="3250"/>
  <c r="AJ416" i="3250"/>
  <c r="AL416" i="3250"/>
  <c r="AF417" i="3250"/>
  <c r="AG417" i="3250"/>
  <c r="AH417" i="3250"/>
  <c r="AI417" i="3250"/>
  <c r="AJ417" i="3250"/>
  <c r="AL417" i="3250"/>
  <c r="AF418" i="3250"/>
  <c r="AG418" i="3250"/>
  <c r="AH418" i="3250"/>
  <c r="AI418" i="3250"/>
  <c r="AJ418" i="3250"/>
  <c r="AL418" i="3250"/>
  <c r="AF419" i="3250"/>
  <c r="AG419" i="3250"/>
  <c r="AH419" i="3250"/>
  <c r="AI419" i="3250"/>
  <c r="AJ419" i="3250"/>
  <c r="AL419" i="3250"/>
  <c r="AF420" i="3250"/>
  <c r="AG420" i="3250"/>
  <c r="AH420" i="3250"/>
  <c r="AI420" i="3250"/>
  <c r="AJ420" i="3250"/>
  <c r="AL420" i="3250"/>
  <c r="AF421" i="3250"/>
  <c r="AG421" i="3250"/>
  <c r="AH421" i="3250"/>
  <c r="AI421" i="3250"/>
  <c r="AJ421" i="3250"/>
  <c r="AL421" i="3250"/>
  <c r="AF422" i="3250"/>
  <c r="AG422" i="3250"/>
  <c r="AH422" i="3250"/>
  <c r="AI422" i="3250"/>
  <c r="AJ422" i="3250"/>
  <c r="AL422" i="3250"/>
  <c r="AF423" i="3250"/>
  <c r="AG423" i="3250"/>
  <c r="AH423" i="3250"/>
  <c r="AI423" i="3250"/>
  <c r="AJ423" i="3250"/>
  <c r="AL423" i="3250"/>
  <c r="AF424" i="3250"/>
  <c r="AG424" i="3250"/>
  <c r="AH424" i="3250"/>
  <c r="AI424" i="3250"/>
  <c r="AJ424" i="3250"/>
  <c r="AL424" i="3250"/>
  <c r="AF425" i="3250"/>
  <c r="AG425" i="3250"/>
  <c r="AH425" i="3250"/>
  <c r="AI425" i="3250"/>
  <c r="AJ425" i="3250"/>
  <c r="AL425" i="3250"/>
  <c r="AF426" i="3250"/>
  <c r="AG426" i="3250"/>
  <c r="AH426" i="3250"/>
  <c r="AI426" i="3250"/>
  <c r="AJ426" i="3250"/>
  <c r="AL426" i="3250"/>
  <c r="AF427" i="3250"/>
  <c r="AG427" i="3250"/>
  <c r="AH427" i="3250"/>
  <c r="AI427" i="3250"/>
  <c r="AJ427" i="3250"/>
  <c r="AL427" i="3250"/>
  <c r="AF428" i="3250"/>
  <c r="AG428" i="3250"/>
  <c r="AH428" i="3250"/>
  <c r="AI428" i="3250"/>
  <c r="AJ428" i="3250"/>
  <c r="AL428" i="3250"/>
  <c r="AF429" i="3250"/>
  <c r="AG429" i="3250"/>
  <c r="AH429" i="3250"/>
  <c r="AI429" i="3250"/>
  <c r="AJ429" i="3250"/>
  <c r="AL429" i="3250"/>
  <c r="AF430" i="3250"/>
  <c r="AG430" i="3250"/>
  <c r="AH430" i="3250"/>
  <c r="AI430" i="3250"/>
  <c r="AJ430" i="3250"/>
  <c r="AL430" i="3250"/>
  <c r="AF431" i="3250"/>
  <c r="AG431" i="3250"/>
  <c r="AH431" i="3250"/>
  <c r="AI431" i="3250"/>
  <c r="AJ431" i="3250"/>
  <c r="AL431" i="3250"/>
  <c r="AF432" i="3250"/>
  <c r="AG432" i="3250"/>
  <c r="AH432" i="3250"/>
  <c r="AI432" i="3250"/>
  <c r="AJ432" i="3250"/>
  <c r="AL432" i="3250"/>
  <c r="AF433" i="3250"/>
  <c r="AG433" i="3250"/>
  <c r="AH433" i="3250"/>
  <c r="AI433" i="3250"/>
  <c r="AJ433" i="3250"/>
  <c r="AL433" i="3250"/>
  <c r="AF434" i="3250"/>
  <c r="AG434" i="3250"/>
  <c r="AH434" i="3250"/>
  <c r="AI434" i="3250"/>
  <c r="AJ434" i="3250"/>
  <c r="AL434" i="3250"/>
  <c r="AF435" i="3250"/>
  <c r="AG435" i="3250"/>
  <c r="AH435" i="3250"/>
  <c r="AI435" i="3250"/>
  <c r="AJ435" i="3250"/>
  <c r="AL435" i="3250"/>
  <c r="AF436" i="3250"/>
  <c r="AG436" i="3250"/>
  <c r="AH436" i="3250"/>
  <c r="AI436" i="3250"/>
  <c r="AJ436" i="3250"/>
  <c r="AL436" i="3250"/>
  <c r="AF437" i="3250"/>
  <c r="AG437" i="3250"/>
  <c r="AH437" i="3250"/>
  <c r="AI437" i="3250"/>
  <c r="AJ437" i="3250"/>
  <c r="AL437" i="3250"/>
  <c r="AF438" i="3250"/>
  <c r="AG438" i="3250"/>
  <c r="AH438" i="3250"/>
  <c r="AI438" i="3250"/>
  <c r="AJ438" i="3250"/>
  <c r="AL438" i="3250"/>
  <c r="AF439" i="3250"/>
  <c r="AG439" i="3250"/>
  <c r="AH439" i="3250"/>
  <c r="AI439" i="3250"/>
  <c r="AJ439" i="3250"/>
  <c r="AL439" i="3250"/>
  <c r="AF440" i="3250"/>
  <c r="AG440" i="3250"/>
  <c r="AH440" i="3250"/>
  <c r="AI440" i="3250"/>
  <c r="AJ440" i="3250"/>
  <c r="AL440" i="3250"/>
  <c r="AF441" i="3250"/>
  <c r="AG441" i="3250"/>
  <c r="AH441" i="3250"/>
  <c r="AI441" i="3250"/>
  <c r="AJ441" i="3250"/>
  <c r="AL441" i="3250"/>
  <c r="AF442" i="3250"/>
  <c r="AG442" i="3250"/>
  <c r="AH442" i="3250"/>
  <c r="AI442" i="3250"/>
  <c r="AJ442" i="3250"/>
  <c r="AL442" i="3250"/>
  <c r="AF443" i="3250"/>
  <c r="AG443" i="3250"/>
  <c r="AH443" i="3250"/>
  <c r="AI443" i="3250"/>
  <c r="AJ443" i="3250"/>
  <c r="AL443" i="3250"/>
  <c r="AF444" i="3250"/>
  <c r="AG444" i="3250"/>
  <c r="AH444" i="3250"/>
  <c r="AI444" i="3250"/>
  <c r="AJ444" i="3250"/>
  <c r="AL444" i="3250"/>
  <c r="AF445" i="3250"/>
  <c r="AG445" i="3250"/>
  <c r="AH445" i="3250"/>
  <c r="AI445" i="3250"/>
  <c r="AJ445" i="3250"/>
  <c r="AL445" i="3250"/>
  <c r="AF446" i="3250"/>
  <c r="AG446" i="3250"/>
  <c r="AH446" i="3250"/>
  <c r="AI446" i="3250"/>
  <c r="AJ446" i="3250"/>
  <c r="AL446" i="3250"/>
  <c r="AF447" i="3250"/>
  <c r="AG447" i="3250"/>
  <c r="AH447" i="3250"/>
  <c r="AI447" i="3250"/>
  <c r="AJ447" i="3250"/>
  <c r="AL447" i="3250"/>
  <c r="AF448" i="3250"/>
  <c r="AG448" i="3250"/>
  <c r="AH448" i="3250"/>
  <c r="AI448" i="3250"/>
  <c r="AJ448" i="3250"/>
  <c r="AL448" i="3250"/>
  <c r="AF449" i="3250"/>
  <c r="AG449" i="3250"/>
  <c r="AH449" i="3250"/>
  <c r="AI449" i="3250"/>
  <c r="AJ449" i="3250"/>
  <c r="AL449" i="3250"/>
  <c r="AF450" i="3250"/>
  <c r="AG450" i="3250"/>
  <c r="AH450" i="3250"/>
  <c r="AI450" i="3250"/>
  <c r="AJ450" i="3250"/>
  <c r="AL450" i="3250"/>
  <c r="AF451" i="3250"/>
  <c r="AG451" i="3250"/>
  <c r="AH451" i="3250"/>
  <c r="AI451" i="3250"/>
  <c r="AJ451" i="3250"/>
  <c r="AL451" i="3250"/>
  <c r="AF452" i="3250"/>
  <c r="AG452" i="3250"/>
  <c r="AH452" i="3250"/>
  <c r="AI452" i="3250"/>
  <c r="AJ452" i="3250"/>
  <c r="AL452" i="3250"/>
  <c r="AF453" i="3250"/>
  <c r="AG453" i="3250"/>
  <c r="AH453" i="3250"/>
  <c r="AI453" i="3250"/>
  <c r="AJ453" i="3250"/>
  <c r="AL453" i="3250"/>
  <c r="AF454" i="3250"/>
  <c r="AG454" i="3250"/>
  <c r="AH454" i="3250"/>
  <c r="AI454" i="3250"/>
  <c r="AJ454" i="3250"/>
  <c r="AL454" i="3250"/>
  <c r="AF455" i="3250"/>
  <c r="AG455" i="3250"/>
  <c r="AH455" i="3250"/>
  <c r="AI455" i="3250"/>
  <c r="AJ455" i="3250"/>
  <c r="AL455" i="3250"/>
  <c r="AF456" i="3250"/>
  <c r="AG456" i="3250"/>
  <c r="AH456" i="3250"/>
  <c r="AI456" i="3250"/>
  <c r="AJ456" i="3250"/>
  <c r="AL456" i="3250"/>
  <c r="AF457" i="3250"/>
  <c r="AG457" i="3250"/>
  <c r="AH457" i="3250"/>
  <c r="AI457" i="3250"/>
  <c r="AJ457" i="3250"/>
  <c r="AL457" i="3250"/>
  <c r="AF458" i="3250"/>
  <c r="AG458" i="3250"/>
  <c r="AH458" i="3250"/>
  <c r="AI458" i="3250"/>
  <c r="AJ458" i="3250"/>
  <c r="AL458" i="3250"/>
  <c r="AF459" i="3250"/>
  <c r="AG459" i="3250"/>
  <c r="AH459" i="3250"/>
  <c r="AI459" i="3250"/>
  <c r="AJ459" i="3250"/>
  <c r="AL459" i="3250"/>
  <c r="AF460" i="3250"/>
  <c r="AG460" i="3250"/>
  <c r="AH460" i="3250"/>
  <c r="AI460" i="3250"/>
  <c r="AJ460" i="3250"/>
  <c r="AL460" i="3250"/>
  <c r="AF461" i="3250"/>
  <c r="AG461" i="3250"/>
  <c r="AH461" i="3250"/>
  <c r="AI461" i="3250"/>
  <c r="AJ461" i="3250"/>
  <c r="AL461" i="3250"/>
  <c r="AF462" i="3250"/>
  <c r="AG462" i="3250"/>
  <c r="AH462" i="3250"/>
  <c r="AI462" i="3250"/>
  <c r="AJ462" i="3250"/>
  <c r="AL462" i="3250"/>
  <c r="AF463" i="3250"/>
  <c r="AG463" i="3250"/>
  <c r="AH463" i="3250"/>
  <c r="AI463" i="3250"/>
  <c r="AJ463" i="3250"/>
  <c r="AL463" i="3250"/>
  <c r="AF464" i="3250"/>
  <c r="AG464" i="3250"/>
  <c r="AH464" i="3250"/>
  <c r="AI464" i="3250"/>
  <c r="AJ464" i="3250"/>
  <c r="AL464" i="3250"/>
  <c r="AF465" i="3250"/>
  <c r="AG465" i="3250"/>
  <c r="AH465" i="3250"/>
  <c r="AI465" i="3250"/>
  <c r="AJ465" i="3250"/>
  <c r="AL465" i="3250"/>
  <c r="AF466" i="3250"/>
  <c r="AG466" i="3250"/>
  <c r="AH466" i="3250"/>
  <c r="AI466" i="3250"/>
  <c r="AJ466" i="3250"/>
  <c r="AL466" i="3250"/>
  <c r="AF467" i="3250"/>
  <c r="AG467" i="3250"/>
  <c r="AH467" i="3250"/>
  <c r="AI467" i="3250"/>
  <c r="AJ467" i="3250"/>
  <c r="AL467" i="3250"/>
  <c r="AF468" i="3250"/>
  <c r="AG468" i="3250"/>
  <c r="AH468" i="3250"/>
  <c r="AI468" i="3250"/>
  <c r="AJ468" i="3250"/>
  <c r="AL468" i="3250"/>
  <c r="AF469" i="3250"/>
  <c r="AG469" i="3250"/>
  <c r="AH469" i="3250"/>
  <c r="AI469" i="3250"/>
  <c r="AJ469" i="3250"/>
  <c r="AL469" i="3250"/>
  <c r="AF470" i="3250"/>
  <c r="AG470" i="3250"/>
  <c r="AH470" i="3250"/>
  <c r="AI470" i="3250"/>
  <c r="AJ470" i="3250"/>
  <c r="AL470" i="3250"/>
  <c r="AF471" i="3250"/>
  <c r="AG471" i="3250"/>
  <c r="AH471" i="3250"/>
  <c r="AI471" i="3250"/>
  <c r="AJ471" i="3250"/>
  <c r="AL471" i="3250"/>
  <c r="AF472" i="3250"/>
  <c r="AG472" i="3250"/>
  <c r="AH472" i="3250"/>
  <c r="AI472" i="3250"/>
  <c r="AJ472" i="3250"/>
  <c r="AL472" i="3250"/>
  <c r="AF473" i="3250"/>
  <c r="AG473" i="3250"/>
  <c r="AH473" i="3250"/>
  <c r="AI473" i="3250"/>
  <c r="AJ473" i="3250"/>
  <c r="AL473" i="3250"/>
  <c r="AF474" i="3250"/>
  <c r="AG474" i="3250"/>
  <c r="AH474" i="3250"/>
  <c r="AI474" i="3250"/>
  <c r="AJ474" i="3250"/>
  <c r="AL474" i="3250"/>
  <c r="AF475" i="3250"/>
  <c r="AG475" i="3250"/>
  <c r="AH475" i="3250"/>
  <c r="AI475" i="3250"/>
  <c r="AJ475" i="3250"/>
  <c r="AL475" i="3250"/>
  <c r="AF476" i="3250"/>
  <c r="AG476" i="3250"/>
  <c r="AH476" i="3250"/>
  <c r="AI476" i="3250"/>
  <c r="AJ476" i="3250"/>
  <c r="AL476" i="3250"/>
  <c r="AF477" i="3250"/>
  <c r="AG477" i="3250"/>
  <c r="AH477" i="3250"/>
  <c r="AI477" i="3250"/>
  <c r="AJ477" i="3250"/>
  <c r="AL477" i="3250"/>
  <c r="AF478" i="3250"/>
  <c r="AG478" i="3250"/>
  <c r="AH478" i="3250"/>
  <c r="AI478" i="3250"/>
  <c r="AJ478" i="3250"/>
  <c r="AL478" i="3250"/>
  <c r="AF479" i="3250"/>
  <c r="AG479" i="3250"/>
  <c r="AH479" i="3250"/>
  <c r="AI479" i="3250"/>
  <c r="AJ479" i="3250"/>
  <c r="AL479" i="3250"/>
  <c r="AF480" i="3250"/>
  <c r="AG480" i="3250"/>
  <c r="AH480" i="3250"/>
  <c r="AI480" i="3250"/>
  <c r="AJ480" i="3250"/>
  <c r="AL480" i="3250"/>
  <c r="AF481" i="3250"/>
  <c r="AG481" i="3250"/>
  <c r="AH481" i="3250"/>
  <c r="AI481" i="3250"/>
  <c r="AJ481" i="3250"/>
  <c r="AL481" i="3250"/>
  <c r="AF482" i="3250"/>
  <c r="AG482" i="3250"/>
  <c r="AH482" i="3250"/>
  <c r="AI482" i="3250"/>
  <c r="AJ482" i="3250"/>
  <c r="AL482" i="3250"/>
  <c r="AF483" i="3250"/>
  <c r="AG483" i="3250"/>
  <c r="AH483" i="3250"/>
  <c r="AI483" i="3250"/>
  <c r="AJ483" i="3250"/>
  <c r="AL483" i="3250"/>
  <c r="AF484" i="3250"/>
  <c r="AG484" i="3250"/>
  <c r="AH484" i="3250"/>
  <c r="AI484" i="3250"/>
  <c r="AJ484" i="3250"/>
  <c r="AL484" i="3250"/>
  <c r="AF485" i="3250"/>
  <c r="AG485" i="3250"/>
  <c r="AH485" i="3250"/>
  <c r="AI485" i="3250"/>
  <c r="AJ485" i="3250"/>
  <c r="AL485" i="3250"/>
  <c r="AF486" i="3250"/>
  <c r="AG486" i="3250"/>
  <c r="AH486" i="3250"/>
  <c r="AI486" i="3250"/>
  <c r="AJ486" i="3250"/>
  <c r="AL486" i="3250"/>
  <c r="AF487" i="3250"/>
  <c r="AG487" i="3250"/>
  <c r="AH487" i="3250"/>
  <c r="AI487" i="3250"/>
  <c r="AJ487" i="3250"/>
  <c r="AL487" i="3250"/>
  <c r="AF488" i="3250"/>
  <c r="AG488" i="3250"/>
  <c r="AH488" i="3250"/>
  <c r="AI488" i="3250"/>
  <c r="AJ488" i="3250"/>
  <c r="AL488" i="3250"/>
  <c r="AF489" i="3250"/>
  <c r="AG489" i="3250"/>
  <c r="AH489" i="3250"/>
  <c r="AI489" i="3250"/>
  <c r="AJ489" i="3250"/>
  <c r="AL489" i="3250"/>
  <c r="AF490" i="3250"/>
  <c r="AG490" i="3250"/>
  <c r="AH490" i="3250"/>
  <c r="AI490" i="3250"/>
  <c r="AJ490" i="3250"/>
  <c r="AL490" i="3250"/>
  <c r="AF491" i="3250"/>
  <c r="AG491" i="3250"/>
  <c r="AH491" i="3250"/>
  <c r="AI491" i="3250"/>
  <c r="AJ491" i="3250"/>
  <c r="AL491" i="3250"/>
  <c r="AF492" i="3250"/>
  <c r="AG492" i="3250"/>
  <c r="AH492" i="3250"/>
  <c r="AI492" i="3250"/>
  <c r="AJ492" i="3250"/>
  <c r="AL492" i="3250"/>
  <c r="AF493" i="3250"/>
  <c r="AG493" i="3250"/>
  <c r="AH493" i="3250"/>
  <c r="AI493" i="3250"/>
  <c r="AJ493" i="3250"/>
  <c r="AL493" i="3250"/>
  <c r="AF494" i="3250"/>
  <c r="AG494" i="3250"/>
  <c r="AH494" i="3250"/>
  <c r="AI494" i="3250"/>
  <c r="AJ494" i="3250"/>
  <c r="AL494" i="3250"/>
  <c r="AF495" i="3250"/>
  <c r="AG495" i="3250"/>
  <c r="AH495" i="3250"/>
  <c r="AI495" i="3250"/>
  <c r="AJ495" i="3250"/>
  <c r="AL495" i="3250"/>
  <c r="AF496" i="3250"/>
  <c r="AG496" i="3250"/>
  <c r="AH496" i="3250"/>
  <c r="AI496" i="3250"/>
  <c r="AJ496" i="3250"/>
  <c r="AL496" i="3250"/>
  <c r="AF497" i="3250"/>
  <c r="AG497" i="3250"/>
  <c r="AH497" i="3250"/>
  <c r="AI497" i="3250"/>
  <c r="AJ497" i="3250"/>
  <c r="AL497" i="3250"/>
  <c r="AF498" i="3250"/>
  <c r="AG498" i="3250"/>
  <c r="AH498" i="3250"/>
  <c r="AI498" i="3250"/>
  <c r="AJ498" i="3250"/>
  <c r="AL498" i="3250"/>
  <c r="AF499" i="3250"/>
  <c r="AG499" i="3250"/>
  <c r="AH499" i="3250"/>
  <c r="AI499" i="3250"/>
  <c r="AJ499" i="3250"/>
  <c r="AL499" i="3250"/>
  <c r="AF500" i="3250"/>
  <c r="AG500" i="3250"/>
  <c r="AH500" i="3250"/>
  <c r="AI500" i="3250"/>
  <c r="AJ500" i="3250"/>
  <c r="AL500" i="3250"/>
  <c r="AF501" i="3250"/>
  <c r="AG501" i="3250"/>
  <c r="AH501" i="3250"/>
  <c r="AI501" i="3250"/>
  <c r="AJ501" i="3250"/>
  <c r="AL501" i="3250"/>
  <c r="AF502" i="3250"/>
  <c r="AG502" i="3250"/>
  <c r="AH502" i="3250"/>
  <c r="AI502" i="3250"/>
  <c r="AJ502" i="3250"/>
  <c r="AL502" i="3250"/>
  <c r="AF503" i="3250"/>
  <c r="AG503" i="3250"/>
  <c r="AH503" i="3250"/>
  <c r="AI503" i="3250"/>
  <c r="AJ503" i="3250"/>
  <c r="AL503" i="3250"/>
  <c r="AF504" i="3250"/>
  <c r="AG504" i="3250"/>
  <c r="AH504" i="3250"/>
  <c r="AI504" i="3250"/>
  <c r="AJ504" i="3250"/>
  <c r="AL504" i="3250"/>
  <c r="AF505" i="3250"/>
  <c r="AG505" i="3250"/>
  <c r="AH505" i="3250"/>
  <c r="AI505" i="3250"/>
  <c r="AJ505" i="3250"/>
  <c r="AL505" i="3250"/>
  <c r="AF506" i="3250"/>
  <c r="AG506" i="3250"/>
  <c r="AH506" i="3250"/>
  <c r="AI506" i="3250"/>
  <c r="AJ506" i="3250"/>
  <c r="AL506" i="3250"/>
  <c r="AF507" i="3250"/>
  <c r="AG507" i="3250"/>
  <c r="AH507" i="3250"/>
  <c r="AI507" i="3250"/>
  <c r="AJ507" i="3250"/>
  <c r="AL507" i="3250"/>
  <c r="AF508" i="3250"/>
  <c r="AG508" i="3250"/>
  <c r="AH508" i="3250"/>
  <c r="AI508" i="3250"/>
  <c r="AJ508" i="3250"/>
  <c r="AL508" i="3250"/>
  <c r="AF509" i="3250"/>
  <c r="AG509" i="3250"/>
  <c r="AH509" i="3250"/>
  <c r="AI509" i="3250"/>
  <c r="AJ509" i="3250"/>
  <c r="AL509" i="3250"/>
  <c r="AF510" i="3250"/>
  <c r="AG510" i="3250"/>
  <c r="AH510" i="3250"/>
  <c r="AI510" i="3250"/>
  <c r="AJ510" i="3250"/>
  <c r="AL510" i="3250"/>
  <c r="AF511" i="3250"/>
  <c r="AG511" i="3250"/>
  <c r="AH511" i="3250"/>
  <c r="AI511" i="3250"/>
  <c r="AJ511" i="3250"/>
  <c r="AL511" i="3250"/>
  <c r="AF512" i="3250"/>
  <c r="AG512" i="3250"/>
  <c r="AH512" i="3250"/>
  <c r="AI512" i="3250"/>
  <c r="AJ512" i="3250"/>
  <c r="AL512" i="3250"/>
  <c r="AF513" i="3250"/>
  <c r="AG513" i="3250"/>
  <c r="AH513" i="3250"/>
  <c r="AI513" i="3250"/>
  <c r="AJ513" i="3250"/>
  <c r="AL513" i="3250"/>
  <c r="AF514" i="3250"/>
  <c r="AG514" i="3250"/>
  <c r="AH514" i="3250"/>
  <c r="AI514" i="3250"/>
  <c r="AJ514" i="3250"/>
  <c r="AL514" i="3250"/>
  <c r="AF515" i="3250"/>
  <c r="AG515" i="3250"/>
  <c r="AH515" i="3250"/>
  <c r="AI515" i="3250"/>
  <c r="AJ515" i="3250"/>
  <c r="AL515" i="3250"/>
  <c r="AF516" i="3250"/>
  <c r="AG516" i="3250"/>
  <c r="AH516" i="3250"/>
  <c r="AI516" i="3250"/>
  <c r="AJ516" i="3250"/>
  <c r="AL516" i="3250"/>
  <c r="AF517" i="3250"/>
  <c r="AG517" i="3250"/>
  <c r="AH517" i="3250"/>
  <c r="AI517" i="3250"/>
  <c r="AJ517" i="3250"/>
  <c r="AL517" i="3250"/>
  <c r="AF518" i="3250"/>
  <c r="AG518" i="3250"/>
  <c r="AH518" i="3250"/>
  <c r="AI518" i="3250"/>
  <c r="AJ518" i="3250"/>
  <c r="AL518" i="3250"/>
  <c r="AF519" i="3250"/>
  <c r="AG519" i="3250"/>
  <c r="AH519" i="3250"/>
  <c r="AI519" i="3250"/>
  <c r="AJ519" i="3250"/>
  <c r="AL519" i="3250"/>
  <c r="AF520" i="3250"/>
  <c r="AG520" i="3250"/>
  <c r="AH520" i="3250"/>
  <c r="AI520" i="3250"/>
  <c r="AJ520" i="3250"/>
  <c r="AL520" i="3250"/>
  <c r="AF521" i="3250"/>
  <c r="AG521" i="3250"/>
  <c r="AH521" i="3250"/>
  <c r="AI521" i="3250"/>
  <c r="AJ521" i="3250"/>
  <c r="AL521" i="3250"/>
  <c r="AF522" i="3250"/>
  <c r="AG522" i="3250"/>
  <c r="AH522" i="3250"/>
  <c r="AI522" i="3250"/>
  <c r="AJ522" i="3250"/>
  <c r="AL522" i="3250"/>
  <c r="AF523" i="3250"/>
  <c r="AG523" i="3250"/>
  <c r="AH523" i="3250"/>
  <c r="AI523" i="3250"/>
  <c r="AJ523" i="3250"/>
  <c r="AL523" i="3250"/>
  <c r="AF524" i="3250"/>
  <c r="AG524" i="3250"/>
  <c r="AH524" i="3250"/>
  <c r="AI524" i="3250"/>
  <c r="AJ524" i="3250"/>
  <c r="AL524" i="3250"/>
  <c r="AF525" i="3250"/>
  <c r="AG525" i="3250"/>
  <c r="AH525" i="3250"/>
  <c r="AI525" i="3250"/>
  <c r="AJ525" i="3250"/>
  <c r="AL525" i="3250"/>
  <c r="AF526" i="3250"/>
  <c r="AG526" i="3250"/>
  <c r="AH526" i="3250"/>
  <c r="AI526" i="3250"/>
  <c r="AJ526" i="3250"/>
  <c r="AL526" i="3250"/>
  <c r="AF527" i="3250"/>
  <c r="AG527" i="3250"/>
  <c r="AH527" i="3250"/>
  <c r="AI527" i="3250"/>
  <c r="AJ527" i="3250"/>
  <c r="AL527" i="3250"/>
  <c r="AF528" i="3250"/>
  <c r="AG528" i="3250"/>
  <c r="AH528" i="3250"/>
  <c r="AI528" i="3250"/>
  <c r="AJ528" i="3250"/>
  <c r="AL528" i="3250"/>
  <c r="AF529" i="3250"/>
  <c r="AG529" i="3250"/>
  <c r="AH529" i="3250"/>
  <c r="AI529" i="3250"/>
  <c r="AJ529" i="3250"/>
  <c r="AL529" i="3250"/>
  <c r="AF530" i="3250"/>
  <c r="AG530" i="3250"/>
  <c r="AH530" i="3250"/>
  <c r="AI530" i="3250"/>
  <c r="AJ530" i="3250"/>
  <c r="AL530" i="3250"/>
  <c r="AF531" i="3250"/>
  <c r="AG531" i="3250"/>
  <c r="AH531" i="3250"/>
  <c r="AI531" i="3250"/>
  <c r="AJ531" i="3250"/>
  <c r="AL531" i="3250"/>
  <c r="AF532" i="3250"/>
  <c r="AG532" i="3250"/>
  <c r="AH532" i="3250"/>
  <c r="AI532" i="3250"/>
  <c r="AJ532" i="3250"/>
  <c r="AL532" i="3250"/>
  <c r="AF533" i="3250"/>
  <c r="AG533" i="3250"/>
  <c r="AH533" i="3250"/>
  <c r="AI533" i="3250"/>
  <c r="AJ533" i="3250"/>
  <c r="AL533" i="3250"/>
  <c r="AF534" i="3250"/>
  <c r="AG534" i="3250"/>
  <c r="AH534" i="3250"/>
  <c r="AI534" i="3250"/>
  <c r="AJ534" i="3250"/>
  <c r="AL534" i="3250"/>
  <c r="AF535" i="3250"/>
  <c r="AG535" i="3250"/>
  <c r="AH535" i="3250"/>
  <c r="AI535" i="3250"/>
  <c r="AJ535" i="3250"/>
  <c r="AL535" i="3250"/>
  <c r="AF536" i="3250"/>
  <c r="AG536" i="3250"/>
  <c r="AH536" i="3250"/>
  <c r="AI536" i="3250"/>
  <c r="AJ536" i="3250"/>
  <c r="AL536" i="3250"/>
  <c r="AF537" i="3250"/>
  <c r="AG537" i="3250"/>
  <c r="AH537" i="3250"/>
  <c r="AI537" i="3250"/>
  <c r="AJ537" i="3250"/>
  <c r="AL537" i="3250"/>
  <c r="AF538" i="3250"/>
  <c r="AG538" i="3250"/>
  <c r="AH538" i="3250"/>
  <c r="AI538" i="3250"/>
  <c r="AJ538" i="3250"/>
  <c r="AL538" i="3250"/>
  <c r="AF539" i="3250"/>
  <c r="AG539" i="3250"/>
  <c r="AH539" i="3250"/>
  <c r="AI539" i="3250"/>
  <c r="AJ539" i="3250"/>
  <c r="AL539" i="3250"/>
  <c r="AF540" i="3250"/>
  <c r="AG540" i="3250"/>
  <c r="AH540" i="3250"/>
  <c r="AI540" i="3250"/>
  <c r="AJ540" i="3250"/>
  <c r="AL540" i="3250"/>
  <c r="AF541" i="3250"/>
  <c r="AG541" i="3250"/>
  <c r="AH541" i="3250"/>
  <c r="AI541" i="3250"/>
  <c r="AJ541" i="3250"/>
  <c r="AL541" i="3250"/>
  <c r="AF542" i="3250"/>
  <c r="AG542" i="3250"/>
  <c r="AH542" i="3250"/>
  <c r="AI542" i="3250"/>
  <c r="AJ542" i="3250"/>
  <c r="AL542" i="3250"/>
  <c r="AF543" i="3250"/>
  <c r="AG543" i="3250"/>
  <c r="AH543" i="3250"/>
  <c r="AI543" i="3250"/>
  <c r="AJ543" i="3250"/>
  <c r="AL543" i="3250"/>
  <c r="AF544" i="3250"/>
  <c r="AG544" i="3250"/>
  <c r="AH544" i="3250"/>
  <c r="AI544" i="3250"/>
  <c r="AJ544" i="3250"/>
  <c r="AL544" i="3250"/>
  <c r="AF545" i="3250"/>
  <c r="AG545" i="3250"/>
  <c r="AH545" i="3250"/>
  <c r="AI545" i="3250"/>
  <c r="AJ545" i="3250"/>
  <c r="AL545" i="3250"/>
  <c r="AF546" i="3250"/>
  <c r="AG546" i="3250"/>
  <c r="AH546" i="3250"/>
  <c r="AI546" i="3250"/>
  <c r="AJ546" i="3250"/>
  <c r="AL546" i="3250"/>
  <c r="AF547" i="3250"/>
  <c r="AG547" i="3250"/>
  <c r="AH547" i="3250"/>
  <c r="AI547" i="3250"/>
  <c r="AJ547" i="3250"/>
  <c r="AL547" i="3250"/>
  <c r="AF548" i="3250"/>
  <c r="AG548" i="3250"/>
  <c r="AH548" i="3250"/>
  <c r="AI548" i="3250"/>
  <c r="AJ548" i="3250"/>
  <c r="AL548" i="3250"/>
  <c r="AF549" i="3250"/>
  <c r="AG549" i="3250"/>
  <c r="AH549" i="3250"/>
  <c r="AI549" i="3250"/>
  <c r="AJ549" i="3250"/>
  <c r="AL549" i="3250"/>
  <c r="AF550" i="3250"/>
  <c r="AG550" i="3250"/>
  <c r="AH550" i="3250"/>
  <c r="AI550" i="3250"/>
  <c r="AJ550" i="3250"/>
  <c r="AL550" i="3250"/>
  <c r="AF551" i="3250"/>
  <c r="AG551" i="3250"/>
  <c r="AH551" i="3250"/>
  <c r="AI551" i="3250"/>
  <c r="AJ551" i="3250"/>
  <c r="AL551" i="3250"/>
  <c r="AF552" i="3250"/>
  <c r="AG552" i="3250"/>
  <c r="AH552" i="3250"/>
  <c r="AI552" i="3250"/>
  <c r="AJ552" i="3250"/>
  <c r="AL552" i="3250"/>
  <c r="AF553" i="3250"/>
  <c r="AG553" i="3250"/>
  <c r="AH553" i="3250"/>
  <c r="AI553" i="3250"/>
  <c r="AJ553" i="3250"/>
  <c r="AL553" i="3250"/>
  <c r="AF554" i="3250"/>
  <c r="AG554" i="3250"/>
  <c r="AH554" i="3250"/>
  <c r="AI554" i="3250"/>
  <c r="AJ554" i="3250"/>
  <c r="AL554" i="3250"/>
  <c r="AF555" i="3250"/>
  <c r="AG555" i="3250"/>
  <c r="AH555" i="3250"/>
  <c r="AI555" i="3250"/>
  <c r="AJ555" i="3250"/>
  <c r="AL555" i="3250"/>
  <c r="AF556" i="3250"/>
  <c r="AG556" i="3250"/>
  <c r="AH556" i="3250"/>
  <c r="AI556" i="3250"/>
  <c r="AJ556" i="3250"/>
  <c r="AL556" i="3250"/>
  <c r="AF557" i="3250"/>
  <c r="AG557" i="3250"/>
  <c r="AH557" i="3250"/>
  <c r="AI557" i="3250"/>
  <c r="AJ557" i="3250"/>
  <c r="AL557" i="3250"/>
  <c r="AF558" i="3250"/>
  <c r="AG558" i="3250"/>
  <c r="AH558" i="3250"/>
  <c r="AI558" i="3250"/>
  <c r="AJ558" i="3250"/>
  <c r="AL558" i="3250"/>
  <c r="AF559" i="3250"/>
  <c r="AG559" i="3250"/>
  <c r="AH559" i="3250"/>
  <c r="AI559" i="3250"/>
  <c r="AJ559" i="3250"/>
  <c r="AL559" i="3250"/>
  <c r="AF560" i="3250"/>
  <c r="AG560" i="3250"/>
  <c r="AH560" i="3250"/>
  <c r="AI560" i="3250"/>
  <c r="AJ560" i="3250"/>
  <c r="AL560" i="3250"/>
  <c r="AF561" i="3250"/>
  <c r="AG561" i="3250"/>
  <c r="AH561" i="3250"/>
  <c r="AI561" i="3250"/>
  <c r="AJ561" i="3250"/>
  <c r="AL561" i="3250"/>
  <c r="AF562" i="3250"/>
  <c r="AG562" i="3250"/>
  <c r="AH562" i="3250"/>
  <c r="AI562" i="3250"/>
  <c r="AJ562" i="3250"/>
  <c r="AL562" i="3250"/>
  <c r="AF563" i="3250"/>
  <c r="AG563" i="3250"/>
  <c r="AH563" i="3250"/>
  <c r="AI563" i="3250"/>
  <c r="AJ563" i="3250"/>
  <c r="AL563" i="3250"/>
  <c r="AF564" i="3250"/>
  <c r="AG564" i="3250"/>
  <c r="AH564" i="3250"/>
  <c r="AI564" i="3250"/>
  <c r="AJ564" i="3250"/>
  <c r="AL564" i="3250"/>
  <c r="AF565" i="3250"/>
  <c r="AG565" i="3250"/>
  <c r="AH565" i="3250"/>
  <c r="AI565" i="3250"/>
  <c r="AJ565" i="3250"/>
  <c r="AL565" i="3250"/>
  <c r="AF566" i="3250"/>
  <c r="AG566" i="3250"/>
  <c r="AH566" i="3250"/>
  <c r="AI566" i="3250"/>
  <c r="AJ566" i="3250"/>
  <c r="AL566" i="3250"/>
  <c r="AF567" i="3250"/>
  <c r="AG567" i="3250"/>
  <c r="AH567" i="3250"/>
  <c r="AI567" i="3250"/>
  <c r="AJ567" i="3250"/>
  <c r="AL567" i="3250"/>
  <c r="AF568" i="3250"/>
  <c r="AG568" i="3250"/>
  <c r="AH568" i="3250"/>
  <c r="AI568" i="3250"/>
  <c r="AJ568" i="3250"/>
  <c r="AL568" i="3250"/>
  <c r="AF569" i="3250"/>
  <c r="AG569" i="3250"/>
  <c r="AH569" i="3250"/>
  <c r="AI569" i="3250"/>
  <c r="AJ569" i="3250"/>
  <c r="AL569" i="3250"/>
  <c r="AF570" i="3250"/>
  <c r="AG570" i="3250"/>
  <c r="AH570" i="3250"/>
  <c r="AI570" i="3250"/>
  <c r="AJ570" i="3250"/>
  <c r="AL570" i="3250"/>
  <c r="AF571" i="3250"/>
  <c r="AG571" i="3250"/>
  <c r="AH571" i="3250"/>
  <c r="AI571" i="3250"/>
  <c r="AJ571" i="3250"/>
  <c r="AL571" i="3250"/>
  <c r="AF572" i="3250"/>
  <c r="AG572" i="3250"/>
  <c r="AH572" i="3250"/>
  <c r="AI572" i="3250"/>
  <c r="AJ572" i="3250"/>
  <c r="AL572" i="3250"/>
  <c r="AF573" i="3250"/>
  <c r="AG573" i="3250"/>
  <c r="AH573" i="3250"/>
  <c r="AI573" i="3250"/>
  <c r="AJ573" i="3250"/>
  <c r="AL573" i="3250"/>
  <c r="AF574" i="3250"/>
  <c r="AG574" i="3250"/>
  <c r="AH574" i="3250"/>
  <c r="AI574" i="3250"/>
  <c r="AJ574" i="3250"/>
  <c r="AL574" i="3250"/>
  <c r="AF575" i="3250"/>
  <c r="AG575" i="3250"/>
  <c r="AH575" i="3250"/>
  <c r="AI575" i="3250"/>
  <c r="AJ575" i="3250"/>
  <c r="AL575" i="3250"/>
  <c r="AF576" i="3250"/>
  <c r="AG576" i="3250"/>
  <c r="AH576" i="3250"/>
  <c r="AI576" i="3250"/>
  <c r="AJ576" i="3250"/>
  <c r="AL576" i="3250"/>
  <c r="AF577" i="3250"/>
  <c r="AG577" i="3250"/>
  <c r="AH577" i="3250"/>
  <c r="AI577" i="3250"/>
  <c r="AJ577" i="3250"/>
  <c r="AL577" i="3250"/>
  <c r="AF578" i="3250"/>
  <c r="AG578" i="3250"/>
  <c r="AH578" i="3250"/>
  <c r="AI578" i="3250"/>
  <c r="AJ578" i="3250"/>
  <c r="AL578" i="3250"/>
  <c r="AF579" i="3250"/>
  <c r="AG579" i="3250"/>
  <c r="AH579" i="3250"/>
  <c r="AI579" i="3250"/>
  <c r="AJ579" i="3250"/>
  <c r="AL579" i="3250"/>
  <c r="AF580" i="3250"/>
  <c r="AG580" i="3250"/>
  <c r="AH580" i="3250"/>
  <c r="AI580" i="3250"/>
  <c r="AJ580" i="3250"/>
  <c r="AL580" i="3250"/>
  <c r="AF581" i="3250"/>
  <c r="AG581" i="3250"/>
  <c r="AH581" i="3250"/>
  <c r="AI581" i="3250"/>
  <c r="AJ581" i="3250"/>
  <c r="AL581" i="3250"/>
  <c r="AF582" i="3250"/>
  <c r="AG582" i="3250"/>
  <c r="AH582" i="3250"/>
  <c r="AI582" i="3250"/>
  <c r="AJ582" i="3250"/>
  <c r="AL582" i="3250"/>
  <c r="AF583" i="3250"/>
  <c r="AG583" i="3250"/>
  <c r="AH583" i="3250"/>
  <c r="AI583" i="3250"/>
  <c r="AJ583" i="3250"/>
  <c r="AL583" i="3250"/>
  <c r="AF584" i="3250"/>
  <c r="AG584" i="3250"/>
  <c r="AH584" i="3250"/>
  <c r="AI584" i="3250"/>
  <c r="AJ584" i="3250"/>
  <c r="AL584" i="3250"/>
  <c r="AF585" i="3250"/>
  <c r="AG585" i="3250"/>
  <c r="AH585" i="3250"/>
  <c r="AI585" i="3250"/>
  <c r="AJ585" i="3250"/>
  <c r="AL585" i="3250"/>
  <c r="AF586" i="3250"/>
  <c r="AG586" i="3250"/>
  <c r="AH586" i="3250"/>
  <c r="AI586" i="3250"/>
  <c r="AJ586" i="3250"/>
  <c r="AL586" i="3250"/>
  <c r="AF587" i="3250"/>
  <c r="AG587" i="3250"/>
  <c r="AH587" i="3250"/>
  <c r="AI587" i="3250"/>
  <c r="AJ587" i="3250"/>
  <c r="AL587" i="3250"/>
  <c r="AF588" i="3250"/>
  <c r="AG588" i="3250"/>
  <c r="AH588" i="3250"/>
  <c r="AI588" i="3250"/>
  <c r="AJ588" i="3250"/>
  <c r="AL588" i="3250"/>
  <c r="AF589" i="3250"/>
  <c r="AG589" i="3250"/>
  <c r="AH589" i="3250"/>
  <c r="AI589" i="3250"/>
  <c r="AJ589" i="3250"/>
  <c r="AL589" i="3250"/>
  <c r="AF590" i="3250"/>
  <c r="AG590" i="3250"/>
  <c r="AH590" i="3250"/>
  <c r="AI590" i="3250"/>
  <c r="AJ590" i="3250"/>
  <c r="AL590" i="3250"/>
  <c r="AF591" i="3250"/>
  <c r="AG591" i="3250"/>
  <c r="AH591" i="3250"/>
  <c r="AI591" i="3250"/>
  <c r="AJ591" i="3250"/>
  <c r="AL591" i="3250"/>
  <c r="AF592" i="3250"/>
  <c r="AG592" i="3250"/>
  <c r="AH592" i="3250"/>
  <c r="AI592" i="3250"/>
  <c r="AJ592" i="3250"/>
  <c r="AL592" i="3250"/>
  <c r="AF593" i="3250"/>
  <c r="AG593" i="3250"/>
  <c r="AH593" i="3250"/>
  <c r="AI593" i="3250"/>
  <c r="AJ593" i="3250"/>
  <c r="AL593" i="3250"/>
  <c r="AF594" i="3250"/>
  <c r="AG594" i="3250"/>
  <c r="AH594" i="3250"/>
  <c r="AI594" i="3250"/>
  <c r="AJ594" i="3250"/>
  <c r="AL594" i="3250"/>
  <c r="AF595" i="3250"/>
  <c r="AG595" i="3250"/>
  <c r="AH595" i="3250"/>
  <c r="AI595" i="3250"/>
  <c r="AJ595" i="3250"/>
  <c r="AL595" i="3250"/>
  <c r="AF596" i="3250"/>
  <c r="AG596" i="3250"/>
  <c r="AH596" i="3250"/>
  <c r="AI596" i="3250"/>
  <c r="AJ596" i="3250"/>
  <c r="AL596" i="3250"/>
  <c r="AF597" i="3250"/>
  <c r="AG597" i="3250"/>
  <c r="AH597" i="3250"/>
  <c r="AI597" i="3250"/>
  <c r="AJ597" i="3250"/>
  <c r="AL597" i="3250"/>
  <c r="AF598" i="3250"/>
  <c r="AG598" i="3250"/>
  <c r="AH598" i="3250"/>
  <c r="AI598" i="3250"/>
  <c r="AJ598" i="3250"/>
  <c r="AL598" i="3250"/>
  <c r="AF599" i="3250"/>
  <c r="AG599" i="3250"/>
  <c r="AH599" i="3250"/>
  <c r="AI599" i="3250"/>
  <c r="AJ599" i="3250"/>
  <c r="AL599" i="3250"/>
  <c r="AF600" i="3250"/>
  <c r="AG600" i="3250"/>
  <c r="AH600" i="3250"/>
  <c r="AI600" i="3250"/>
  <c r="AJ600" i="3250"/>
  <c r="AL600" i="3250"/>
  <c r="AF601" i="3250"/>
  <c r="AG601" i="3250"/>
  <c r="AH601" i="3250"/>
  <c r="AI601" i="3250"/>
  <c r="AJ601" i="3250"/>
  <c r="AL601" i="3250"/>
  <c r="AF602" i="3250"/>
  <c r="AG602" i="3250"/>
  <c r="AH602" i="3250"/>
  <c r="AI602" i="3250"/>
  <c r="AJ602" i="3250"/>
  <c r="AL602" i="3250"/>
  <c r="AF603" i="3250"/>
  <c r="AG603" i="3250"/>
  <c r="AH603" i="3250"/>
  <c r="AI603" i="3250"/>
  <c r="AJ603" i="3250"/>
  <c r="AL603" i="3250"/>
  <c r="AF604" i="3250"/>
  <c r="AG604" i="3250"/>
  <c r="AH604" i="3250"/>
  <c r="AI604" i="3250"/>
  <c r="AJ604" i="3250"/>
  <c r="AL604" i="3250"/>
  <c r="AF605" i="3250"/>
  <c r="AG605" i="3250"/>
  <c r="AH605" i="3250"/>
  <c r="AI605" i="3250"/>
  <c r="AJ605" i="3250"/>
  <c r="AL605" i="3250"/>
  <c r="AF606" i="3250"/>
  <c r="AG606" i="3250"/>
  <c r="AH606" i="3250"/>
  <c r="AI606" i="3250"/>
  <c r="AJ606" i="3250"/>
  <c r="AL606" i="3250"/>
  <c r="AF607" i="3250"/>
  <c r="AG607" i="3250"/>
  <c r="AH607" i="3250"/>
  <c r="AI607" i="3250"/>
  <c r="AJ607" i="3250"/>
  <c r="AL607" i="3250"/>
  <c r="AF608" i="3250"/>
  <c r="AG608" i="3250"/>
  <c r="AH608" i="3250"/>
  <c r="AI608" i="3250"/>
  <c r="AJ608" i="3250"/>
  <c r="AL608" i="3250"/>
  <c r="AF609" i="3250"/>
  <c r="AG609" i="3250"/>
  <c r="AH609" i="3250"/>
  <c r="AI609" i="3250"/>
  <c r="AJ609" i="3250"/>
  <c r="AL609" i="3250"/>
  <c r="AF610" i="3250"/>
  <c r="AG610" i="3250"/>
  <c r="AH610" i="3250"/>
  <c r="AI610" i="3250"/>
  <c r="AJ610" i="3250"/>
  <c r="AL610" i="3250"/>
  <c r="AF611" i="3250"/>
  <c r="AG611" i="3250"/>
  <c r="AH611" i="3250"/>
  <c r="AI611" i="3250"/>
  <c r="AJ611" i="3250"/>
  <c r="AL611" i="3250"/>
  <c r="AF612" i="3250"/>
  <c r="AG612" i="3250"/>
  <c r="AH612" i="3250"/>
  <c r="AI612" i="3250"/>
  <c r="AJ612" i="3250"/>
  <c r="AL612" i="3250"/>
  <c r="AF613" i="3250"/>
  <c r="AG613" i="3250"/>
  <c r="AH613" i="3250"/>
  <c r="AI613" i="3250"/>
  <c r="AJ613" i="3250"/>
  <c r="AL613" i="3250"/>
  <c r="AF614" i="3250"/>
  <c r="AG614" i="3250"/>
  <c r="AH614" i="3250"/>
  <c r="AI614" i="3250"/>
  <c r="AJ614" i="3250"/>
  <c r="AL614" i="3250"/>
  <c r="AF615" i="3250"/>
  <c r="AG615" i="3250"/>
  <c r="AH615" i="3250"/>
  <c r="AI615" i="3250"/>
  <c r="AJ615" i="3250"/>
  <c r="AL615" i="3250"/>
  <c r="AF616" i="3250"/>
  <c r="AG616" i="3250"/>
  <c r="AH616" i="3250"/>
  <c r="AI616" i="3250"/>
  <c r="AJ616" i="3250"/>
  <c r="AL616" i="3250"/>
  <c r="AF617" i="3250"/>
  <c r="AG617" i="3250"/>
  <c r="AH617" i="3250"/>
  <c r="AI617" i="3250"/>
  <c r="AJ617" i="3250"/>
  <c r="AL617" i="3250"/>
  <c r="AF618" i="3250"/>
  <c r="AG618" i="3250"/>
  <c r="AH618" i="3250"/>
  <c r="AI618" i="3250"/>
  <c r="AJ618" i="3250"/>
  <c r="AL618" i="3250"/>
  <c r="AF619" i="3250"/>
  <c r="AG619" i="3250"/>
  <c r="AH619" i="3250"/>
  <c r="AI619" i="3250"/>
  <c r="AJ619" i="3250"/>
  <c r="AL619" i="3250"/>
  <c r="AF620" i="3250"/>
  <c r="AG620" i="3250"/>
  <c r="AH620" i="3250"/>
  <c r="AI620" i="3250"/>
  <c r="AJ620" i="3250"/>
  <c r="AL620" i="3250"/>
  <c r="AF621" i="3250"/>
  <c r="AG621" i="3250"/>
  <c r="AH621" i="3250"/>
  <c r="AI621" i="3250"/>
  <c r="AJ621" i="3250"/>
  <c r="AL621" i="3250"/>
  <c r="AF622" i="3250"/>
  <c r="AG622" i="3250"/>
  <c r="AH622" i="3250"/>
  <c r="AI622" i="3250"/>
  <c r="AJ622" i="3250"/>
  <c r="AL622" i="3250"/>
  <c r="AF623" i="3250"/>
  <c r="AG623" i="3250"/>
  <c r="AH623" i="3250"/>
  <c r="AI623" i="3250"/>
  <c r="AJ623" i="3250"/>
  <c r="AL623" i="3250"/>
  <c r="AF624" i="3250"/>
  <c r="AG624" i="3250"/>
  <c r="AH624" i="3250"/>
  <c r="AI624" i="3250"/>
  <c r="AJ624" i="3250"/>
  <c r="AL624" i="3250"/>
  <c r="AF625" i="3250"/>
  <c r="AG625" i="3250"/>
  <c r="AH625" i="3250"/>
  <c r="AI625" i="3250"/>
  <c r="AJ625" i="3250"/>
  <c r="AL625" i="3250"/>
  <c r="AF626" i="3250"/>
  <c r="AG626" i="3250"/>
  <c r="AH626" i="3250"/>
  <c r="AI626" i="3250"/>
  <c r="AJ626" i="3250"/>
  <c r="AL626" i="3250"/>
  <c r="AF627" i="3250"/>
  <c r="AG627" i="3250"/>
  <c r="AH627" i="3250"/>
  <c r="AI627" i="3250"/>
  <c r="AJ627" i="3250"/>
  <c r="AL627" i="3250"/>
  <c r="AF628" i="3250"/>
  <c r="AG628" i="3250"/>
  <c r="AH628" i="3250"/>
  <c r="AI628" i="3250"/>
  <c r="AJ628" i="3250"/>
  <c r="AL628" i="3250"/>
  <c r="AF629" i="3250"/>
  <c r="AG629" i="3250"/>
  <c r="AH629" i="3250"/>
  <c r="AI629" i="3250"/>
  <c r="AJ629" i="3250"/>
  <c r="AL629" i="3250"/>
  <c r="AF630" i="3250"/>
  <c r="AG630" i="3250"/>
  <c r="AH630" i="3250"/>
  <c r="AI630" i="3250"/>
  <c r="AJ630" i="3250"/>
  <c r="AL630" i="3250"/>
  <c r="AF631" i="3250"/>
  <c r="AG631" i="3250"/>
  <c r="AH631" i="3250"/>
  <c r="AI631" i="3250"/>
  <c r="AJ631" i="3250"/>
  <c r="AL631" i="3250"/>
  <c r="AF632" i="3250"/>
  <c r="AG632" i="3250"/>
  <c r="AH632" i="3250"/>
  <c r="AI632" i="3250"/>
  <c r="AJ632" i="3250"/>
  <c r="AL632" i="3250"/>
  <c r="AF633" i="3250"/>
  <c r="AG633" i="3250"/>
  <c r="AH633" i="3250"/>
  <c r="AI633" i="3250"/>
  <c r="AJ633" i="3250"/>
  <c r="AL633" i="3250"/>
  <c r="AF634" i="3250"/>
  <c r="AG634" i="3250"/>
  <c r="AH634" i="3250"/>
  <c r="AI634" i="3250"/>
  <c r="AJ634" i="3250"/>
  <c r="AL634" i="3250"/>
  <c r="AF635" i="3250"/>
  <c r="AG635" i="3250"/>
  <c r="AH635" i="3250"/>
  <c r="AI635" i="3250"/>
  <c r="AJ635" i="3250"/>
  <c r="AL635" i="3250"/>
  <c r="AF636" i="3250"/>
  <c r="AG636" i="3250"/>
  <c r="AH636" i="3250"/>
  <c r="AI636" i="3250"/>
  <c r="AJ636" i="3250"/>
  <c r="AL636" i="3250"/>
  <c r="AF637" i="3250"/>
  <c r="AG637" i="3250"/>
  <c r="AH637" i="3250"/>
  <c r="AI637" i="3250"/>
  <c r="AJ637" i="3250"/>
  <c r="AL637" i="3250"/>
  <c r="AF638" i="3250"/>
  <c r="AG638" i="3250"/>
  <c r="AH638" i="3250"/>
  <c r="AI638" i="3250"/>
  <c r="AJ638" i="3250"/>
  <c r="AL638" i="3250"/>
  <c r="AF639" i="3250"/>
  <c r="AG639" i="3250"/>
  <c r="AH639" i="3250"/>
  <c r="AI639" i="3250"/>
  <c r="AJ639" i="3250"/>
  <c r="AL639" i="3250"/>
  <c r="AF640" i="3250"/>
  <c r="AG640" i="3250"/>
  <c r="AH640" i="3250"/>
  <c r="AI640" i="3250"/>
  <c r="AJ640" i="3250"/>
  <c r="AL640" i="3250"/>
  <c r="AF641" i="3250"/>
  <c r="AG641" i="3250"/>
  <c r="AH641" i="3250"/>
  <c r="AI641" i="3250"/>
  <c r="AJ641" i="3250"/>
  <c r="AL641" i="3250"/>
  <c r="AF642" i="3250"/>
  <c r="AG642" i="3250"/>
  <c r="AH642" i="3250"/>
  <c r="AI642" i="3250"/>
  <c r="AJ642" i="3250"/>
  <c r="AL642" i="3250"/>
  <c r="AF643" i="3250"/>
  <c r="AG643" i="3250"/>
  <c r="AH643" i="3250"/>
  <c r="AI643" i="3250"/>
  <c r="AJ643" i="3250"/>
  <c r="AL643" i="3250"/>
  <c r="AF644" i="3250"/>
  <c r="AG644" i="3250"/>
  <c r="AH644" i="3250"/>
  <c r="AI644" i="3250"/>
  <c r="AJ644" i="3250"/>
  <c r="AL644" i="3250"/>
  <c r="AF645" i="3250"/>
  <c r="AG645" i="3250"/>
  <c r="AH645" i="3250"/>
  <c r="AI645" i="3250"/>
  <c r="AJ645" i="3250"/>
  <c r="AL645" i="3250"/>
  <c r="AF646" i="3250"/>
  <c r="AG646" i="3250"/>
  <c r="AH646" i="3250"/>
  <c r="AI646" i="3250"/>
  <c r="AJ646" i="3250"/>
  <c r="AL646" i="3250"/>
  <c r="AF647" i="3250"/>
  <c r="AG647" i="3250"/>
  <c r="AH647" i="3250"/>
  <c r="AI647" i="3250"/>
  <c r="AJ647" i="3250"/>
  <c r="AL647" i="3250"/>
  <c r="AF648" i="3250"/>
  <c r="AG648" i="3250"/>
  <c r="AH648" i="3250"/>
  <c r="AI648" i="3250"/>
  <c r="AJ648" i="3250"/>
  <c r="AL648" i="3250"/>
  <c r="AF649" i="3250"/>
  <c r="AG649" i="3250"/>
  <c r="AH649" i="3250"/>
  <c r="AI649" i="3250"/>
  <c r="AJ649" i="3250"/>
  <c r="AL649" i="3250"/>
  <c r="AF650" i="3250"/>
  <c r="AG650" i="3250"/>
  <c r="AH650" i="3250"/>
  <c r="AI650" i="3250"/>
  <c r="AJ650" i="3250"/>
  <c r="AL650" i="3250"/>
  <c r="AF651" i="3250"/>
  <c r="AG651" i="3250"/>
  <c r="AH651" i="3250"/>
  <c r="AI651" i="3250"/>
  <c r="AJ651" i="3250"/>
  <c r="AL651" i="3250"/>
  <c r="AF652" i="3250"/>
  <c r="AG652" i="3250"/>
  <c r="AH652" i="3250"/>
  <c r="AI652" i="3250"/>
  <c r="AJ652" i="3250"/>
  <c r="AL652" i="3250"/>
  <c r="AF653" i="3250"/>
  <c r="AG653" i="3250"/>
  <c r="AH653" i="3250"/>
  <c r="AI653" i="3250"/>
  <c r="AJ653" i="3250"/>
  <c r="AL653" i="3250"/>
  <c r="AF654" i="3250"/>
  <c r="AG654" i="3250"/>
  <c r="AH654" i="3250"/>
  <c r="AI654" i="3250"/>
  <c r="AJ654" i="3250"/>
  <c r="AL654" i="3250"/>
  <c r="AF655" i="3250"/>
  <c r="AG655" i="3250"/>
  <c r="AH655" i="3250"/>
  <c r="AI655" i="3250"/>
  <c r="AJ655" i="3250"/>
  <c r="AL655" i="3250"/>
  <c r="AF656" i="3250"/>
  <c r="AG656" i="3250"/>
  <c r="AH656" i="3250"/>
  <c r="AI656" i="3250"/>
  <c r="AJ656" i="3250"/>
  <c r="AL656" i="3250"/>
  <c r="AF657" i="3250"/>
  <c r="AG657" i="3250"/>
  <c r="AH657" i="3250"/>
  <c r="AI657" i="3250"/>
  <c r="AJ657" i="3250"/>
  <c r="AL657" i="3250"/>
  <c r="AF658" i="3250"/>
  <c r="AG658" i="3250"/>
  <c r="AH658" i="3250"/>
  <c r="AI658" i="3250"/>
  <c r="AJ658" i="3250"/>
  <c r="AL658" i="3250"/>
  <c r="AF659" i="3250"/>
  <c r="AG659" i="3250"/>
  <c r="AH659" i="3250"/>
  <c r="AI659" i="3250"/>
  <c r="AJ659" i="3250"/>
  <c r="AL659" i="3250"/>
  <c r="AF660" i="3250"/>
  <c r="AG660" i="3250"/>
  <c r="AH660" i="3250"/>
  <c r="AI660" i="3250"/>
  <c r="AJ660" i="3250"/>
  <c r="AL660" i="3250"/>
  <c r="AF661" i="3250"/>
  <c r="AG661" i="3250"/>
  <c r="AH661" i="3250"/>
  <c r="AI661" i="3250"/>
  <c r="AJ661" i="3250"/>
  <c r="AL661" i="3250"/>
  <c r="AF662" i="3250"/>
  <c r="AG662" i="3250"/>
  <c r="AH662" i="3250"/>
  <c r="AI662" i="3250"/>
  <c r="AJ662" i="3250"/>
  <c r="AL662" i="3250"/>
  <c r="AF663" i="3250"/>
  <c r="AG663" i="3250"/>
  <c r="AH663" i="3250"/>
  <c r="AI663" i="3250"/>
  <c r="AJ663" i="3250"/>
  <c r="AL663" i="3250"/>
  <c r="AF664" i="3250"/>
  <c r="AG664" i="3250"/>
  <c r="AH664" i="3250"/>
  <c r="AI664" i="3250"/>
  <c r="AJ664" i="3250"/>
  <c r="AL664" i="3250"/>
  <c r="AF665" i="3250"/>
  <c r="AG665" i="3250"/>
  <c r="AH665" i="3250"/>
  <c r="AI665" i="3250"/>
  <c r="AJ665" i="3250"/>
  <c r="AL665" i="3250"/>
  <c r="AF666" i="3250"/>
  <c r="AG666" i="3250"/>
  <c r="AH666" i="3250"/>
  <c r="AI666" i="3250"/>
  <c r="AJ666" i="3250"/>
  <c r="AL666" i="3250"/>
  <c r="AF667" i="3250"/>
  <c r="AG667" i="3250"/>
  <c r="AH667" i="3250"/>
  <c r="AI667" i="3250"/>
  <c r="AJ667" i="3250"/>
  <c r="AL667" i="3250"/>
  <c r="AF668" i="3250"/>
  <c r="AG668" i="3250"/>
  <c r="AH668" i="3250"/>
  <c r="AI668" i="3250"/>
  <c r="AJ668" i="3250"/>
  <c r="AL668" i="3250"/>
  <c r="AF669" i="3250"/>
  <c r="AG669" i="3250"/>
  <c r="AH669" i="3250"/>
  <c r="AI669" i="3250"/>
  <c r="AJ669" i="3250"/>
  <c r="AL669" i="3250"/>
  <c r="AF670" i="3250"/>
  <c r="AG670" i="3250"/>
  <c r="AH670" i="3250"/>
  <c r="AI670" i="3250"/>
  <c r="AJ670" i="3250"/>
  <c r="AL670" i="3250"/>
  <c r="AF671" i="3250"/>
  <c r="AG671" i="3250"/>
  <c r="AH671" i="3250"/>
  <c r="AI671" i="3250"/>
  <c r="AJ671" i="3250"/>
  <c r="AL671" i="3250"/>
  <c r="AF672" i="3250"/>
  <c r="AG672" i="3250"/>
  <c r="AH672" i="3250"/>
  <c r="AI672" i="3250"/>
  <c r="AJ672" i="3250"/>
  <c r="AL672" i="3250"/>
  <c r="AF673" i="3250"/>
  <c r="AG673" i="3250"/>
  <c r="AH673" i="3250"/>
  <c r="AI673" i="3250"/>
  <c r="AJ673" i="3250"/>
  <c r="AL673" i="3250"/>
  <c r="AF674" i="3250"/>
  <c r="AG674" i="3250"/>
  <c r="AH674" i="3250"/>
  <c r="AI674" i="3250"/>
  <c r="AJ674" i="3250"/>
  <c r="AL674" i="3250"/>
  <c r="AF675" i="3250"/>
  <c r="AG675" i="3250"/>
  <c r="AH675" i="3250"/>
  <c r="AI675" i="3250"/>
  <c r="AJ675" i="3250"/>
  <c r="AL675" i="3250"/>
  <c r="AF676" i="3250"/>
  <c r="AG676" i="3250"/>
  <c r="AH676" i="3250"/>
  <c r="AI676" i="3250"/>
  <c r="AJ676" i="3250"/>
  <c r="AL676" i="3250"/>
  <c r="AF677" i="3250"/>
  <c r="AG677" i="3250"/>
  <c r="AH677" i="3250"/>
  <c r="AI677" i="3250"/>
  <c r="AJ677" i="3250"/>
  <c r="AL677" i="3250"/>
  <c r="AF678" i="3250"/>
  <c r="AG678" i="3250"/>
  <c r="AH678" i="3250"/>
  <c r="AI678" i="3250"/>
  <c r="AJ678" i="3250"/>
  <c r="AL678" i="3250"/>
  <c r="AF679" i="3250"/>
  <c r="AG679" i="3250"/>
  <c r="AH679" i="3250"/>
  <c r="AI679" i="3250"/>
  <c r="AJ679" i="3250"/>
  <c r="AL679" i="3250"/>
  <c r="AF680" i="3250"/>
  <c r="AG680" i="3250"/>
  <c r="AH680" i="3250"/>
  <c r="AI680" i="3250"/>
  <c r="AJ680" i="3250"/>
  <c r="AL680" i="3250"/>
  <c r="AF681" i="3250"/>
  <c r="AG681" i="3250"/>
  <c r="AH681" i="3250"/>
  <c r="AI681" i="3250"/>
  <c r="AJ681" i="3250"/>
  <c r="AL681" i="3250"/>
  <c r="AF682" i="3250"/>
  <c r="AG682" i="3250"/>
  <c r="AH682" i="3250"/>
  <c r="AI682" i="3250"/>
  <c r="AJ682" i="3250"/>
  <c r="AL682" i="3250"/>
  <c r="AF683" i="3250"/>
  <c r="AG683" i="3250"/>
  <c r="AH683" i="3250"/>
  <c r="AI683" i="3250"/>
  <c r="AJ683" i="3250"/>
  <c r="AL683" i="3250"/>
  <c r="AF684" i="3250"/>
  <c r="AG684" i="3250"/>
  <c r="AH684" i="3250"/>
  <c r="AI684" i="3250"/>
  <c r="AJ684" i="3250"/>
  <c r="AL684" i="3250"/>
  <c r="AF685" i="3250"/>
  <c r="AG685" i="3250"/>
  <c r="AH685" i="3250"/>
  <c r="AI685" i="3250"/>
  <c r="AJ685" i="3250"/>
  <c r="AL685" i="3250"/>
  <c r="AF686" i="3250"/>
  <c r="AG686" i="3250"/>
  <c r="AH686" i="3250"/>
  <c r="AI686" i="3250"/>
  <c r="AJ686" i="3250"/>
  <c r="AL686" i="3250"/>
  <c r="AF687" i="3250"/>
  <c r="AG687" i="3250"/>
  <c r="AH687" i="3250"/>
  <c r="AI687" i="3250"/>
  <c r="AJ687" i="3250"/>
  <c r="AL687" i="3250"/>
  <c r="AF688" i="3250"/>
  <c r="AG688" i="3250"/>
  <c r="AH688" i="3250"/>
  <c r="AI688" i="3250"/>
  <c r="AJ688" i="3250"/>
  <c r="AL688" i="3250"/>
  <c r="AF689" i="3250"/>
  <c r="AG689" i="3250"/>
  <c r="AH689" i="3250"/>
  <c r="AI689" i="3250"/>
  <c r="AJ689" i="3250"/>
  <c r="AL689" i="3250"/>
  <c r="AF690" i="3250"/>
  <c r="AG690" i="3250"/>
  <c r="AH690" i="3250"/>
  <c r="AI690" i="3250"/>
  <c r="AJ690" i="3250"/>
  <c r="AL690" i="3250"/>
  <c r="AF691" i="3250"/>
  <c r="AG691" i="3250"/>
  <c r="AH691" i="3250"/>
  <c r="AI691" i="3250"/>
  <c r="AJ691" i="3250"/>
  <c r="AL691" i="3250"/>
  <c r="AF692" i="3250"/>
  <c r="AG692" i="3250"/>
  <c r="AH692" i="3250"/>
  <c r="AI692" i="3250"/>
  <c r="AJ692" i="3250"/>
  <c r="AL692" i="3250"/>
  <c r="AF693" i="3250"/>
  <c r="AG693" i="3250"/>
  <c r="AH693" i="3250"/>
  <c r="AI693" i="3250"/>
  <c r="AJ693" i="3250"/>
  <c r="AL693" i="3250"/>
  <c r="AF694" i="3250"/>
  <c r="AG694" i="3250"/>
  <c r="AH694" i="3250"/>
  <c r="AI694" i="3250"/>
  <c r="AJ694" i="3250"/>
  <c r="AL694" i="3250"/>
  <c r="AF695" i="3250"/>
  <c r="AG695" i="3250"/>
  <c r="AH695" i="3250"/>
  <c r="AI695" i="3250"/>
  <c r="AJ695" i="3250"/>
  <c r="AL695" i="3250"/>
  <c r="AF696" i="3250"/>
  <c r="AG696" i="3250"/>
  <c r="AH696" i="3250"/>
  <c r="AI696" i="3250"/>
  <c r="AJ696" i="3250"/>
  <c r="AL696" i="3250"/>
  <c r="AF697" i="3250"/>
  <c r="AG697" i="3250"/>
  <c r="AH697" i="3250"/>
  <c r="AI697" i="3250"/>
  <c r="AJ697" i="3250"/>
  <c r="AL697" i="3250"/>
  <c r="AF698" i="3250"/>
  <c r="AG698" i="3250"/>
  <c r="AH698" i="3250"/>
  <c r="AI698" i="3250"/>
  <c r="AJ698" i="3250"/>
  <c r="AL698" i="3250"/>
  <c r="AF699" i="3250"/>
  <c r="AG699" i="3250"/>
  <c r="AH699" i="3250"/>
  <c r="AI699" i="3250"/>
  <c r="AJ699" i="3250"/>
  <c r="AL699" i="3250"/>
  <c r="AF700" i="3250"/>
  <c r="AG700" i="3250"/>
  <c r="AH700" i="3250"/>
  <c r="AI700" i="3250"/>
  <c r="AJ700" i="3250"/>
  <c r="AL700" i="3250"/>
  <c r="AF701" i="3250"/>
  <c r="AG701" i="3250"/>
  <c r="AH701" i="3250"/>
  <c r="AI701" i="3250"/>
  <c r="AJ701" i="3250"/>
  <c r="AL701" i="3250"/>
  <c r="AF702" i="3250"/>
  <c r="AG702" i="3250"/>
  <c r="AH702" i="3250"/>
  <c r="AI702" i="3250"/>
  <c r="AJ702" i="3250"/>
  <c r="AL702" i="3250"/>
  <c r="AF703" i="3250"/>
  <c r="AG703" i="3250"/>
  <c r="AH703" i="3250"/>
  <c r="AI703" i="3250"/>
  <c r="AJ703" i="3250"/>
  <c r="AL703" i="3250"/>
  <c r="AF704" i="3250"/>
  <c r="AG704" i="3250"/>
  <c r="AH704" i="3250"/>
  <c r="AI704" i="3250"/>
  <c r="AJ704" i="3250"/>
  <c r="AL704" i="3250"/>
  <c r="AF705" i="3250"/>
  <c r="AG705" i="3250"/>
  <c r="AH705" i="3250"/>
  <c r="AI705" i="3250"/>
  <c r="AJ705" i="3250"/>
  <c r="AL705" i="3250"/>
  <c r="AF706" i="3250"/>
  <c r="AG706" i="3250"/>
  <c r="AH706" i="3250"/>
  <c r="AI706" i="3250"/>
  <c r="AJ706" i="3250"/>
  <c r="AL706" i="3250"/>
  <c r="AF707" i="3250"/>
  <c r="AG707" i="3250"/>
  <c r="AH707" i="3250"/>
  <c r="AI707" i="3250"/>
  <c r="AJ707" i="3250"/>
  <c r="AL707" i="3250"/>
  <c r="AF708" i="3250"/>
  <c r="AG708" i="3250"/>
  <c r="AH708" i="3250"/>
  <c r="AI708" i="3250"/>
  <c r="AJ708" i="3250"/>
  <c r="AL708" i="3250"/>
  <c r="AF709" i="3250"/>
  <c r="AG709" i="3250"/>
  <c r="AH709" i="3250"/>
  <c r="AI709" i="3250"/>
  <c r="AJ709" i="3250"/>
  <c r="AL709" i="3250"/>
  <c r="AF710" i="3250"/>
  <c r="AG710" i="3250"/>
  <c r="AH710" i="3250"/>
  <c r="AI710" i="3250"/>
  <c r="AJ710" i="3250"/>
  <c r="AL710" i="3250"/>
  <c r="AF711" i="3250"/>
  <c r="AG711" i="3250"/>
  <c r="AH711" i="3250"/>
  <c r="AI711" i="3250"/>
  <c r="AJ711" i="3250"/>
  <c r="AL711" i="3250"/>
  <c r="AF712" i="3250"/>
  <c r="AG712" i="3250"/>
  <c r="AH712" i="3250"/>
  <c r="AI712" i="3250"/>
  <c r="AJ712" i="3250"/>
  <c r="AL712" i="3250"/>
  <c r="AF713" i="3250"/>
  <c r="AG713" i="3250"/>
  <c r="AH713" i="3250"/>
  <c r="AI713" i="3250"/>
  <c r="AJ713" i="3250"/>
  <c r="AL713" i="3250"/>
  <c r="AF714" i="3250"/>
  <c r="AG714" i="3250"/>
  <c r="AH714" i="3250"/>
  <c r="AI714" i="3250"/>
  <c r="AJ714" i="3250"/>
  <c r="AL714" i="3250"/>
  <c r="AF715" i="3250"/>
  <c r="AG715" i="3250"/>
  <c r="AH715" i="3250"/>
  <c r="AI715" i="3250"/>
  <c r="AJ715" i="3250"/>
  <c r="AL715" i="3250"/>
  <c r="AF716" i="3250"/>
  <c r="AG716" i="3250"/>
  <c r="AH716" i="3250"/>
  <c r="AI716" i="3250"/>
  <c r="AJ716" i="3250"/>
  <c r="AL716" i="3250"/>
  <c r="AF717" i="3250"/>
  <c r="AG717" i="3250"/>
  <c r="AH717" i="3250"/>
  <c r="AI717" i="3250"/>
  <c r="AJ717" i="3250"/>
  <c r="AL717" i="3250"/>
  <c r="AF718" i="3250"/>
  <c r="AG718" i="3250"/>
  <c r="AH718" i="3250"/>
  <c r="AI718" i="3250"/>
  <c r="AJ718" i="3250"/>
  <c r="AL718" i="3250"/>
  <c r="AF719" i="3250"/>
  <c r="AG719" i="3250"/>
  <c r="AH719" i="3250"/>
  <c r="AI719" i="3250"/>
  <c r="AJ719" i="3250"/>
  <c r="AL719" i="3250"/>
  <c r="AF720" i="3250"/>
  <c r="AG720" i="3250"/>
  <c r="AH720" i="3250"/>
  <c r="AI720" i="3250"/>
  <c r="AJ720" i="3250"/>
  <c r="AL720" i="3250"/>
  <c r="AF721" i="3250"/>
  <c r="AG721" i="3250"/>
  <c r="AH721" i="3250"/>
  <c r="AI721" i="3250"/>
  <c r="AJ721" i="3250"/>
  <c r="AL721" i="3250"/>
  <c r="AF722" i="3250"/>
  <c r="AG722" i="3250"/>
  <c r="AH722" i="3250"/>
  <c r="AI722" i="3250"/>
  <c r="AJ722" i="3250"/>
  <c r="AL722" i="3250"/>
  <c r="AF723" i="3250"/>
  <c r="AG723" i="3250"/>
  <c r="AH723" i="3250"/>
  <c r="AI723" i="3250"/>
  <c r="AJ723" i="3250"/>
  <c r="AL723" i="3250"/>
  <c r="AF724" i="3250"/>
  <c r="AG724" i="3250"/>
  <c r="AH724" i="3250"/>
  <c r="AI724" i="3250"/>
  <c r="AJ724" i="3250"/>
  <c r="AL724" i="3250"/>
  <c r="AF725" i="3250"/>
  <c r="AG725" i="3250"/>
  <c r="AH725" i="3250"/>
  <c r="AI725" i="3250"/>
  <c r="AJ725" i="3250"/>
  <c r="AL725" i="3250"/>
  <c r="AF726" i="3250"/>
  <c r="AG726" i="3250"/>
  <c r="AH726" i="3250"/>
  <c r="AI726" i="3250"/>
  <c r="AJ726" i="3250"/>
  <c r="AL726" i="3250"/>
  <c r="AF727" i="3250"/>
  <c r="AG727" i="3250"/>
  <c r="AH727" i="3250"/>
  <c r="AI727" i="3250"/>
  <c r="AJ727" i="3250"/>
  <c r="AL727" i="3250"/>
  <c r="AF728" i="3250"/>
  <c r="AG728" i="3250"/>
  <c r="AH728" i="3250"/>
  <c r="AI728" i="3250"/>
  <c r="AJ728" i="3250"/>
  <c r="AL728" i="3250"/>
  <c r="AF729" i="3250"/>
  <c r="AG729" i="3250"/>
  <c r="AH729" i="3250"/>
  <c r="AI729" i="3250"/>
  <c r="AJ729" i="3250"/>
  <c r="AL729" i="3250"/>
  <c r="AF730" i="3250"/>
  <c r="AG730" i="3250"/>
  <c r="AH730" i="3250"/>
  <c r="AI730" i="3250"/>
  <c r="AJ730" i="3250"/>
  <c r="AL730" i="3250"/>
  <c r="AF731" i="3250"/>
  <c r="AG731" i="3250"/>
  <c r="AH731" i="3250"/>
  <c r="AI731" i="3250"/>
  <c r="AJ731" i="3250"/>
  <c r="AL731" i="3250"/>
  <c r="AF732" i="3250"/>
  <c r="AG732" i="3250"/>
  <c r="AH732" i="3250"/>
  <c r="AI732" i="3250"/>
  <c r="AJ732" i="3250"/>
  <c r="AL732" i="3250"/>
  <c r="AF733" i="3250"/>
  <c r="AG733" i="3250"/>
  <c r="AH733" i="3250"/>
  <c r="AI733" i="3250"/>
  <c r="AJ733" i="3250"/>
  <c r="AL733" i="3250"/>
  <c r="AF734" i="3250"/>
  <c r="AG734" i="3250"/>
  <c r="AH734" i="3250"/>
  <c r="AI734" i="3250"/>
  <c r="AJ734" i="3250"/>
  <c r="AL734" i="3250"/>
  <c r="AF735" i="3250"/>
  <c r="AG735" i="3250"/>
  <c r="AH735" i="3250"/>
  <c r="AI735" i="3250"/>
  <c r="AJ735" i="3250"/>
  <c r="AL735" i="3250"/>
  <c r="AF736" i="3250"/>
  <c r="AG736" i="3250"/>
  <c r="AH736" i="3250"/>
  <c r="AI736" i="3250"/>
  <c r="AJ736" i="3250"/>
  <c r="AL736" i="3250"/>
  <c r="AF737" i="3250"/>
  <c r="AG737" i="3250"/>
  <c r="AH737" i="3250"/>
  <c r="AI737" i="3250"/>
  <c r="AJ737" i="3250"/>
  <c r="AL737" i="3250"/>
  <c r="AF738" i="3250"/>
  <c r="AG738" i="3250"/>
  <c r="AH738" i="3250"/>
  <c r="AI738" i="3250"/>
  <c r="AJ738" i="3250"/>
  <c r="AL738" i="3250"/>
  <c r="AF739" i="3250"/>
  <c r="AG739" i="3250"/>
  <c r="AH739" i="3250"/>
  <c r="AI739" i="3250"/>
  <c r="AJ739" i="3250"/>
  <c r="AL739" i="3250"/>
  <c r="AF740" i="3250"/>
  <c r="AG740" i="3250"/>
  <c r="AH740" i="3250"/>
  <c r="AI740" i="3250"/>
  <c r="AJ740" i="3250"/>
  <c r="AL740" i="3250"/>
  <c r="AF741" i="3250"/>
  <c r="AG741" i="3250"/>
  <c r="AH741" i="3250"/>
  <c r="AI741" i="3250"/>
  <c r="AJ741" i="3250"/>
  <c r="AL741" i="3250"/>
  <c r="AF742" i="3250"/>
  <c r="AG742" i="3250"/>
  <c r="AH742" i="3250"/>
  <c r="AI742" i="3250"/>
  <c r="AJ742" i="3250"/>
  <c r="AL742" i="3250"/>
  <c r="AF743" i="3250"/>
  <c r="AG743" i="3250"/>
  <c r="AH743" i="3250"/>
  <c r="AI743" i="3250"/>
  <c r="AJ743" i="3250"/>
  <c r="AL743" i="3250"/>
  <c r="AF744" i="3250"/>
  <c r="AG744" i="3250"/>
  <c r="AH744" i="3250"/>
  <c r="AI744" i="3250"/>
  <c r="AJ744" i="3250"/>
  <c r="AL744" i="3250"/>
  <c r="AF745" i="3250"/>
  <c r="AG745" i="3250"/>
  <c r="AH745" i="3250"/>
  <c r="AI745" i="3250"/>
  <c r="AJ745" i="3250"/>
  <c r="AL745" i="3250"/>
  <c r="AF746" i="3250"/>
  <c r="AG746" i="3250"/>
  <c r="AH746" i="3250"/>
  <c r="AI746" i="3250"/>
  <c r="AJ746" i="3250"/>
  <c r="AL746" i="3250"/>
  <c r="AF747" i="3250"/>
  <c r="AG747" i="3250"/>
  <c r="AH747" i="3250"/>
  <c r="AI747" i="3250"/>
  <c r="AJ747" i="3250"/>
  <c r="AL747" i="3250"/>
  <c r="AF748" i="3250"/>
  <c r="AG748" i="3250"/>
  <c r="AH748" i="3250"/>
  <c r="AI748" i="3250"/>
  <c r="AJ748" i="3250"/>
  <c r="AL748" i="3250"/>
  <c r="AF749" i="3250"/>
  <c r="AG749" i="3250"/>
  <c r="AH749" i="3250"/>
  <c r="AI749" i="3250"/>
  <c r="AJ749" i="3250"/>
  <c r="AL749" i="3250"/>
  <c r="AF750" i="3250"/>
  <c r="AG750" i="3250"/>
  <c r="AH750" i="3250"/>
  <c r="AI750" i="3250"/>
  <c r="AJ750" i="3250"/>
  <c r="AL750" i="3250"/>
  <c r="AF751" i="3250"/>
  <c r="AG751" i="3250"/>
  <c r="AH751" i="3250"/>
  <c r="AI751" i="3250"/>
  <c r="AJ751" i="3250"/>
  <c r="AL751" i="3250"/>
  <c r="AF752" i="3250"/>
  <c r="AG752" i="3250"/>
  <c r="AH752" i="3250"/>
  <c r="AI752" i="3250"/>
  <c r="AJ752" i="3250"/>
  <c r="AL752" i="3250"/>
  <c r="AF753" i="3250"/>
  <c r="AG753" i="3250"/>
  <c r="AH753" i="3250"/>
  <c r="AI753" i="3250"/>
  <c r="AJ753" i="3250"/>
  <c r="AL753" i="3250"/>
  <c r="AF754" i="3250"/>
  <c r="AG754" i="3250"/>
  <c r="AH754" i="3250"/>
  <c r="AI754" i="3250"/>
  <c r="AJ754" i="3250"/>
  <c r="AL754" i="3250"/>
  <c r="AF755" i="3250"/>
  <c r="AG755" i="3250"/>
  <c r="AH755" i="3250"/>
  <c r="AI755" i="3250"/>
  <c r="AJ755" i="3250"/>
  <c r="AL755" i="3250"/>
  <c r="AF756" i="3250"/>
  <c r="AG756" i="3250"/>
  <c r="AH756" i="3250"/>
  <c r="AI756" i="3250"/>
  <c r="AJ756" i="3250"/>
  <c r="AL756" i="3250"/>
  <c r="AF757" i="3250"/>
  <c r="AG757" i="3250"/>
  <c r="AH757" i="3250"/>
  <c r="AI757" i="3250"/>
  <c r="AJ757" i="3250"/>
  <c r="AL757" i="3250"/>
  <c r="AF758" i="3250"/>
  <c r="AG758" i="3250"/>
  <c r="AH758" i="3250"/>
  <c r="AI758" i="3250"/>
  <c r="AJ758" i="3250"/>
  <c r="AL758" i="3250"/>
  <c r="AF759" i="3250"/>
  <c r="AG759" i="3250"/>
  <c r="AH759" i="3250"/>
  <c r="AI759" i="3250"/>
  <c r="AJ759" i="3250"/>
  <c r="AL759" i="3250"/>
  <c r="AF760" i="3250"/>
  <c r="AG760" i="3250"/>
  <c r="AH760" i="3250"/>
  <c r="AI760" i="3250"/>
  <c r="AJ760" i="3250"/>
  <c r="AL760" i="3250"/>
  <c r="AF761" i="3250"/>
  <c r="AG761" i="3250"/>
  <c r="AH761" i="3250"/>
  <c r="AI761" i="3250"/>
  <c r="AJ761" i="3250"/>
  <c r="AL761" i="3250"/>
  <c r="AF762" i="3250"/>
  <c r="AG762" i="3250"/>
  <c r="AH762" i="3250"/>
  <c r="AI762" i="3250"/>
  <c r="AJ762" i="3250"/>
  <c r="AL762" i="3250"/>
  <c r="AF763" i="3250"/>
  <c r="AG763" i="3250"/>
  <c r="AH763" i="3250"/>
  <c r="AI763" i="3250"/>
  <c r="AJ763" i="3250"/>
  <c r="AL763" i="3250"/>
  <c r="AF764" i="3250"/>
  <c r="AG764" i="3250"/>
  <c r="AH764" i="3250"/>
  <c r="AI764" i="3250"/>
  <c r="AJ764" i="3250"/>
  <c r="AL764" i="3250"/>
  <c r="AF765" i="3250"/>
  <c r="AG765" i="3250"/>
  <c r="AH765" i="3250"/>
  <c r="AI765" i="3250"/>
  <c r="AJ765" i="3250"/>
  <c r="AL765" i="3250"/>
  <c r="AF766" i="3250"/>
  <c r="AG766" i="3250"/>
  <c r="AH766" i="3250"/>
  <c r="AI766" i="3250"/>
  <c r="AJ766" i="3250"/>
  <c r="AL766" i="3250"/>
  <c r="AF767" i="3250"/>
  <c r="AG767" i="3250"/>
  <c r="AH767" i="3250"/>
  <c r="AI767" i="3250"/>
  <c r="AJ767" i="3250"/>
  <c r="AL767" i="3250"/>
  <c r="AF768" i="3250"/>
  <c r="AG768" i="3250"/>
  <c r="AH768" i="3250"/>
  <c r="AI768" i="3250"/>
  <c r="AJ768" i="3250"/>
  <c r="AL768" i="3250"/>
  <c r="AF769" i="3250"/>
  <c r="AG769" i="3250"/>
  <c r="AH769" i="3250"/>
  <c r="AI769" i="3250"/>
  <c r="AJ769" i="3250"/>
  <c r="AL769" i="3250"/>
  <c r="AF770" i="3250"/>
  <c r="AG770" i="3250"/>
  <c r="AH770" i="3250"/>
  <c r="AI770" i="3250"/>
  <c r="AJ770" i="3250"/>
  <c r="AL770" i="3250"/>
  <c r="AF771" i="3250"/>
  <c r="AG771" i="3250"/>
  <c r="AH771" i="3250"/>
  <c r="AI771" i="3250"/>
  <c r="AJ771" i="3250"/>
  <c r="AL771" i="3250"/>
  <c r="AF772" i="3250"/>
  <c r="AG772" i="3250"/>
  <c r="AH772" i="3250"/>
  <c r="AI772" i="3250"/>
  <c r="AJ772" i="3250"/>
  <c r="AL772" i="3250"/>
  <c r="AF773" i="3250"/>
  <c r="AG773" i="3250"/>
  <c r="AH773" i="3250"/>
  <c r="AI773" i="3250"/>
  <c r="AJ773" i="3250"/>
  <c r="AL773" i="3250"/>
  <c r="AF774" i="3250"/>
  <c r="AG774" i="3250"/>
  <c r="AH774" i="3250"/>
  <c r="AI774" i="3250"/>
  <c r="AJ774" i="3250"/>
  <c r="AL774" i="3250"/>
  <c r="AF775" i="3250"/>
  <c r="AG775" i="3250"/>
  <c r="AH775" i="3250"/>
  <c r="AI775" i="3250"/>
  <c r="AJ775" i="3250"/>
  <c r="AL775" i="3250"/>
  <c r="AF776" i="3250"/>
  <c r="AG776" i="3250"/>
  <c r="AH776" i="3250"/>
  <c r="AI776" i="3250"/>
  <c r="AJ776" i="3250"/>
  <c r="AL776" i="3250"/>
  <c r="AF777" i="3250"/>
  <c r="AG777" i="3250"/>
  <c r="AH777" i="3250"/>
  <c r="AI777" i="3250"/>
  <c r="AJ777" i="3250"/>
  <c r="AL777" i="3250"/>
  <c r="AF778" i="3250"/>
  <c r="AG778" i="3250"/>
  <c r="AH778" i="3250"/>
  <c r="AI778" i="3250"/>
  <c r="AJ778" i="3250"/>
  <c r="AL778" i="3250"/>
  <c r="AF779" i="3250"/>
  <c r="AG779" i="3250"/>
  <c r="AH779" i="3250"/>
  <c r="AI779" i="3250"/>
  <c r="AJ779" i="3250"/>
  <c r="AL779" i="3250"/>
  <c r="AF780" i="3250"/>
  <c r="AG780" i="3250"/>
  <c r="AH780" i="3250"/>
  <c r="AI780" i="3250"/>
  <c r="AJ780" i="3250"/>
  <c r="AL780" i="3250"/>
  <c r="AF781" i="3250"/>
  <c r="AG781" i="3250"/>
  <c r="AH781" i="3250"/>
  <c r="AI781" i="3250"/>
  <c r="AJ781" i="3250"/>
  <c r="AL781" i="3250"/>
  <c r="AF782" i="3250"/>
  <c r="AG782" i="3250"/>
  <c r="AH782" i="3250"/>
  <c r="AI782" i="3250"/>
  <c r="AJ782" i="3250"/>
  <c r="AL782" i="3250"/>
  <c r="AF783" i="3250"/>
  <c r="AG783" i="3250"/>
  <c r="AH783" i="3250"/>
  <c r="AI783" i="3250"/>
  <c r="AJ783" i="3250"/>
  <c r="AL783" i="3250"/>
  <c r="AF784" i="3250"/>
  <c r="AG784" i="3250"/>
  <c r="AH784" i="3250"/>
  <c r="AI784" i="3250"/>
  <c r="AJ784" i="3250"/>
  <c r="AL784" i="3250"/>
  <c r="AF785" i="3250"/>
  <c r="AG785" i="3250"/>
  <c r="AH785" i="3250"/>
  <c r="AI785" i="3250"/>
  <c r="AJ785" i="3250"/>
  <c r="AL785" i="3250"/>
  <c r="AF786" i="3250"/>
  <c r="AG786" i="3250"/>
  <c r="AH786" i="3250"/>
  <c r="AI786" i="3250"/>
  <c r="AJ786" i="3250"/>
  <c r="AL786" i="3250"/>
  <c r="AF787" i="3250"/>
  <c r="AG787" i="3250"/>
  <c r="AH787" i="3250"/>
  <c r="AI787" i="3250"/>
  <c r="AJ787" i="3250"/>
  <c r="AL787" i="3250"/>
  <c r="AF788" i="3250"/>
  <c r="AG788" i="3250"/>
  <c r="AH788" i="3250"/>
  <c r="AI788" i="3250"/>
  <c r="AJ788" i="3250"/>
  <c r="AL788" i="3250"/>
  <c r="AF789" i="3250"/>
  <c r="AG789" i="3250"/>
  <c r="AH789" i="3250"/>
  <c r="AI789" i="3250"/>
  <c r="AJ789" i="3250"/>
  <c r="AL789" i="3250"/>
  <c r="AF790" i="3250"/>
  <c r="AG790" i="3250"/>
  <c r="AH790" i="3250"/>
  <c r="AI790" i="3250"/>
  <c r="AJ790" i="3250"/>
  <c r="AL790" i="3250"/>
  <c r="AF791" i="3250"/>
  <c r="AG791" i="3250"/>
  <c r="AH791" i="3250"/>
  <c r="AI791" i="3250"/>
  <c r="AJ791" i="3250"/>
  <c r="AL791" i="3250"/>
  <c r="AF792" i="3250"/>
  <c r="AG792" i="3250"/>
  <c r="AH792" i="3250"/>
  <c r="AI792" i="3250"/>
  <c r="AJ792" i="3250"/>
  <c r="AL792" i="3250"/>
  <c r="AF793" i="3250"/>
  <c r="AG793" i="3250"/>
  <c r="AH793" i="3250"/>
  <c r="AI793" i="3250"/>
  <c r="AJ793" i="3250"/>
  <c r="AL793" i="3250"/>
  <c r="AF794" i="3250"/>
  <c r="AG794" i="3250"/>
  <c r="AH794" i="3250"/>
  <c r="AI794" i="3250"/>
  <c r="AJ794" i="3250"/>
  <c r="AL794" i="3250"/>
  <c r="AF795" i="3250"/>
  <c r="AG795" i="3250"/>
  <c r="AH795" i="3250"/>
  <c r="AI795" i="3250"/>
  <c r="AJ795" i="3250"/>
  <c r="AL795" i="3250"/>
  <c r="AF796" i="3250"/>
  <c r="AG796" i="3250"/>
  <c r="AH796" i="3250"/>
  <c r="AI796" i="3250"/>
  <c r="AJ796" i="3250"/>
  <c r="AL796" i="3250"/>
  <c r="AF797" i="3250"/>
  <c r="AG797" i="3250"/>
  <c r="AH797" i="3250"/>
  <c r="AI797" i="3250"/>
  <c r="AJ797" i="3250"/>
  <c r="AL797" i="3250"/>
  <c r="AF798" i="3250"/>
  <c r="AG798" i="3250"/>
  <c r="AH798" i="3250"/>
  <c r="AI798" i="3250"/>
  <c r="AJ798" i="3250"/>
  <c r="AL798" i="3250"/>
  <c r="AF799" i="3250"/>
  <c r="AG799" i="3250"/>
  <c r="AH799" i="3250"/>
  <c r="AI799" i="3250"/>
  <c r="AJ799" i="3250"/>
  <c r="AL799" i="3250"/>
  <c r="AF800" i="3250"/>
  <c r="AG800" i="3250"/>
  <c r="AH800" i="3250"/>
  <c r="AI800" i="3250"/>
  <c r="AJ800" i="3250"/>
  <c r="AL800" i="3250"/>
  <c r="AF801" i="3250"/>
  <c r="AG801" i="3250"/>
  <c r="AH801" i="3250"/>
  <c r="AI801" i="3250"/>
  <c r="AJ801" i="3250"/>
  <c r="AL801" i="3250"/>
  <c r="AF802" i="3250"/>
  <c r="AG802" i="3250"/>
  <c r="AH802" i="3250"/>
  <c r="AI802" i="3250"/>
  <c r="AJ802" i="3250"/>
  <c r="AL802" i="3250"/>
  <c r="AF803" i="3250"/>
  <c r="AG803" i="3250"/>
  <c r="AH803" i="3250"/>
  <c r="AI803" i="3250"/>
  <c r="AJ803" i="3250"/>
  <c r="AL803" i="3250"/>
  <c r="AF804" i="3250"/>
  <c r="AG804" i="3250"/>
  <c r="AH804" i="3250"/>
  <c r="AI804" i="3250"/>
  <c r="AJ804" i="3250"/>
  <c r="AL804" i="3250"/>
  <c r="AF805" i="3250"/>
  <c r="AG805" i="3250"/>
  <c r="AH805" i="3250"/>
  <c r="AI805" i="3250"/>
  <c r="AJ805" i="3250"/>
  <c r="AL805" i="3250"/>
  <c r="AF806" i="3250"/>
  <c r="AG806" i="3250"/>
  <c r="AH806" i="3250"/>
  <c r="AI806" i="3250"/>
  <c r="AJ806" i="3250"/>
  <c r="AL806" i="3250"/>
  <c r="AF807" i="3250"/>
  <c r="AG807" i="3250"/>
  <c r="AH807" i="3250"/>
  <c r="AI807" i="3250"/>
  <c r="AJ807" i="3250"/>
  <c r="AL807" i="3250"/>
  <c r="AF808" i="3250"/>
  <c r="AG808" i="3250"/>
  <c r="AH808" i="3250"/>
  <c r="AI808" i="3250"/>
  <c r="AJ808" i="3250"/>
  <c r="AL808" i="3250"/>
  <c r="AF809" i="3250"/>
  <c r="AG809" i="3250"/>
  <c r="AH809" i="3250"/>
  <c r="AI809" i="3250"/>
  <c r="AJ809" i="3250"/>
  <c r="AL809" i="3250"/>
  <c r="AF810" i="3250"/>
  <c r="AG810" i="3250"/>
  <c r="AH810" i="3250"/>
  <c r="AI810" i="3250"/>
  <c r="AJ810" i="3250"/>
  <c r="AL810" i="3250"/>
  <c r="AF811" i="3250"/>
  <c r="AG811" i="3250"/>
  <c r="AH811" i="3250"/>
  <c r="AI811" i="3250"/>
  <c r="AJ811" i="3250"/>
  <c r="AL811" i="3250"/>
  <c r="AF812" i="3250"/>
  <c r="AG812" i="3250"/>
  <c r="AH812" i="3250"/>
  <c r="AI812" i="3250"/>
  <c r="AJ812" i="3250"/>
  <c r="AL812" i="3250"/>
  <c r="AF813" i="3250"/>
  <c r="AG813" i="3250"/>
  <c r="AH813" i="3250"/>
  <c r="AI813" i="3250"/>
  <c r="AJ813" i="3250"/>
  <c r="AL813" i="3250"/>
  <c r="AF814" i="3250"/>
  <c r="AG814" i="3250"/>
  <c r="AH814" i="3250"/>
  <c r="AI814" i="3250"/>
  <c r="AJ814" i="3250"/>
  <c r="AL814" i="3250"/>
  <c r="AF815" i="3250"/>
  <c r="AG815" i="3250"/>
  <c r="AH815" i="3250"/>
  <c r="AI815" i="3250"/>
  <c r="AJ815" i="3250"/>
  <c r="AL815" i="3250"/>
  <c r="AF816" i="3250"/>
  <c r="AG816" i="3250"/>
  <c r="AH816" i="3250"/>
  <c r="AI816" i="3250"/>
  <c r="AJ816" i="3250"/>
  <c r="AL816" i="3250"/>
  <c r="AF817" i="3250"/>
  <c r="AG817" i="3250"/>
  <c r="AH817" i="3250"/>
  <c r="AI817" i="3250"/>
  <c r="AJ817" i="3250"/>
  <c r="AL817" i="3250"/>
  <c r="AF818" i="3250"/>
  <c r="AG818" i="3250"/>
  <c r="AH818" i="3250"/>
  <c r="AI818" i="3250"/>
  <c r="AJ818" i="3250"/>
  <c r="AL818" i="3250"/>
  <c r="AF819" i="3250"/>
  <c r="AG819" i="3250"/>
  <c r="AH819" i="3250"/>
  <c r="AI819" i="3250"/>
  <c r="AJ819" i="3250"/>
  <c r="AL819" i="3250"/>
  <c r="AF820" i="3250"/>
  <c r="AG820" i="3250"/>
  <c r="AH820" i="3250"/>
  <c r="AI820" i="3250"/>
  <c r="AJ820" i="3250"/>
  <c r="AL820" i="3250"/>
  <c r="AF821" i="3250"/>
  <c r="AG821" i="3250"/>
  <c r="AH821" i="3250"/>
  <c r="AI821" i="3250"/>
  <c r="AJ821" i="3250"/>
  <c r="AL821" i="3250"/>
  <c r="AF822" i="3250"/>
  <c r="AG822" i="3250"/>
  <c r="AH822" i="3250"/>
  <c r="AI822" i="3250"/>
  <c r="AJ822" i="3250"/>
  <c r="AL822" i="3250"/>
  <c r="AF823" i="3250"/>
  <c r="AG823" i="3250"/>
  <c r="AH823" i="3250"/>
  <c r="AI823" i="3250"/>
  <c r="AJ823" i="3250"/>
  <c r="AL823" i="3250"/>
  <c r="AF824" i="3250"/>
  <c r="AG824" i="3250"/>
  <c r="AH824" i="3250"/>
  <c r="AI824" i="3250"/>
  <c r="AJ824" i="3250"/>
  <c r="AL824" i="3250"/>
  <c r="AF825" i="3250"/>
  <c r="AG825" i="3250"/>
  <c r="AH825" i="3250"/>
  <c r="AI825" i="3250"/>
  <c r="AJ825" i="3250"/>
  <c r="AL825" i="3250"/>
  <c r="AF826" i="3250"/>
  <c r="AG826" i="3250"/>
  <c r="AH826" i="3250"/>
  <c r="AI826" i="3250"/>
  <c r="AJ826" i="3250"/>
  <c r="AL826" i="3250"/>
  <c r="AF827" i="3250"/>
  <c r="AG827" i="3250"/>
  <c r="AH827" i="3250"/>
  <c r="AI827" i="3250"/>
  <c r="AJ827" i="3250"/>
  <c r="AL827" i="3250"/>
  <c r="AF828" i="3250"/>
  <c r="AG828" i="3250"/>
  <c r="AH828" i="3250"/>
  <c r="AI828" i="3250"/>
  <c r="AJ828" i="3250"/>
  <c r="AL828" i="3250"/>
  <c r="AF829" i="3250"/>
  <c r="AG829" i="3250"/>
  <c r="AH829" i="3250"/>
  <c r="AI829" i="3250"/>
  <c r="AJ829" i="3250"/>
  <c r="AL829" i="3250"/>
  <c r="AF830" i="3250"/>
  <c r="AG830" i="3250"/>
  <c r="AH830" i="3250"/>
  <c r="AI830" i="3250"/>
  <c r="AJ830" i="3250"/>
  <c r="AL830" i="3250"/>
  <c r="AF831" i="3250"/>
  <c r="AG831" i="3250"/>
  <c r="AH831" i="3250"/>
  <c r="AI831" i="3250"/>
  <c r="AJ831" i="3250"/>
  <c r="AL831" i="3250"/>
  <c r="AF832" i="3250"/>
  <c r="AG832" i="3250"/>
  <c r="AH832" i="3250"/>
  <c r="AI832" i="3250"/>
  <c r="AJ832" i="3250"/>
  <c r="AL832" i="3250"/>
  <c r="AF833" i="3250"/>
  <c r="AG833" i="3250"/>
  <c r="AH833" i="3250"/>
  <c r="AI833" i="3250"/>
  <c r="AJ833" i="3250"/>
  <c r="AL833" i="3250"/>
  <c r="AF834" i="3250"/>
  <c r="AG834" i="3250"/>
  <c r="AH834" i="3250"/>
  <c r="AI834" i="3250"/>
  <c r="AJ834" i="3250"/>
  <c r="AL834" i="3250"/>
  <c r="AF835" i="3250"/>
  <c r="AG835" i="3250"/>
  <c r="AH835" i="3250"/>
  <c r="AI835" i="3250"/>
  <c r="AJ835" i="3250"/>
  <c r="AL835" i="3250"/>
  <c r="AF836" i="3250"/>
  <c r="AG836" i="3250"/>
  <c r="AH836" i="3250"/>
  <c r="AI836" i="3250"/>
  <c r="AJ836" i="3250"/>
  <c r="AL836" i="3250"/>
  <c r="AF837" i="3250"/>
  <c r="AG837" i="3250"/>
  <c r="AH837" i="3250"/>
  <c r="AI837" i="3250"/>
  <c r="AJ837" i="3250"/>
  <c r="AL837" i="3250"/>
  <c r="AF838" i="3250"/>
  <c r="AG838" i="3250"/>
  <c r="AH838" i="3250"/>
  <c r="AI838" i="3250"/>
  <c r="AJ838" i="3250"/>
  <c r="AL838" i="3250"/>
  <c r="AF839" i="3250"/>
  <c r="AG839" i="3250"/>
  <c r="AH839" i="3250"/>
  <c r="AI839" i="3250"/>
  <c r="AJ839" i="3250"/>
  <c r="AL839" i="3250"/>
  <c r="AF840" i="3250"/>
  <c r="AG840" i="3250"/>
  <c r="AH840" i="3250"/>
  <c r="AI840" i="3250"/>
  <c r="AJ840" i="3250"/>
  <c r="AL840" i="3250"/>
  <c r="AF841" i="3250"/>
  <c r="AG841" i="3250"/>
  <c r="AH841" i="3250"/>
  <c r="AI841" i="3250"/>
  <c r="AJ841" i="3250"/>
  <c r="AL841" i="3250"/>
  <c r="AF842" i="3250"/>
  <c r="AG842" i="3250"/>
  <c r="AH842" i="3250"/>
  <c r="AI842" i="3250"/>
  <c r="AJ842" i="3250"/>
  <c r="AL842" i="3250"/>
  <c r="AF843" i="3250"/>
  <c r="AG843" i="3250"/>
  <c r="AH843" i="3250"/>
  <c r="AI843" i="3250"/>
  <c r="AJ843" i="3250"/>
  <c r="AL843" i="3250"/>
  <c r="AF844" i="3250"/>
  <c r="AG844" i="3250"/>
  <c r="AH844" i="3250"/>
  <c r="AI844" i="3250"/>
  <c r="AJ844" i="3250"/>
  <c r="AL844" i="3250"/>
  <c r="AF845" i="3250"/>
  <c r="AG845" i="3250"/>
  <c r="AH845" i="3250"/>
  <c r="AI845" i="3250"/>
  <c r="AJ845" i="3250"/>
  <c r="AL845" i="3250"/>
  <c r="AF846" i="3250"/>
  <c r="AG846" i="3250"/>
  <c r="AH846" i="3250"/>
  <c r="AI846" i="3250"/>
  <c r="AJ846" i="3250"/>
  <c r="AL846" i="3250"/>
  <c r="AF847" i="3250"/>
  <c r="AG847" i="3250"/>
  <c r="AH847" i="3250"/>
  <c r="AI847" i="3250"/>
  <c r="AJ847" i="3250"/>
  <c r="AL847" i="3250"/>
  <c r="AF848" i="3250"/>
  <c r="AG848" i="3250"/>
  <c r="AH848" i="3250"/>
  <c r="AI848" i="3250"/>
  <c r="AJ848" i="3250"/>
  <c r="AL848" i="3250"/>
  <c r="AF849" i="3250"/>
  <c r="AG849" i="3250"/>
  <c r="AH849" i="3250"/>
  <c r="AI849" i="3250"/>
  <c r="AJ849" i="3250"/>
  <c r="AL849" i="3250"/>
  <c r="AF850" i="3250"/>
  <c r="AG850" i="3250"/>
  <c r="AH850" i="3250"/>
  <c r="AI850" i="3250"/>
  <c r="AJ850" i="3250"/>
  <c r="AL850" i="3250"/>
  <c r="AF851" i="3250"/>
  <c r="AG851" i="3250"/>
  <c r="AH851" i="3250"/>
  <c r="AI851" i="3250"/>
  <c r="AJ851" i="3250"/>
  <c r="AL851" i="3250"/>
  <c r="AF852" i="3250"/>
  <c r="AG852" i="3250"/>
  <c r="AH852" i="3250"/>
  <c r="AI852" i="3250"/>
  <c r="AJ852" i="3250"/>
  <c r="AL852" i="3250"/>
  <c r="AF853" i="3250"/>
  <c r="AG853" i="3250"/>
  <c r="AH853" i="3250"/>
  <c r="AI853" i="3250"/>
  <c r="AJ853" i="3250"/>
  <c r="AL853" i="3250"/>
  <c r="AF854" i="3250"/>
  <c r="AG854" i="3250"/>
  <c r="AH854" i="3250"/>
  <c r="AI854" i="3250"/>
  <c r="AJ854" i="3250"/>
  <c r="AL854" i="3250"/>
  <c r="AF855" i="3250"/>
  <c r="AG855" i="3250"/>
  <c r="AH855" i="3250"/>
  <c r="AI855" i="3250"/>
  <c r="AJ855" i="3250"/>
  <c r="AL855" i="3250"/>
  <c r="AF856" i="3250"/>
  <c r="AG856" i="3250"/>
  <c r="AH856" i="3250"/>
  <c r="AI856" i="3250"/>
  <c r="AJ856" i="3250"/>
  <c r="AL856" i="3250"/>
  <c r="AF857" i="3250"/>
  <c r="AG857" i="3250"/>
  <c r="AH857" i="3250"/>
  <c r="AI857" i="3250"/>
  <c r="AJ857" i="3250"/>
  <c r="AL857" i="3250"/>
  <c r="AF858" i="3250"/>
  <c r="AG858" i="3250"/>
  <c r="AH858" i="3250"/>
  <c r="AI858" i="3250"/>
  <c r="AJ858" i="3250"/>
  <c r="AL858" i="3250"/>
  <c r="AF859" i="3250"/>
  <c r="AG859" i="3250"/>
  <c r="AH859" i="3250"/>
  <c r="AI859" i="3250"/>
  <c r="AJ859" i="3250"/>
  <c r="AL859" i="3250"/>
  <c r="AF860" i="3250"/>
  <c r="AG860" i="3250"/>
  <c r="AH860" i="3250"/>
  <c r="AI860" i="3250"/>
  <c r="AJ860" i="3250"/>
  <c r="AL860" i="3250"/>
  <c r="AF861" i="3250"/>
  <c r="AG861" i="3250"/>
  <c r="AH861" i="3250"/>
  <c r="AI861" i="3250"/>
  <c r="AJ861" i="3250"/>
  <c r="AL861" i="3250"/>
  <c r="AF862" i="3250"/>
  <c r="AG862" i="3250"/>
  <c r="AH862" i="3250"/>
  <c r="AI862" i="3250"/>
  <c r="AJ862" i="3250"/>
  <c r="AL862" i="3250"/>
  <c r="AF863" i="3250"/>
  <c r="AG863" i="3250"/>
  <c r="AH863" i="3250"/>
  <c r="AI863" i="3250"/>
  <c r="AJ863" i="3250"/>
  <c r="AL863" i="3250"/>
  <c r="AF864" i="3250"/>
  <c r="AG864" i="3250"/>
  <c r="AH864" i="3250"/>
  <c r="AI864" i="3250"/>
  <c r="AJ864" i="3250"/>
  <c r="AL864" i="3250"/>
  <c r="AF865" i="3250"/>
  <c r="AG865" i="3250"/>
  <c r="AH865" i="3250"/>
  <c r="AI865" i="3250"/>
  <c r="AJ865" i="3250"/>
  <c r="AL865" i="3250"/>
  <c r="AF866" i="3250"/>
  <c r="AG866" i="3250"/>
  <c r="AH866" i="3250"/>
  <c r="AI866" i="3250"/>
  <c r="AJ866" i="3250"/>
  <c r="AL866" i="3250"/>
  <c r="AF867" i="3250"/>
  <c r="AG867" i="3250"/>
  <c r="AH867" i="3250"/>
  <c r="AI867" i="3250"/>
  <c r="AJ867" i="3250"/>
  <c r="AL867" i="3250"/>
  <c r="AF868" i="3250"/>
  <c r="AG868" i="3250"/>
  <c r="AH868" i="3250"/>
  <c r="AI868" i="3250"/>
  <c r="AJ868" i="3250"/>
  <c r="AL868" i="3250"/>
  <c r="AF869" i="3250"/>
  <c r="AG869" i="3250"/>
  <c r="AH869" i="3250"/>
  <c r="AI869" i="3250"/>
  <c r="AJ869" i="3250"/>
  <c r="AL869" i="3250"/>
  <c r="AF870" i="3250"/>
  <c r="AG870" i="3250"/>
  <c r="AH870" i="3250"/>
  <c r="AI870" i="3250"/>
  <c r="AJ870" i="3250"/>
  <c r="AL870" i="3250"/>
  <c r="AF871" i="3250"/>
  <c r="AG871" i="3250"/>
  <c r="AH871" i="3250"/>
  <c r="AI871" i="3250"/>
  <c r="AJ871" i="3250"/>
  <c r="AL871" i="3250"/>
  <c r="AF872" i="3250"/>
  <c r="AG872" i="3250"/>
  <c r="AH872" i="3250"/>
  <c r="AI872" i="3250"/>
  <c r="AJ872" i="3250"/>
  <c r="AL872" i="3250"/>
  <c r="AF873" i="3250"/>
  <c r="AG873" i="3250"/>
  <c r="AH873" i="3250"/>
  <c r="AI873" i="3250"/>
  <c r="AJ873" i="3250"/>
  <c r="AL873" i="3250"/>
  <c r="AF874" i="3250"/>
  <c r="AG874" i="3250"/>
  <c r="AH874" i="3250"/>
  <c r="AI874" i="3250"/>
  <c r="AJ874" i="3250"/>
  <c r="AL874" i="3250"/>
  <c r="AF875" i="3250"/>
  <c r="AG875" i="3250"/>
  <c r="AH875" i="3250"/>
  <c r="AI875" i="3250"/>
  <c r="AJ875" i="3250"/>
  <c r="AL875" i="3250"/>
  <c r="AF876" i="3250"/>
  <c r="AG876" i="3250"/>
  <c r="AH876" i="3250"/>
  <c r="AI876" i="3250"/>
  <c r="AJ876" i="3250"/>
  <c r="AL876" i="3250"/>
  <c r="AF877" i="3250"/>
  <c r="AG877" i="3250"/>
  <c r="AH877" i="3250"/>
  <c r="AI877" i="3250"/>
  <c r="AJ877" i="3250"/>
  <c r="AL877" i="3250"/>
  <c r="AF878" i="3250"/>
  <c r="AG878" i="3250"/>
  <c r="AH878" i="3250"/>
  <c r="AI878" i="3250"/>
  <c r="AJ878" i="3250"/>
  <c r="AL878" i="3250"/>
  <c r="AF879" i="3250"/>
  <c r="AG879" i="3250"/>
  <c r="AH879" i="3250"/>
  <c r="AI879" i="3250"/>
  <c r="AJ879" i="3250"/>
  <c r="AL879" i="3250"/>
  <c r="AF880" i="3250"/>
  <c r="AG880" i="3250"/>
  <c r="AH880" i="3250"/>
  <c r="AI880" i="3250"/>
  <c r="AJ880" i="3250"/>
  <c r="AL880" i="3250"/>
  <c r="AF881" i="3250"/>
  <c r="AG881" i="3250"/>
  <c r="AH881" i="3250"/>
  <c r="AI881" i="3250"/>
  <c r="AJ881" i="3250"/>
  <c r="AL881" i="3250"/>
  <c r="AF882" i="3250"/>
  <c r="AG882" i="3250"/>
  <c r="AH882" i="3250"/>
  <c r="AI882" i="3250"/>
  <c r="AJ882" i="3250"/>
  <c r="AL882" i="3250"/>
  <c r="AF883" i="3250"/>
  <c r="AG883" i="3250"/>
  <c r="AH883" i="3250"/>
  <c r="AI883" i="3250"/>
  <c r="AJ883" i="3250"/>
  <c r="AL883" i="3250"/>
  <c r="AF884" i="3250"/>
  <c r="AG884" i="3250"/>
  <c r="AH884" i="3250"/>
  <c r="AI884" i="3250"/>
  <c r="AJ884" i="3250"/>
  <c r="AL884" i="3250"/>
  <c r="AF885" i="3250"/>
  <c r="AG885" i="3250"/>
  <c r="AH885" i="3250"/>
  <c r="AI885" i="3250"/>
  <c r="AJ885" i="3250"/>
  <c r="AL885" i="3250"/>
  <c r="AF886" i="3250"/>
  <c r="AG886" i="3250"/>
  <c r="AH886" i="3250"/>
  <c r="AI886" i="3250"/>
  <c r="AJ886" i="3250"/>
  <c r="AL886" i="3250"/>
  <c r="AF887" i="3250"/>
  <c r="AG887" i="3250"/>
  <c r="AH887" i="3250"/>
  <c r="AI887" i="3250"/>
  <c r="AJ887" i="3250"/>
  <c r="AL887" i="3250"/>
  <c r="AF888" i="3250"/>
  <c r="AG888" i="3250"/>
  <c r="AH888" i="3250"/>
  <c r="AI888" i="3250"/>
  <c r="AJ888" i="3250"/>
  <c r="AL888" i="3250"/>
  <c r="AF889" i="3250"/>
  <c r="AG889" i="3250"/>
  <c r="AH889" i="3250"/>
  <c r="AI889" i="3250"/>
  <c r="AJ889" i="3250"/>
  <c r="AL889" i="3250"/>
  <c r="AF890" i="3250"/>
  <c r="AG890" i="3250"/>
  <c r="AH890" i="3250"/>
  <c r="AI890" i="3250"/>
  <c r="AJ890" i="3250"/>
  <c r="AL890" i="3250"/>
  <c r="AF891" i="3250"/>
  <c r="AG891" i="3250"/>
  <c r="AH891" i="3250"/>
  <c r="AI891" i="3250"/>
  <c r="AJ891" i="3250"/>
  <c r="AL891" i="3250"/>
  <c r="AF892" i="3250"/>
  <c r="AG892" i="3250"/>
  <c r="AH892" i="3250"/>
  <c r="AI892" i="3250"/>
  <c r="AJ892" i="3250"/>
  <c r="AL892" i="3250"/>
  <c r="AF893" i="3250"/>
  <c r="AG893" i="3250"/>
  <c r="AH893" i="3250"/>
  <c r="AI893" i="3250"/>
  <c r="AJ893" i="3250"/>
  <c r="AL893" i="3250"/>
  <c r="AF894" i="3250"/>
  <c r="AG894" i="3250"/>
  <c r="AH894" i="3250"/>
  <c r="AI894" i="3250"/>
  <c r="AJ894" i="3250"/>
  <c r="AL894" i="3250"/>
  <c r="AF895" i="3250"/>
  <c r="AG895" i="3250"/>
  <c r="AH895" i="3250"/>
  <c r="AI895" i="3250"/>
  <c r="AJ895" i="3250"/>
  <c r="AL895" i="3250"/>
  <c r="AF896" i="3250"/>
  <c r="AG896" i="3250"/>
  <c r="AH896" i="3250"/>
  <c r="AI896" i="3250"/>
  <c r="AJ896" i="3250"/>
  <c r="AL896" i="3250"/>
  <c r="AF897" i="3250"/>
  <c r="AG897" i="3250"/>
  <c r="AH897" i="3250"/>
  <c r="AI897" i="3250"/>
  <c r="AJ897" i="3250"/>
  <c r="AL897" i="3250"/>
  <c r="AF898" i="3250"/>
  <c r="AG898" i="3250"/>
  <c r="AH898" i="3250"/>
  <c r="AI898" i="3250"/>
  <c r="AJ898" i="3250"/>
  <c r="AL898" i="3250"/>
  <c r="AF899" i="3250"/>
  <c r="AG899" i="3250"/>
  <c r="AH899" i="3250"/>
  <c r="AI899" i="3250"/>
  <c r="AJ899" i="3250"/>
  <c r="AL899" i="3250"/>
  <c r="AF900" i="3250"/>
  <c r="AG900" i="3250"/>
  <c r="AH900" i="3250"/>
  <c r="AI900" i="3250"/>
  <c r="AJ900" i="3250"/>
  <c r="AL900" i="3250"/>
  <c r="AF901" i="3250"/>
  <c r="AG901" i="3250"/>
  <c r="AH901" i="3250"/>
  <c r="AI901" i="3250"/>
  <c r="AJ901" i="3250"/>
  <c r="AL901" i="3250"/>
  <c r="AF902" i="3250"/>
  <c r="AG902" i="3250"/>
  <c r="AH902" i="3250"/>
  <c r="AI902" i="3250"/>
  <c r="AJ902" i="3250"/>
  <c r="AL902" i="3250"/>
  <c r="AF903" i="3250"/>
  <c r="AG903" i="3250"/>
  <c r="AH903" i="3250"/>
  <c r="AI903" i="3250"/>
  <c r="AJ903" i="3250"/>
  <c r="AL903" i="3250"/>
  <c r="AF904" i="3250"/>
  <c r="AG904" i="3250"/>
  <c r="AH904" i="3250"/>
  <c r="AI904" i="3250"/>
  <c r="AJ904" i="3250"/>
  <c r="AL904" i="3250"/>
  <c r="AF905" i="3250"/>
  <c r="AG905" i="3250"/>
  <c r="AH905" i="3250"/>
  <c r="AI905" i="3250"/>
  <c r="AJ905" i="3250"/>
  <c r="AL905" i="3250"/>
  <c r="AF906" i="3250"/>
  <c r="AG906" i="3250"/>
  <c r="AH906" i="3250"/>
  <c r="AI906" i="3250"/>
  <c r="AJ906" i="3250"/>
  <c r="AL906" i="3250"/>
  <c r="AF907" i="3250"/>
  <c r="AG907" i="3250"/>
  <c r="AH907" i="3250"/>
  <c r="AI907" i="3250"/>
  <c r="AJ907" i="3250"/>
  <c r="AL907" i="3250"/>
  <c r="AF908" i="3250"/>
  <c r="AG908" i="3250"/>
  <c r="AH908" i="3250"/>
  <c r="AI908" i="3250"/>
  <c r="AJ908" i="3250"/>
  <c r="AL908" i="3250"/>
  <c r="AF909" i="3250"/>
  <c r="AG909" i="3250"/>
  <c r="AH909" i="3250"/>
  <c r="AI909" i="3250"/>
  <c r="AJ909" i="3250"/>
  <c r="AL909" i="3250"/>
  <c r="AF910" i="3250"/>
  <c r="AG910" i="3250"/>
  <c r="AH910" i="3250"/>
  <c r="AI910" i="3250"/>
  <c r="AJ910" i="3250"/>
  <c r="AL910" i="3250"/>
  <c r="AF911" i="3250"/>
  <c r="AG911" i="3250"/>
  <c r="AH911" i="3250"/>
  <c r="AI911" i="3250"/>
  <c r="AJ911" i="3250"/>
  <c r="AL911" i="3250"/>
  <c r="AF912" i="3250"/>
  <c r="AG912" i="3250"/>
  <c r="AH912" i="3250"/>
  <c r="AI912" i="3250"/>
  <c r="AJ912" i="3250"/>
  <c r="AL912" i="3250"/>
  <c r="AF913" i="3250"/>
  <c r="AG913" i="3250"/>
  <c r="AH913" i="3250"/>
  <c r="AI913" i="3250"/>
  <c r="AJ913" i="3250"/>
  <c r="AL913" i="3250"/>
  <c r="AF914" i="3250"/>
  <c r="AG914" i="3250"/>
  <c r="AH914" i="3250"/>
  <c r="AI914" i="3250"/>
  <c r="AJ914" i="3250"/>
  <c r="AL914" i="3250"/>
  <c r="AF915" i="3250"/>
  <c r="AG915" i="3250"/>
  <c r="AH915" i="3250"/>
  <c r="AI915" i="3250"/>
  <c r="AJ915" i="3250"/>
  <c r="AL915" i="3250"/>
  <c r="AF916" i="3250"/>
  <c r="AG916" i="3250"/>
  <c r="AH916" i="3250"/>
  <c r="AI916" i="3250"/>
  <c r="AJ916" i="3250"/>
  <c r="AL916" i="3250"/>
  <c r="AF917" i="3250"/>
  <c r="AG917" i="3250"/>
  <c r="AH917" i="3250"/>
  <c r="AI917" i="3250"/>
  <c r="AJ917" i="3250"/>
  <c r="AL917" i="3250"/>
  <c r="AF918" i="3250"/>
  <c r="AG918" i="3250"/>
  <c r="AH918" i="3250"/>
  <c r="AI918" i="3250"/>
  <c r="AJ918" i="3250"/>
  <c r="AL918" i="3250"/>
  <c r="AF919" i="3250"/>
  <c r="AG919" i="3250"/>
  <c r="AH919" i="3250"/>
  <c r="AI919" i="3250"/>
  <c r="AJ919" i="3250"/>
  <c r="AL919" i="3250"/>
  <c r="AF920" i="3250"/>
  <c r="AG920" i="3250"/>
  <c r="AH920" i="3250"/>
  <c r="AI920" i="3250"/>
  <c r="AJ920" i="3250"/>
  <c r="AL920" i="3250"/>
  <c r="AF921" i="3250"/>
  <c r="AG921" i="3250"/>
  <c r="AH921" i="3250"/>
  <c r="AI921" i="3250"/>
  <c r="AJ921" i="3250"/>
  <c r="AL921" i="3250"/>
  <c r="AF922" i="3250"/>
  <c r="AG922" i="3250"/>
  <c r="AH922" i="3250"/>
  <c r="AI922" i="3250"/>
  <c r="AJ922" i="3250"/>
  <c r="AL922" i="3250"/>
  <c r="AF923" i="3250"/>
  <c r="AG923" i="3250"/>
  <c r="AH923" i="3250"/>
  <c r="AI923" i="3250"/>
  <c r="AJ923" i="3250"/>
  <c r="AL923" i="3250"/>
  <c r="AF924" i="3250"/>
  <c r="AG924" i="3250"/>
  <c r="AH924" i="3250"/>
  <c r="AI924" i="3250"/>
  <c r="AJ924" i="3250"/>
  <c r="AL924" i="3250"/>
  <c r="AF925" i="3250"/>
  <c r="AG925" i="3250"/>
  <c r="AH925" i="3250"/>
  <c r="AI925" i="3250"/>
  <c r="AJ925" i="3250"/>
  <c r="AL925" i="3250"/>
  <c r="AF926" i="3250"/>
  <c r="AG926" i="3250"/>
  <c r="AH926" i="3250"/>
  <c r="AI926" i="3250"/>
  <c r="AJ926" i="3250"/>
  <c r="AL926" i="3250"/>
  <c r="AF927" i="3250"/>
  <c r="AG927" i="3250"/>
  <c r="AH927" i="3250"/>
  <c r="AI927" i="3250"/>
  <c r="AJ927" i="3250"/>
  <c r="AL927" i="3250"/>
  <c r="AF928" i="3250"/>
  <c r="AG928" i="3250"/>
  <c r="AH928" i="3250"/>
  <c r="AI928" i="3250"/>
  <c r="AJ928" i="3250"/>
  <c r="AL928" i="3250"/>
  <c r="AF929" i="3250"/>
  <c r="AG929" i="3250"/>
  <c r="AH929" i="3250"/>
  <c r="AI929" i="3250"/>
  <c r="AJ929" i="3250"/>
  <c r="AL929" i="3250"/>
  <c r="AF930" i="3250"/>
  <c r="AG930" i="3250"/>
  <c r="AH930" i="3250"/>
  <c r="AI930" i="3250"/>
  <c r="AJ930" i="3250"/>
  <c r="AL930" i="3250"/>
  <c r="AF931" i="3250"/>
  <c r="AG931" i="3250"/>
  <c r="AH931" i="3250"/>
  <c r="AI931" i="3250"/>
  <c r="AJ931" i="3250"/>
  <c r="AL931" i="3250"/>
  <c r="AF932" i="3250"/>
  <c r="AG932" i="3250"/>
  <c r="AH932" i="3250"/>
  <c r="AI932" i="3250"/>
  <c r="AJ932" i="3250"/>
  <c r="AL932" i="3250"/>
  <c r="AF933" i="3250"/>
  <c r="AG933" i="3250"/>
  <c r="AH933" i="3250"/>
  <c r="AI933" i="3250"/>
  <c r="AJ933" i="3250"/>
  <c r="AL933" i="3250"/>
  <c r="AF934" i="3250"/>
  <c r="AG934" i="3250"/>
  <c r="AH934" i="3250"/>
  <c r="AI934" i="3250"/>
  <c r="AJ934" i="3250"/>
  <c r="AL934" i="3250"/>
  <c r="AF935" i="3250"/>
  <c r="AG935" i="3250"/>
  <c r="AH935" i="3250"/>
  <c r="AI935" i="3250"/>
  <c r="AJ935" i="3250"/>
  <c r="AL935" i="3250"/>
  <c r="AF936" i="3250"/>
  <c r="AG936" i="3250"/>
  <c r="AH936" i="3250"/>
  <c r="AI936" i="3250"/>
  <c r="AJ936" i="3250"/>
  <c r="AL936" i="3250"/>
  <c r="AF937" i="3250"/>
  <c r="AG937" i="3250"/>
  <c r="AH937" i="3250"/>
  <c r="AI937" i="3250"/>
  <c r="AJ937" i="3250"/>
  <c r="AL937" i="3250"/>
  <c r="AF938" i="3250"/>
  <c r="AG938" i="3250"/>
  <c r="AH938" i="3250"/>
  <c r="AI938" i="3250"/>
  <c r="AJ938" i="3250"/>
  <c r="AL938" i="3250"/>
  <c r="AF939" i="3250"/>
  <c r="AG939" i="3250"/>
  <c r="AH939" i="3250"/>
  <c r="AI939" i="3250"/>
  <c r="AJ939" i="3250"/>
  <c r="AL939" i="3250"/>
  <c r="AF940" i="3250"/>
  <c r="AG940" i="3250"/>
  <c r="AH940" i="3250"/>
  <c r="AI940" i="3250"/>
  <c r="AJ940" i="3250"/>
  <c r="AL940" i="3250"/>
  <c r="AF941" i="3250"/>
  <c r="AG941" i="3250"/>
  <c r="AH941" i="3250"/>
  <c r="AI941" i="3250"/>
  <c r="AJ941" i="3250"/>
  <c r="AL941" i="3250"/>
  <c r="AF942" i="3250"/>
  <c r="AG942" i="3250"/>
  <c r="AH942" i="3250"/>
  <c r="AI942" i="3250"/>
  <c r="AJ942" i="3250"/>
  <c r="AL942" i="3250"/>
  <c r="AF943" i="3250"/>
  <c r="AG943" i="3250"/>
  <c r="AH943" i="3250"/>
  <c r="AI943" i="3250"/>
  <c r="AJ943" i="3250"/>
  <c r="AL943" i="3250"/>
  <c r="AF944" i="3250"/>
  <c r="AG944" i="3250"/>
  <c r="AH944" i="3250"/>
  <c r="AI944" i="3250"/>
  <c r="AJ944" i="3250"/>
  <c r="AL944" i="3250"/>
  <c r="AF945" i="3250"/>
  <c r="AG945" i="3250"/>
  <c r="AH945" i="3250"/>
  <c r="AI945" i="3250"/>
  <c r="AJ945" i="3250"/>
  <c r="AL945" i="3250"/>
  <c r="AF946" i="3250"/>
  <c r="AG946" i="3250"/>
  <c r="AH946" i="3250"/>
  <c r="AI946" i="3250"/>
  <c r="AJ946" i="3250"/>
  <c r="AL946" i="3250"/>
  <c r="AF947" i="3250"/>
  <c r="AG947" i="3250"/>
  <c r="AH947" i="3250"/>
  <c r="AI947" i="3250"/>
  <c r="AJ947" i="3250"/>
  <c r="AL947" i="3250"/>
  <c r="AF948" i="3250"/>
  <c r="AG948" i="3250"/>
  <c r="AH948" i="3250"/>
  <c r="AI948" i="3250"/>
  <c r="AJ948" i="3250"/>
  <c r="AL948" i="3250"/>
  <c r="AF949" i="3250"/>
  <c r="AG949" i="3250"/>
  <c r="AH949" i="3250"/>
  <c r="AI949" i="3250"/>
  <c r="AJ949" i="3250"/>
  <c r="AL949" i="3250"/>
  <c r="AF950" i="3250"/>
  <c r="AG950" i="3250"/>
  <c r="AH950" i="3250"/>
  <c r="AI950" i="3250"/>
  <c r="AJ950" i="3250"/>
  <c r="AL950" i="3250"/>
  <c r="AF951" i="3250"/>
  <c r="AG951" i="3250"/>
  <c r="AH951" i="3250"/>
  <c r="AI951" i="3250"/>
  <c r="AJ951" i="3250"/>
  <c r="AL951" i="3250"/>
  <c r="AF952" i="3250"/>
  <c r="AG952" i="3250"/>
  <c r="AH952" i="3250"/>
  <c r="AI952" i="3250"/>
  <c r="AJ952" i="3250"/>
  <c r="AL952" i="3250"/>
  <c r="AF953" i="3250"/>
  <c r="AG953" i="3250"/>
  <c r="AH953" i="3250"/>
  <c r="AI953" i="3250"/>
  <c r="AJ953" i="3250"/>
  <c r="AL953" i="3250"/>
  <c r="AF954" i="3250"/>
  <c r="AG954" i="3250"/>
  <c r="AH954" i="3250"/>
  <c r="AI954" i="3250"/>
  <c r="AJ954" i="3250"/>
  <c r="AL954" i="3250"/>
  <c r="AF955" i="3250"/>
  <c r="AG955" i="3250"/>
  <c r="AH955" i="3250"/>
  <c r="AI955" i="3250"/>
  <c r="AJ955" i="3250"/>
  <c r="AL955" i="3250"/>
  <c r="AF956" i="3250"/>
  <c r="AG956" i="3250"/>
  <c r="AH956" i="3250"/>
  <c r="AI956" i="3250"/>
  <c r="AJ956" i="3250"/>
  <c r="AL956" i="3250"/>
  <c r="AF957" i="3250"/>
  <c r="AG957" i="3250"/>
  <c r="AH957" i="3250"/>
  <c r="AI957" i="3250"/>
  <c r="AJ957" i="3250"/>
  <c r="AL957" i="3250"/>
  <c r="AF958" i="3250"/>
  <c r="AG958" i="3250"/>
  <c r="AH958" i="3250"/>
  <c r="AI958" i="3250"/>
  <c r="AJ958" i="3250"/>
  <c r="AL958" i="3250"/>
  <c r="AF959" i="3250"/>
  <c r="AG959" i="3250"/>
  <c r="AH959" i="3250"/>
  <c r="AI959" i="3250"/>
  <c r="AJ959" i="3250"/>
  <c r="AL959" i="3250"/>
  <c r="AF960" i="3250"/>
  <c r="AG960" i="3250"/>
  <c r="AH960" i="3250"/>
  <c r="AI960" i="3250"/>
  <c r="AJ960" i="3250"/>
  <c r="AL960" i="3250"/>
  <c r="AF961" i="3250"/>
  <c r="AG961" i="3250"/>
  <c r="AH961" i="3250"/>
  <c r="AI961" i="3250"/>
  <c r="AJ961" i="3250"/>
  <c r="AL961" i="3250"/>
  <c r="AF962" i="3250"/>
  <c r="AG962" i="3250"/>
  <c r="AH962" i="3250"/>
  <c r="AI962" i="3250"/>
  <c r="AJ962" i="3250"/>
  <c r="AL962" i="3250"/>
  <c r="AF963" i="3250"/>
  <c r="AG963" i="3250"/>
  <c r="AH963" i="3250"/>
  <c r="AI963" i="3250"/>
  <c r="AJ963" i="3250"/>
  <c r="AL963" i="3250"/>
  <c r="AF964" i="3250"/>
  <c r="AG964" i="3250"/>
  <c r="AH964" i="3250"/>
  <c r="AI964" i="3250"/>
  <c r="AJ964" i="3250"/>
  <c r="AL964" i="3250"/>
  <c r="AF965" i="3250"/>
  <c r="AG965" i="3250"/>
  <c r="AH965" i="3250"/>
  <c r="AI965" i="3250"/>
  <c r="AJ965" i="3250"/>
  <c r="AL965" i="3250"/>
  <c r="AF966" i="3250"/>
  <c r="AG966" i="3250"/>
  <c r="AH966" i="3250"/>
  <c r="AI966" i="3250"/>
  <c r="AJ966" i="3250"/>
  <c r="AL966" i="3250"/>
  <c r="AF967" i="3250"/>
  <c r="AG967" i="3250"/>
  <c r="AH967" i="3250"/>
  <c r="AI967" i="3250"/>
  <c r="AJ967" i="3250"/>
  <c r="AL967" i="3250"/>
  <c r="AF968" i="3250"/>
  <c r="AG968" i="3250"/>
  <c r="AH968" i="3250"/>
  <c r="AI968" i="3250"/>
  <c r="AJ968" i="3250"/>
  <c r="AL968" i="3250"/>
  <c r="AF969" i="3250"/>
  <c r="AG969" i="3250"/>
  <c r="AH969" i="3250"/>
  <c r="AI969" i="3250"/>
  <c r="AJ969" i="3250"/>
  <c r="AL969" i="3250"/>
  <c r="AF970" i="3250"/>
  <c r="AG970" i="3250"/>
  <c r="AH970" i="3250"/>
  <c r="AI970" i="3250"/>
  <c r="AJ970" i="3250"/>
  <c r="AL970" i="3250"/>
  <c r="AF971" i="3250"/>
  <c r="AG971" i="3250"/>
  <c r="AH971" i="3250"/>
  <c r="AI971" i="3250"/>
  <c r="AJ971" i="3250"/>
  <c r="AL971" i="3250"/>
  <c r="AF972" i="3250"/>
  <c r="AG972" i="3250"/>
  <c r="AH972" i="3250"/>
  <c r="AI972" i="3250"/>
  <c r="AJ972" i="3250"/>
  <c r="AL972" i="3250"/>
  <c r="AF973" i="3250"/>
  <c r="AG973" i="3250"/>
  <c r="AH973" i="3250"/>
  <c r="AI973" i="3250"/>
  <c r="AJ973" i="3250"/>
  <c r="AL973" i="3250"/>
  <c r="AF974" i="3250"/>
  <c r="AG974" i="3250"/>
  <c r="AH974" i="3250"/>
  <c r="AI974" i="3250"/>
  <c r="AJ974" i="3250"/>
  <c r="AL974" i="3250"/>
  <c r="AF975" i="3250"/>
  <c r="AG975" i="3250"/>
  <c r="AH975" i="3250"/>
  <c r="AI975" i="3250"/>
  <c r="AJ975" i="3250"/>
  <c r="AL975" i="3250"/>
  <c r="AF976" i="3250"/>
  <c r="AG976" i="3250"/>
  <c r="AH976" i="3250"/>
  <c r="AI976" i="3250"/>
  <c r="AJ976" i="3250"/>
  <c r="AL976" i="3250"/>
  <c r="AF977" i="3250"/>
  <c r="AG977" i="3250"/>
  <c r="AH977" i="3250"/>
  <c r="AI977" i="3250"/>
  <c r="AJ977" i="3250"/>
  <c r="AL977" i="3250"/>
  <c r="AF978" i="3250"/>
  <c r="AG978" i="3250"/>
  <c r="AH978" i="3250"/>
  <c r="AI978" i="3250"/>
  <c r="AJ978" i="3250"/>
  <c r="AL978" i="3250"/>
  <c r="AF979" i="3250"/>
  <c r="AG979" i="3250"/>
  <c r="AH979" i="3250"/>
  <c r="AI979" i="3250"/>
  <c r="AJ979" i="3250"/>
  <c r="AL979" i="3250"/>
  <c r="AF980" i="3250"/>
  <c r="AG980" i="3250"/>
  <c r="AH980" i="3250"/>
  <c r="AI980" i="3250"/>
  <c r="AJ980" i="3250"/>
  <c r="AL980" i="3250"/>
  <c r="AF981" i="3250"/>
  <c r="AG981" i="3250"/>
  <c r="AH981" i="3250"/>
  <c r="AI981" i="3250"/>
  <c r="AJ981" i="3250"/>
  <c r="AL981" i="3250"/>
  <c r="AF982" i="3250"/>
  <c r="AG982" i="3250"/>
  <c r="AH982" i="3250"/>
  <c r="AI982" i="3250"/>
  <c r="AJ982" i="3250"/>
  <c r="AL982" i="3250"/>
  <c r="AF983" i="3250"/>
  <c r="AG983" i="3250"/>
  <c r="AH983" i="3250"/>
  <c r="AI983" i="3250"/>
  <c r="AJ983" i="3250"/>
  <c r="AL983" i="3250"/>
  <c r="AF984" i="3250"/>
  <c r="AG984" i="3250"/>
  <c r="AH984" i="3250"/>
  <c r="AI984" i="3250"/>
  <c r="AJ984" i="3250"/>
  <c r="AL984" i="3250"/>
  <c r="AF985" i="3250"/>
  <c r="AG985" i="3250"/>
  <c r="AH985" i="3250"/>
  <c r="AI985" i="3250"/>
  <c r="AJ985" i="3250"/>
  <c r="AL985" i="3250"/>
  <c r="AF986" i="3250"/>
  <c r="AG986" i="3250"/>
  <c r="AH986" i="3250"/>
  <c r="AI986" i="3250"/>
  <c r="AJ986" i="3250"/>
  <c r="AL986" i="3250"/>
  <c r="AF987" i="3250"/>
  <c r="AG987" i="3250"/>
  <c r="AH987" i="3250"/>
  <c r="AI987" i="3250"/>
  <c r="AJ987" i="3250"/>
  <c r="AL987" i="3250"/>
  <c r="AF988" i="3250"/>
  <c r="AG988" i="3250"/>
  <c r="AH988" i="3250"/>
  <c r="AI988" i="3250"/>
  <c r="AJ988" i="3250"/>
  <c r="AL988" i="3250"/>
  <c r="AF989" i="3250"/>
  <c r="AG989" i="3250"/>
  <c r="AH989" i="3250"/>
  <c r="AI989" i="3250"/>
  <c r="AJ989" i="3250"/>
  <c r="AL989" i="3250"/>
  <c r="AF990" i="3250"/>
  <c r="AG990" i="3250"/>
  <c r="AH990" i="3250"/>
  <c r="AI990" i="3250"/>
  <c r="AJ990" i="3250"/>
  <c r="AL990" i="3250"/>
  <c r="AF991" i="3250"/>
  <c r="AG991" i="3250"/>
  <c r="AH991" i="3250"/>
  <c r="AI991" i="3250"/>
  <c r="AJ991" i="3250"/>
  <c r="AL991" i="3250"/>
  <c r="AF992" i="3250"/>
  <c r="AG992" i="3250"/>
  <c r="AH992" i="3250"/>
  <c r="AI992" i="3250"/>
  <c r="AJ992" i="3250"/>
  <c r="AL992" i="3250"/>
  <c r="AF993" i="3250"/>
  <c r="AG993" i="3250"/>
  <c r="AH993" i="3250"/>
  <c r="AI993" i="3250"/>
  <c r="AJ993" i="3250"/>
  <c r="AL993" i="3250"/>
  <c r="AF994" i="3250"/>
  <c r="AG994" i="3250"/>
  <c r="AH994" i="3250"/>
  <c r="AI994" i="3250"/>
  <c r="AJ994" i="3250"/>
  <c r="AL994" i="3250"/>
  <c r="AF995" i="3250"/>
  <c r="AG995" i="3250"/>
  <c r="AH995" i="3250"/>
  <c r="AI995" i="3250"/>
  <c r="AJ995" i="3250"/>
  <c r="AL995" i="3250"/>
  <c r="AF996" i="3250"/>
  <c r="AG996" i="3250"/>
  <c r="AH996" i="3250"/>
  <c r="AI996" i="3250"/>
  <c r="AJ996" i="3250"/>
  <c r="AL996" i="3250"/>
  <c r="AF997" i="3250"/>
  <c r="AG997" i="3250"/>
  <c r="AH997" i="3250"/>
  <c r="AI997" i="3250"/>
  <c r="AJ997" i="3250"/>
  <c r="AL997" i="3250"/>
  <c r="AF998" i="3250"/>
  <c r="AG998" i="3250"/>
  <c r="AH998" i="3250"/>
  <c r="AI998" i="3250"/>
  <c r="AJ998" i="3250"/>
  <c r="AL998" i="3250"/>
  <c r="AF999" i="3250"/>
  <c r="AG999" i="3250"/>
  <c r="AH999" i="3250"/>
  <c r="AI999" i="3250"/>
  <c r="AJ999" i="3250"/>
  <c r="AL999" i="3250"/>
  <c r="AF1000" i="3250"/>
  <c r="AG1000" i="3250"/>
  <c r="AH1000" i="3250"/>
  <c r="AI1000" i="3250"/>
  <c r="AJ1000" i="3250"/>
  <c r="AL1000" i="3250"/>
  <c r="AF1001" i="3250"/>
  <c r="AG1001" i="3250"/>
  <c r="AH1001" i="3250"/>
  <c r="AI1001" i="3250"/>
  <c r="AJ1001" i="3250"/>
  <c r="AL1001" i="3250"/>
  <c r="AF1002" i="3250"/>
  <c r="AG1002" i="3250"/>
  <c r="AH1002" i="3250"/>
  <c r="AI1002" i="3250"/>
  <c r="AJ1002" i="3250"/>
  <c r="AL1002" i="3250"/>
  <c r="AF1003" i="3250"/>
  <c r="AG1003" i="3250"/>
  <c r="AH1003" i="3250"/>
  <c r="AI1003" i="3250"/>
  <c r="AJ1003" i="3250"/>
  <c r="AL1003" i="3250"/>
  <c r="AF1004" i="3250"/>
  <c r="AG1004" i="3250"/>
  <c r="AH1004" i="3250"/>
  <c r="AI1004" i="3250"/>
  <c r="AJ1004" i="3250"/>
  <c r="AL1004" i="3250"/>
  <c r="AF1005" i="3250"/>
  <c r="AG1005" i="3250"/>
  <c r="AH1005" i="3250"/>
  <c r="AI1005" i="3250"/>
  <c r="AJ1005" i="3250"/>
  <c r="AL1005" i="3250"/>
  <c r="AF1006" i="3250"/>
  <c r="AG1006" i="3250"/>
  <c r="AH1006" i="3250"/>
  <c r="AI1006" i="3250"/>
  <c r="AJ1006" i="3250"/>
  <c r="AL1006" i="3250"/>
  <c r="AF1007" i="3250"/>
  <c r="AG1007" i="3250"/>
  <c r="AH1007" i="3250"/>
  <c r="AI1007" i="3250"/>
  <c r="AJ1007" i="3250"/>
  <c r="AL1007" i="3250"/>
  <c r="AF1008" i="3250"/>
  <c r="AG1008" i="3250"/>
  <c r="AH1008" i="3250"/>
  <c r="AI1008" i="3250"/>
  <c r="AJ1008" i="3250"/>
  <c r="AL1008" i="3250"/>
  <c r="AF1009" i="3250"/>
  <c r="AG1009" i="3250"/>
  <c r="AH1009" i="3250"/>
  <c r="AI1009" i="3250"/>
  <c r="AJ1009" i="3250"/>
  <c r="AL1009" i="3250"/>
  <c r="AF1010" i="3250"/>
  <c r="AG1010" i="3250"/>
  <c r="AH1010" i="3250"/>
  <c r="AI1010" i="3250"/>
  <c r="AJ1010" i="3250"/>
  <c r="AL1010" i="3250"/>
  <c r="AF1011" i="3250"/>
  <c r="AG1011" i="3250"/>
  <c r="AH1011" i="3250"/>
  <c r="AI1011" i="3250"/>
  <c r="AJ1011" i="3250"/>
  <c r="AL1011" i="3250"/>
  <c r="AF1012" i="3250"/>
  <c r="AG1012" i="3250"/>
  <c r="AH1012" i="3250"/>
  <c r="AI1012" i="3250"/>
  <c r="AJ1012" i="3250"/>
  <c r="AL1012" i="3250"/>
  <c r="AF1013" i="3250"/>
  <c r="AG1013" i="3250"/>
  <c r="AH1013" i="3250"/>
  <c r="AI1013" i="3250"/>
  <c r="AJ1013" i="3250"/>
  <c r="AL1013" i="3250"/>
  <c r="AF1014" i="3250"/>
  <c r="AG1014" i="3250"/>
  <c r="AH1014" i="3250"/>
  <c r="AI1014" i="3250"/>
  <c r="AJ1014" i="3250"/>
  <c r="AL1014" i="3250"/>
  <c r="AF1015" i="3250"/>
  <c r="AG1015" i="3250"/>
  <c r="AH1015" i="3250"/>
  <c r="AI1015" i="3250"/>
  <c r="AJ1015" i="3250"/>
  <c r="AL1015" i="3250"/>
  <c r="AF1016" i="3250"/>
  <c r="AG1016" i="3250"/>
  <c r="AH1016" i="3250"/>
  <c r="AI1016" i="3250"/>
  <c r="AJ1016" i="3250"/>
  <c r="AL1016" i="3250"/>
  <c r="AF1017" i="3250"/>
  <c r="AG1017" i="3250"/>
  <c r="AH1017" i="3250"/>
  <c r="AI1017" i="3250"/>
  <c r="AJ1017" i="3250"/>
  <c r="AL1017" i="3250"/>
  <c r="AF1018" i="3250"/>
  <c r="AG1018" i="3250"/>
  <c r="AH1018" i="3250"/>
  <c r="AI1018" i="3250"/>
  <c r="AJ1018" i="3250"/>
  <c r="AL1018" i="3250"/>
  <c r="AF1019" i="3250"/>
  <c r="AG1019" i="3250"/>
  <c r="AH1019" i="3250"/>
  <c r="AI1019" i="3250"/>
  <c r="AJ1019" i="3250"/>
  <c r="AL1019" i="3250"/>
  <c r="AF1020" i="3250"/>
  <c r="AG1020" i="3250"/>
  <c r="AH1020" i="3250"/>
  <c r="AI1020" i="3250"/>
  <c r="AJ1020" i="3250"/>
  <c r="AL1020" i="3250"/>
  <c r="AF1021" i="3250"/>
  <c r="AG1021" i="3250"/>
  <c r="AH1021" i="3250"/>
  <c r="AI1021" i="3250"/>
  <c r="AJ1021" i="3250"/>
  <c r="AL1021" i="3250"/>
  <c r="AF1022" i="3250"/>
  <c r="AG1022" i="3250"/>
  <c r="AH1022" i="3250"/>
  <c r="AI1022" i="3250"/>
  <c r="AJ1022" i="3250"/>
  <c r="AL1022" i="3250"/>
  <c r="AF1023" i="3250"/>
  <c r="AG1023" i="3250"/>
  <c r="AH1023" i="3250"/>
  <c r="AI1023" i="3250"/>
  <c r="AJ1023" i="3250"/>
  <c r="AL1023" i="3250"/>
  <c r="AF1024" i="3250"/>
  <c r="AG1024" i="3250"/>
  <c r="AH1024" i="3250"/>
  <c r="AI1024" i="3250"/>
  <c r="AJ1024" i="3250"/>
  <c r="AL1024" i="3250"/>
  <c r="AF1025" i="3250"/>
  <c r="AG1025" i="3250"/>
  <c r="AH1025" i="3250"/>
  <c r="AI1025" i="3250"/>
  <c r="AJ1025" i="3250"/>
  <c r="AL1025" i="3250"/>
  <c r="AF1026" i="3250"/>
  <c r="AG1026" i="3250"/>
  <c r="AH1026" i="3250"/>
  <c r="AI1026" i="3250"/>
  <c r="AJ1026" i="3250"/>
  <c r="AL1026" i="3250"/>
  <c r="AF1027" i="3250"/>
  <c r="AG1027" i="3250"/>
  <c r="AH1027" i="3250"/>
  <c r="AI1027" i="3250"/>
  <c r="AJ1027" i="3250"/>
  <c r="AL1027" i="3250"/>
  <c r="AF1028" i="3250"/>
  <c r="AG1028" i="3250"/>
  <c r="AH1028" i="3250"/>
  <c r="AI1028" i="3250"/>
  <c r="AJ1028" i="3250"/>
  <c r="AL1028" i="3250"/>
  <c r="AF1029" i="3250"/>
  <c r="AG1029" i="3250"/>
  <c r="AH1029" i="3250"/>
  <c r="AI1029" i="3250"/>
  <c r="AJ1029" i="3250"/>
  <c r="AL1029" i="3250"/>
  <c r="AF1030" i="3250"/>
  <c r="AG1030" i="3250"/>
  <c r="AH1030" i="3250"/>
  <c r="AI1030" i="3250"/>
  <c r="AJ1030" i="3250"/>
  <c r="AL1030" i="3250"/>
  <c r="AF1031" i="3250"/>
  <c r="AG1031" i="3250"/>
  <c r="AH1031" i="3250"/>
  <c r="AI1031" i="3250"/>
  <c r="AJ1031" i="3250"/>
  <c r="AL1031" i="3250"/>
  <c r="AF1032" i="3250"/>
  <c r="AG1032" i="3250"/>
  <c r="AH1032" i="3250"/>
  <c r="AI1032" i="3250"/>
  <c r="AJ1032" i="3250"/>
  <c r="AL1032" i="3250"/>
  <c r="AF1033" i="3250"/>
  <c r="AG1033" i="3250"/>
  <c r="AH1033" i="3250"/>
  <c r="AI1033" i="3250"/>
  <c r="AJ1033" i="3250"/>
  <c r="AL1033" i="3250"/>
  <c r="AF1034" i="3250"/>
  <c r="AG1034" i="3250"/>
  <c r="AH1034" i="3250"/>
  <c r="AI1034" i="3250"/>
  <c r="AJ1034" i="3250"/>
  <c r="AL1034" i="3250"/>
  <c r="AF1035" i="3250"/>
  <c r="AG1035" i="3250"/>
  <c r="AH1035" i="3250"/>
  <c r="AI1035" i="3250"/>
  <c r="AJ1035" i="3250"/>
  <c r="AL1035" i="3250"/>
  <c r="AF1036" i="3250"/>
  <c r="AG1036" i="3250"/>
  <c r="AH1036" i="3250"/>
  <c r="AI1036" i="3250"/>
  <c r="AJ1036" i="3250"/>
  <c r="AL1036" i="3250"/>
  <c r="AF1037" i="3250"/>
  <c r="AG1037" i="3250"/>
  <c r="AH1037" i="3250"/>
  <c r="AI1037" i="3250"/>
  <c r="AJ1037" i="3250"/>
  <c r="AL1037" i="3250"/>
  <c r="AF1038" i="3250"/>
  <c r="AG1038" i="3250"/>
  <c r="AH1038" i="3250"/>
  <c r="AI1038" i="3250"/>
  <c r="AJ1038" i="3250"/>
  <c r="AL1038" i="3250"/>
  <c r="AF1039" i="3250"/>
  <c r="AG1039" i="3250"/>
  <c r="AH1039" i="3250"/>
  <c r="AI1039" i="3250"/>
  <c r="AJ1039" i="3250"/>
  <c r="AL1039" i="3250"/>
  <c r="AF1040" i="3250"/>
  <c r="AG1040" i="3250"/>
  <c r="AH1040" i="3250"/>
  <c r="AI1040" i="3250"/>
  <c r="AJ1040" i="3250"/>
  <c r="AL1040" i="3250"/>
  <c r="AF1041" i="3250"/>
  <c r="AG1041" i="3250"/>
  <c r="AH1041" i="3250"/>
  <c r="AI1041" i="3250"/>
  <c r="AJ1041" i="3250"/>
  <c r="AL1041" i="3250"/>
  <c r="AF1042" i="3250"/>
  <c r="AG1042" i="3250"/>
  <c r="AH1042" i="3250"/>
  <c r="AI1042" i="3250"/>
  <c r="AJ1042" i="3250"/>
  <c r="AL1042" i="3250"/>
  <c r="AF1043" i="3250"/>
  <c r="AG1043" i="3250"/>
  <c r="AH1043" i="3250"/>
  <c r="AI1043" i="3250"/>
  <c r="AJ1043" i="3250"/>
  <c r="AL1043" i="3250"/>
  <c r="AF1044" i="3250"/>
  <c r="AG1044" i="3250"/>
  <c r="AH1044" i="3250"/>
  <c r="AI1044" i="3250"/>
  <c r="AJ1044" i="3250"/>
  <c r="AL1044" i="3250"/>
  <c r="AF1045" i="3250"/>
  <c r="AG1045" i="3250"/>
  <c r="AH1045" i="3250"/>
  <c r="AI1045" i="3250"/>
  <c r="AJ1045" i="3250"/>
  <c r="AL1045" i="3250"/>
  <c r="AF1046" i="3250"/>
  <c r="AG1046" i="3250"/>
  <c r="AH1046" i="3250"/>
  <c r="AI1046" i="3250"/>
  <c r="AJ1046" i="3250"/>
  <c r="AL1046" i="3250"/>
  <c r="AF1047" i="3250"/>
  <c r="AG1047" i="3250"/>
  <c r="AH1047" i="3250"/>
  <c r="AI1047" i="3250"/>
  <c r="AJ1047" i="3250"/>
  <c r="AL1047" i="3250"/>
  <c r="AF1048" i="3250"/>
  <c r="AG1048" i="3250"/>
  <c r="AH1048" i="3250"/>
  <c r="AI1048" i="3250"/>
  <c r="AJ1048" i="3250"/>
  <c r="AL1048" i="3250"/>
  <c r="AF1049" i="3250"/>
  <c r="AG1049" i="3250"/>
  <c r="AH1049" i="3250"/>
  <c r="AI1049" i="3250"/>
  <c r="AJ1049" i="3250"/>
  <c r="AL1049" i="3250"/>
  <c r="AF1050" i="3250"/>
  <c r="AG1050" i="3250"/>
  <c r="AH1050" i="3250"/>
  <c r="AI1050" i="3250"/>
  <c r="AJ1050" i="3250"/>
  <c r="AL1050" i="3250"/>
  <c r="AF1051" i="3250"/>
  <c r="AG1051" i="3250"/>
  <c r="AH1051" i="3250"/>
  <c r="AI1051" i="3250"/>
  <c r="AJ1051" i="3250"/>
  <c r="AL1051" i="3250"/>
  <c r="AF1052" i="3250"/>
  <c r="AG1052" i="3250"/>
  <c r="AH1052" i="3250"/>
  <c r="AI1052" i="3250"/>
  <c r="AJ1052" i="3250"/>
  <c r="AL1052" i="3250"/>
  <c r="AF1053" i="3250"/>
  <c r="AG1053" i="3250"/>
  <c r="AH1053" i="3250"/>
  <c r="AI1053" i="3250"/>
  <c r="AJ1053" i="3250"/>
  <c r="AL1053" i="3250"/>
  <c r="AF1054" i="3250"/>
  <c r="AG1054" i="3250"/>
  <c r="AH1054" i="3250"/>
  <c r="AI1054" i="3250"/>
  <c r="AJ1054" i="3250"/>
  <c r="AL1054" i="3250"/>
  <c r="AF1055" i="3250"/>
  <c r="AG1055" i="3250"/>
  <c r="AH1055" i="3250"/>
  <c r="AI1055" i="3250"/>
  <c r="AJ1055" i="3250"/>
  <c r="AL1055" i="3250"/>
  <c r="AF1056" i="3250"/>
  <c r="AG1056" i="3250"/>
  <c r="AH1056" i="3250"/>
  <c r="AI1056" i="3250"/>
  <c r="AJ1056" i="3250"/>
  <c r="AL1056" i="3250"/>
  <c r="AF1057" i="3250"/>
  <c r="AG1057" i="3250"/>
  <c r="AH1057" i="3250"/>
  <c r="AI1057" i="3250"/>
  <c r="AJ1057" i="3250"/>
  <c r="AL1057" i="3250"/>
  <c r="AF1058" i="3250"/>
  <c r="AG1058" i="3250"/>
  <c r="AH1058" i="3250"/>
  <c r="AI1058" i="3250"/>
  <c r="AJ1058" i="3250"/>
  <c r="AL1058" i="3250"/>
  <c r="AF1059" i="3250"/>
  <c r="AG1059" i="3250"/>
  <c r="AH1059" i="3250"/>
  <c r="AI1059" i="3250"/>
  <c r="AJ1059" i="3250"/>
  <c r="AL1059" i="3250"/>
  <c r="AF1060" i="3250"/>
  <c r="AG1060" i="3250"/>
  <c r="AH1060" i="3250"/>
  <c r="AI1060" i="3250"/>
  <c r="AJ1060" i="3250"/>
  <c r="AL1060" i="3250"/>
  <c r="AF1061" i="3250"/>
  <c r="AG1061" i="3250"/>
  <c r="AH1061" i="3250"/>
  <c r="AI1061" i="3250"/>
  <c r="AJ1061" i="3250"/>
  <c r="AL1061" i="3250"/>
  <c r="AF1062" i="3250"/>
  <c r="AG1062" i="3250"/>
  <c r="AH1062" i="3250"/>
  <c r="AI1062" i="3250"/>
  <c r="AJ1062" i="3250"/>
  <c r="AL1062" i="3250"/>
  <c r="AF1063" i="3250"/>
  <c r="AG1063" i="3250"/>
  <c r="AH1063" i="3250"/>
  <c r="AI1063" i="3250"/>
  <c r="AJ1063" i="3250"/>
  <c r="AL1063" i="3250"/>
  <c r="AF1064" i="3250"/>
  <c r="AG1064" i="3250"/>
  <c r="AH1064" i="3250"/>
  <c r="AI1064" i="3250"/>
  <c r="AJ1064" i="3250"/>
  <c r="AL1064" i="3250"/>
  <c r="AF1065" i="3250"/>
  <c r="AG1065" i="3250"/>
  <c r="AH1065" i="3250"/>
  <c r="AI1065" i="3250"/>
  <c r="AJ1065" i="3250"/>
  <c r="AL1065" i="3250"/>
  <c r="AF1066" i="3250"/>
  <c r="AG1066" i="3250"/>
  <c r="AH1066" i="3250"/>
  <c r="AI1066" i="3250"/>
  <c r="AJ1066" i="3250"/>
  <c r="AL1066" i="3250"/>
  <c r="AF1067" i="3250"/>
  <c r="AG1067" i="3250"/>
  <c r="AH1067" i="3250"/>
  <c r="AI1067" i="3250"/>
  <c r="AJ1067" i="3250"/>
  <c r="AL1067" i="3250"/>
  <c r="AF1068" i="3250"/>
  <c r="AG1068" i="3250"/>
  <c r="AH1068" i="3250"/>
  <c r="AI1068" i="3250"/>
  <c r="AJ1068" i="3250"/>
  <c r="AL1068" i="3250"/>
  <c r="AF1069" i="3250"/>
  <c r="AG1069" i="3250"/>
  <c r="AH1069" i="3250"/>
  <c r="AI1069" i="3250"/>
  <c r="AJ1069" i="3250"/>
  <c r="AL1069" i="3250"/>
  <c r="AF1070" i="3250"/>
  <c r="AG1070" i="3250"/>
  <c r="AH1070" i="3250"/>
  <c r="AI1070" i="3250"/>
  <c r="AJ1070" i="3250"/>
  <c r="AL1070" i="3250"/>
  <c r="AF1071" i="3250"/>
  <c r="AG1071" i="3250"/>
  <c r="AH1071" i="3250"/>
  <c r="AI1071" i="3250"/>
  <c r="AJ1071" i="3250"/>
  <c r="AL1071" i="3250"/>
  <c r="AF1072" i="3250"/>
  <c r="AG1072" i="3250"/>
  <c r="AH1072" i="3250"/>
  <c r="AI1072" i="3250"/>
  <c r="AJ1072" i="3250"/>
  <c r="AL1072" i="3250"/>
  <c r="AF1073" i="3250"/>
  <c r="AG1073" i="3250"/>
  <c r="AH1073" i="3250"/>
  <c r="AI1073" i="3250"/>
  <c r="AJ1073" i="3250"/>
  <c r="AL1073" i="3250"/>
  <c r="AF1074" i="3250"/>
  <c r="AG1074" i="3250"/>
  <c r="AH1074" i="3250"/>
  <c r="AI1074" i="3250"/>
  <c r="AJ1074" i="3250"/>
  <c r="AL1074" i="3250"/>
  <c r="AF1075" i="3250"/>
  <c r="AG1075" i="3250"/>
  <c r="AH1075" i="3250"/>
  <c r="AI1075" i="3250"/>
  <c r="AJ1075" i="3250"/>
  <c r="AL1075" i="3250"/>
  <c r="AF1076" i="3250"/>
  <c r="AG1076" i="3250"/>
  <c r="AH1076" i="3250"/>
  <c r="AI1076" i="3250"/>
  <c r="AJ1076" i="3250"/>
  <c r="AL1076" i="3250"/>
  <c r="AF1077" i="3250"/>
  <c r="AG1077" i="3250"/>
  <c r="AH1077" i="3250"/>
  <c r="AI1077" i="3250"/>
  <c r="AJ1077" i="3250"/>
  <c r="AL1077" i="3250"/>
  <c r="AF1078" i="3250"/>
  <c r="AG1078" i="3250"/>
  <c r="AH1078" i="3250"/>
  <c r="AI1078" i="3250"/>
  <c r="AJ1078" i="3250"/>
  <c r="AL1078" i="3250"/>
  <c r="AF1079" i="3250"/>
  <c r="AG1079" i="3250"/>
  <c r="AH1079" i="3250"/>
  <c r="AI1079" i="3250"/>
  <c r="AJ1079" i="3250"/>
  <c r="AL1079" i="3250"/>
  <c r="AF1080" i="3250"/>
  <c r="AG1080" i="3250"/>
  <c r="AH1080" i="3250"/>
  <c r="AI1080" i="3250"/>
  <c r="AJ1080" i="3250"/>
  <c r="AL1080" i="3250"/>
  <c r="AF1081" i="3250"/>
  <c r="AG1081" i="3250"/>
  <c r="AH1081" i="3250"/>
  <c r="AI1081" i="3250"/>
  <c r="AJ1081" i="3250"/>
  <c r="AL1081" i="3250"/>
  <c r="AF1082" i="3250"/>
  <c r="AG1082" i="3250"/>
  <c r="AH1082" i="3250"/>
  <c r="AI1082" i="3250"/>
  <c r="AJ1082" i="3250"/>
  <c r="AL1082" i="3250"/>
  <c r="AF1083" i="3250"/>
  <c r="AG1083" i="3250"/>
  <c r="AH1083" i="3250"/>
  <c r="AI1083" i="3250"/>
  <c r="AJ1083" i="3250"/>
  <c r="AL1083" i="3250"/>
  <c r="AF1084" i="3250"/>
  <c r="AG1084" i="3250"/>
  <c r="AH1084" i="3250"/>
  <c r="AI1084" i="3250"/>
  <c r="AJ1084" i="3250"/>
  <c r="AL1084" i="3250"/>
  <c r="AF1085" i="3250"/>
  <c r="AG1085" i="3250"/>
  <c r="AH1085" i="3250"/>
  <c r="AI1085" i="3250"/>
  <c r="AJ1085" i="3250"/>
  <c r="AL1085" i="3250"/>
  <c r="AF1086" i="3250"/>
  <c r="AG1086" i="3250"/>
  <c r="AH1086" i="3250"/>
  <c r="AI1086" i="3250"/>
  <c r="AJ1086" i="3250"/>
  <c r="AL1086" i="3250"/>
  <c r="AF1087" i="3250"/>
  <c r="AG1087" i="3250"/>
  <c r="AH1087" i="3250"/>
  <c r="AI1087" i="3250"/>
  <c r="AJ1087" i="3250"/>
  <c r="AL1087" i="3250"/>
  <c r="AF1088" i="3250"/>
  <c r="AG1088" i="3250"/>
  <c r="AH1088" i="3250"/>
  <c r="AI1088" i="3250"/>
  <c r="AJ1088" i="3250"/>
  <c r="AL1088" i="3250"/>
  <c r="AF1089" i="3250"/>
  <c r="AG1089" i="3250"/>
  <c r="AH1089" i="3250"/>
  <c r="AI1089" i="3250"/>
  <c r="AJ1089" i="3250"/>
  <c r="AL1089" i="3250"/>
  <c r="AF1090" i="3250"/>
  <c r="AG1090" i="3250"/>
  <c r="AH1090" i="3250"/>
  <c r="AI1090" i="3250"/>
  <c r="AJ1090" i="3250"/>
  <c r="AL1090" i="3250"/>
  <c r="AF1091" i="3250"/>
  <c r="AG1091" i="3250"/>
  <c r="AH1091" i="3250"/>
  <c r="AI1091" i="3250"/>
  <c r="AJ1091" i="3250"/>
  <c r="AL1091" i="3250"/>
  <c r="AF1092" i="3250"/>
  <c r="AG1092" i="3250"/>
  <c r="AH1092" i="3250"/>
  <c r="AI1092" i="3250"/>
  <c r="AJ1092" i="3250"/>
  <c r="AL1092" i="3250"/>
  <c r="AF1093" i="3250"/>
  <c r="AG1093" i="3250"/>
  <c r="AH1093" i="3250"/>
  <c r="AI1093" i="3250"/>
  <c r="AJ1093" i="3250"/>
  <c r="AL1093" i="3250"/>
  <c r="AF1094" i="3250"/>
  <c r="AG1094" i="3250"/>
  <c r="AH1094" i="3250"/>
  <c r="AI1094" i="3250"/>
  <c r="AJ1094" i="3250"/>
  <c r="AL1094" i="3250"/>
  <c r="AF1095" i="3250"/>
  <c r="AG1095" i="3250"/>
  <c r="AH1095" i="3250"/>
  <c r="AI1095" i="3250"/>
  <c r="AJ1095" i="3250"/>
  <c r="AL1095" i="3250"/>
  <c r="AF1096" i="3250"/>
  <c r="AG1096" i="3250"/>
  <c r="AH1096" i="3250"/>
  <c r="AI1096" i="3250"/>
  <c r="AJ1096" i="3250"/>
  <c r="AL1096" i="3250"/>
  <c r="AF1097" i="3250"/>
  <c r="AG1097" i="3250"/>
  <c r="AH1097" i="3250"/>
  <c r="AI1097" i="3250"/>
  <c r="AJ1097" i="3250"/>
  <c r="AL1097" i="3250"/>
  <c r="AF1098" i="3250"/>
  <c r="AG1098" i="3250"/>
  <c r="AH1098" i="3250"/>
  <c r="AI1098" i="3250"/>
  <c r="AJ1098" i="3250"/>
  <c r="AL1098" i="3250"/>
  <c r="AF1099" i="3250"/>
  <c r="AG1099" i="3250"/>
  <c r="AH1099" i="3250"/>
  <c r="AI1099" i="3250"/>
  <c r="AJ1099" i="3250"/>
  <c r="AL1099" i="3250"/>
  <c r="AF1100" i="3250"/>
  <c r="AG1100" i="3250"/>
  <c r="AH1100" i="3250"/>
  <c r="AI1100" i="3250"/>
  <c r="AJ1100" i="3250"/>
  <c r="AL1100" i="3250"/>
  <c r="B2" i="3249"/>
  <c r="A29" i="3254" s="1"/>
  <c r="C2" i="3249"/>
  <c r="D2" i="3249"/>
  <c r="E2" i="3249"/>
  <c r="F2" i="3249"/>
  <c r="B5" i="3249"/>
  <c r="A5" i="3254" s="1"/>
  <c r="B8" i="3249"/>
  <c r="F8" i="3249"/>
  <c r="F9" i="3249"/>
  <c r="F9" i="3254" s="1"/>
  <c r="F10" i="3249"/>
  <c r="F10" i="3254" s="1"/>
  <c r="F11" i="3249"/>
  <c r="F11" i="3254" s="1"/>
  <c r="B12" i="3249"/>
  <c r="A12" i="3254" s="1"/>
  <c r="B13" i="3249"/>
  <c r="H9" i="3254" s="1"/>
  <c r="F13" i="3249"/>
  <c r="L9" i="3254" s="1"/>
  <c r="B14" i="3249"/>
  <c r="H10" i="3254" s="1"/>
  <c r="F14" i="3249"/>
  <c r="L10" i="3254" s="1"/>
  <c r="F15" i="3249"/>
  <c r="L11" i="3254" s="1"/>
  <c r="B16" i="3249"/>
  <c r="H13" i="3254" s="1"/>
  <c r="F16" i="3249"/>
  <c r="L13" i="3254" s="1"/>
  <c r="B17" i="3249"/>
  <c r="H14" i="3254" s="1"/>
  <c r="F17" i="3249"/>
  <c r="L14" i="3254" s="1"/>
  <c r="B18" i="3249"/>
  <c r="H16" i="3254" s="1"/>
  <c r="F18" i="3249"/>
  <c r="L16" i="3254" s="1"/>
  <c r="F19" i="3249"/>
  <c r="L17" i="3254" s="1"/>
  <c r="B20" i="3249"/>
  <c r="A14" i="3254" s="1"/>
  <c r="H20" i="3249"/>
  <c r="F21" i="3249"/>
  <c r="E15" i="3254" s="1"/>
  <c r="H21" i="3249"/>
  <c r="I21" i="3249"/>
  <c r="J21" i="3249"/>
  <c r="F22" i="3249"/>
  <c r="E16" i="3254" s="1"/>
  <c r="F23" i="3249"/>
  <c r="E17" i="3254" s="1"/>
  <c r="B26" i="3249"/>
  <c r="B32" i="3249"/>
  <c r="H25" i="3254" s="1"/>
  <c r="B34" i="3249"/>
  <c r="H26" i="3254" s="1"/>
  <c r="B38" i="3249"/>
  <c r="H21" i="3254" s="1"/>
  <c r="E40" i="3249"/>
  <c r="F41" i="3249"/>
  <c r="E31" i="3254" s="1"/>
  <c r="F42" i="3249"/>
  <c r="E32" i="3254" s="1"/>
  <c r="F43" i="3249"/>
  <c r="E34" i="3254" s="1"/>
  <c r="F44" i="3249"/>
  <c r="E35" i="3254" s="1"/>
  <c r="F45" i="3249"/>
  <c r="E36" i="3254" s="1"/>
  <c r="F46" i="3249"/>
  <c r="E37" i="3254" s="1"/>
  <c r="B47" i="3249"/>
  <c r="A39" i="3254" s="1"/>
  <c r="F47" i="3249"/>
  <c r="E39" i="3254" s="1"/>
  <c r="B48" i="3249"/>
  <c r="A40" i="3254" s="1"/>
  <c r="F48" i="3249"/>
  <c r="E40" i="3254" s="1"/>
  <c r="F49" i="3249"/>
  <c r="E41" i="3254" s="1"/>
  <c r="E51" i="3249"/>
  <c r="B54" i="3249"/>
  <c r="G31" i="3254" s="1"/>
  <c r="D54" i="3249"/>
  <c r="L31" i="3254" s="1"/>
  <c r="E54" i="3249"/>
  <c r="M31" i="3254" s="1"/>
  <c r="F54" i="3249"/>
  <c r="N31" i="3254" s="1"/>
  <c r="B55" i="3249"/>
  <c r="G32" i="3254" s="1"/>
  <c r="D55" i="3249"/>
  <c r="L32" i="3254" s="1"/>
  <c r="E55" i="3249"/>
  <c r="M32" i="3254" s="1"/>
  <c r="F55" i="3249"/>
  <c r="N32" i="3254" s="1"/>
  <c r="B56" i="3249"/>
  <c r="G33" i="3254" s="1"/>
  <c r="D56" i="3249"/>
  <c r="L33" i="3254" s="1"/>
  <c r="E56" i="3249"/>
  <c r="M33" i="3254" s="1"/>
  <c r="F56" i="3249"/>
  <c r="N33" i="3254" s="1"/>
  <c r="B57" i="3249"/>
  <c r="G34" i="3254" s="1"/>
  <c r="D57" i="3249"/>
  <c r="L34" i="3254" s="1"/>
  <c r="E57" i="3249"/>
  <c r="M34" i="3254" s="1"/>
  <c r="F57" i="3249"/>
  <c r="N34" i="3254" s="1"/>
  <c r="B58" i="3249"/>
  <c r="G35" i="3254" s="1"/>
  <c r="D58" i="3249"/>
  <c r="L35" i="3254" s="1"/>
  <c r="E58" i="3249"/>
  <c r="M35" i="3254" s="1"/>
  <c r="F58" i="3249"/>
  <c r="N35" i="3254" s="1"/>
  <c r="B59" i="3249"/>
  <c r="G36" i="3254" s="1"/>
  <c r="D59" i="3249"/>
  <c r="L36" i="3254" s="1"/>
  <c r="E59" i="3249"/>
  <c r="M36" i="3254" s="1"/>
  <c r="F59" i="3249"/>
  <c r="N36" i="3254" s="1"/>
  <c r="B60" i="3249"/>
  <c r="G37" i="3254" s="1"/>
  <c r="D60" i="3249"/>
  <c r="L37" i="3254" s="1"/>
  <c r="E60" i="3249"/>
  <c r="M37" i="3254" s="1"/>
  <c r="F60" i="3249"/>
  <c r="N37" i="3254" s="1"/>
  <c r="B61" i="3249"/>
  <c r="G38" i="3254" s="1"/>
  <c r="D61" i="3249"/>
  <c r="L38" i="3254" s="1"/>
  <c r="E61" i="3249"/>
  <c r="M38" i="3254" s="1"/>
  <c r="F61" i="3249"/>
  <c r="N38" i="3254" s="1"/>
  <c r="B62" i="3249"/>
  <c r="G39" i="3254" s="1"/>
  <c r="D62" i="3249"/>
  <c r="L39" i="3254" s="1"/>
  <c r="E62" i="3249"/>
  <c r="M39" i="3254" s="1"/>
  <c r="F62" i="3249"/>
  <c r="N39" i="3254" s="1"/>
  <c r="B63" i="3249"/>
  <c r="G40" i="3254" s="1"/>
  <c r="D63" i="3249"/>
  <c r="L40" i="3254" s="1"/>
  <c r="E63" i="3249"/>
  <c r="M40" i="3254" s="1"/>
  <c r="F63" i="3249"/>
  <c r="N40" i="3254" s="1"/>
  <c r="B64" i="3249"/>
  <c r="G41" i="3254" s="1"/>
  <c r="D64" i="3249"/>
  <c r="L41" i="3254" s="1"/>
  <c r="E64" i="3249"/>
  <c r="M41" i="3254" s="1"/>
  <c r="F64" i="3249"/>
  <c r="N41" i="3254" s="1"/>
  <c r="B70" i="3249"/>
  <c r="A102" i="3254" s="1"/>
  <c r="B71" i="3249"/>
  <c r="A103" i="3254" s="1"/>
  <c r="B72" i="3249"/>
  <c r="H102" i="3254" s="1"/>
  <c r="B73" i="3249"/>
  <c r="H103" i="3254" s="1"/>
  <c r="B75" i="3249"/>
  <c r="A104" i="3254" s="1"/>
  <c r="F76" i="3249"/>
  <c r="E106" i="3254" s="1"/>
  <c r="E77" i="3249"/>
  <c r="D107" i="3254" s="1"/>
  <c r="F77" i="3249"/>
  <c r="E107" i="3254" s="1"/>
  <c r="E78" i="3249"/>
  <c r="D108" i="3254" s="1"/>
  <c r="F78" i="3249"/>
  <c r="E108" i="3254" s="1"/>
  <c r="F79" i="3249"/>
  <c r="E109" i="3254" s="1"/>
  <c r="F80" i="3249"/>
  <c r="F111" i="3254" s="1"/>
  <c r="F81" i="3249"/>
  <c r="F112" i="3254" s="1"/>
  <c r="F82" i="3249"/>
  <c r="F113" i="3254" s="1"/>
  <c r="F83" i="3249"/>
  <c r="F114" i="3254" s="1"/>
  <c r="F84" i="3249"/>
  <c r="F116" i="3254" s="1"/>
  <c r="F85" i="3249"/>
  <c r="F117" i="3254" s="1"/>
  <c r="B87" i="3249"/>
  <c r="H104" i="3254" s="1"/>
  <c r="B88" i="3249"/>
  <c r="H106" i="3254" s="1"/>
  <c r="B89" i="3249"/>
  <c r="A120" i="3254" s="1"/>
  <c r="B90" i="3249"/>
  <c r="A122" i="3254" s="1"/>
  <c r="B91" i="3249"/>
  <c r="A123" i="3254" s="1"/>
  <c r="B92" i="3249"/>
  <c r="A124" i="3254" s="1"/>
  <c r="B93" i="3249"/>
  <c r="H120" i="3254" s="1"/>
  <c r="B94" i="3249"/>
  <c r="H122" i="3254" s="1"/>
  <c r="B96" i="3249"/>
  <c r="B98" i="3249"/>
  <c r="A130" i="3254" s="1"/>
  <c r="B99" i="3249"/>
  <c r="A131" i="3254" s="1"/>
  <c r="B100" i="3249"/>
  <c r="H130" i="3254" s="1"/>
  <c r="B101" i="3249"/>
  <c r="B104" i="3249"/>
  <c r="A136" i="3254" s="1"/>
  <c r="F104" i="3249"/>
  <c r="F136" i="3254" s="1"/>
  <c r="F105" i="3249"/>
  <c r="F137" i="3254" s="1"/>
  <c r="F106" i="3249"/>
  <c r="F138" i="3254" s="1"/>
  <c r="F107" i="3249"/>
  <c r="F139" i="3254" s="1"/>
  <c r="F108" i="3249"/>
  <c r="F140" i="3254" s="1"/>
  <c r="F109" i="3249"/>
  <c r="F141" i="3254" s="1"/>
  <c r="F110" i="3249"/>
  <c r="F142" i="3254" s="1"/>
  <c r="F111" i="3249"/>
  <c r="F143" i="3254" s="1"/>
  <c r="B112" i="3249"/>
  <c r="A144" i="3254" s="1"/>
  <c r="F112" i="3249"/>
  <c r="F144" i="3254" s="1"/>
  <c r="B113" i="3249"/>
  <c r="A145" i="3254" s="1"/>
  <c r="F113" i="3249"/>
  <c r="F145" i="3254" s="1"/>
  <c r="F114" i="3249"/>
  <c r="F146" i="3254" s="1"/>
  <c r="F115" i="3249"/>
  <c r="F147" i="3254" s="1"/>
  <c r="B117" i="3249"/>
  <c r="H134" i="3254" s="1"/>
  <c r="B118" i="3249"/>
  <c r="H136" i="3254" s="1"/>
  <c r="B119" i="3249"/>
  <c r="H132" i="3254" s="1"/>
  <c r="B120" i="3249"/>
  <c r="H133" i="3254" s="1"/>
  <c r="B121" i="3249"/>
  <c r="I150" i="3254" s="1"/>
  <c r="B122" i="3249"/>
  <c r="I152" i="3254" s="1"/>
  <c r="B124" i="3249"/>
  <c r="A150" i="3254" s="1"/>
  <c r="F125" i="3249"/>
  <c r="F152" i="3254" s="1"/>
  <c r="F126" i="3249"/>
  <c r="F153" i="3254" s="1"/>
  <c r="F127" i="3249"/>
  <c r="F154" i="3254" s="1"/>
  <c r="B128" i="3249"/>
  <c r="A155" i="3254" s="1"/>
  <c r="F128" i="3249"/>
  <c r="F155" i="3254" s="1"/>
  <c r="B129" i="3249"/>
  <c r="A156" i="3254" s="1"/>
  <c r="F129" i="3249"/>
  <c r="F156" i="3254" s="1"/>
  <c r="B130" i="3249"/>
  <c r="A157" i="3254" s="1"/>
  <c r="F130" i="3249"/>
  <c r="F157" i="3254" s="1"/>
  <c r="B131" i="3249"/>
  <c r="A158" i="3254" s="1"/>
  <c r="F131" i="3249"/>
  <c r="F158" i="3254" s="1"/>
  <c r="B132" i="3249"/>
  <c r="A159" i="3254" s="1"/>
  <c r="F132" i="3249"/>
  <c r="F159" i="3254" s="1"/>
  <c r="B133" i="3249"/>
  <c r="A160" i="3254" s="1"/>
  <c r="F133" i="3249"/>
  <c r="F160" i="3254" s="1"/>
  <c r="B134" i="3249"/>
  <c r="A161" i="3254" s="1"/>
  <c r="F134" i="3249"/>
  <c r="F161" i="3254" s="1"/>
  <c r="B135" i="3249"/>
  <c r="A162" i="3254" s="1"/>
  <c r="F135" i="3249"/>
  <c r="F162" i="3254" s="1"/>
  <c r="B136" i="3249"/>
  <c r="A163" i="3254" s="1"/>
  <c r="F136" i="3249"/>
  <c r="F163" i="3254" s="1"/>
  <c r="B137" i="3249"/>
  <c r="A164" i="3254" s="1"/>
  <c r="F137" i="3249"/>
  <c r="F164" i="3254" s="1"/>
  <c r="B139" i="3249"/>
  <c r="I165" i="3254" s="1"/>
  <c r="B142" i="3249"/>
  <c r="A169" i="3254" s="1"/>
  <c r="B143" i="3249"/>
  <c r="A170" i="3254" s="1"/>
  <c r="B144" i="3249"/>
  <c r="H169" i="3254" s="1"/>
  <c r="B146" i="3249"/>
  <c r="H170" i="3254" s="1"/>
  <c r="B2" i="3251"/>
  <c r="C2" i="3251"/>
  <c r="D2" i="3251"/>
  <c r="E2" i="3251"/>
  <c r="F2" i="3251"/>
  <c r="B5" i="3251"/>
  <c r="F5" i="3251"/>
  <c r="F6" i="3251"/>
  <c r="F7" i="3251"/>
  <c r="F8" i="3251"/>
  <c r="B9" i="3251"/>
  <c r="B10" i="3251"/>
  <c r="F10" i="3251"/>
  <c r="B11" i="3251"/>
  <c r="F11" i="3251"/>
  <c r="F13" i="3251"/>
  <c r="B14" i="3251"/>
  <c r="F15" i="3251"/>
  <c r="F16" i="3251"/>
  <c r="F17" i="3251"/>
  <c r="F18" i="3251"/>
  <c r="B26" i="3251"/>
  <c r="B28" i="3251"/>
  <c r="T8" i="3250" l="1"/>
  <c r="AC8" i="3245"/>
  <c r="AC19" i="3250"/>
  <c r="Y19" i="3245"/>
  <c r="AB19" i="3250"/>
  <c r="X19" i="3245"/>
  <c r="F138" i="3249"/>
  <c r="L7" i="3254"/>
  <c r="A30" i="3254"/>
  <c r="W19" i="3245"/>
  <c r="B12" i="3251"/>
  <c r="H128" i="3254"/>
  <c r="A128" i="3254"/>
  <c r="A26" i="3254"/>
  <c r="H131" i="3254"/>
  <c r="A133" i="3254"/>
  <c r="F12" i="3251"/>
  <c r="AA19" i="3250"/>
  <c r="A24" i="3254"/>
  <c r="A20" i="3254"/>
  <c r="F24" i="3249"/>
  <c r="E18" i="3254" s="1"/>
  <c r="F165" i="3254" l="1"/>
  <c r="F139" i="3249"/>
  <c r="M165" i="3254" s="1"/>
</calcChain>
</file>

<file path=xl/sharedStrings.xml><?xml version="1.0" encoding="utf-8"?>
<sst xmlns="http://schemas.openxmlformats.org/spreadsheetml/2006/main" count="3106" uniqueCount="844">
  <si>
    <t>LTM</t>
  </si>
  <si>
    <t>Umsatz</t>
  </si>
  <si>
    <t>EBIT</t>
  </si>
  <si>
    <t>in Mio.</t>
  </si>
  <si>
    <t>Steuer</t>
  </si>
  <si>
    <t>Market Cap</t>
  </si>
  <si>
    <t>Letztes Fiskaljahr</t>
  </si>
  <si>
    <t>Liquide Mittel</t>
  </si>
  <si>
    <t>Anteile Minderheitsgesellschafter</t>
  </si>
  <si>
    <t>ERP</t>
  </si>
  <si>
    <t>WACC</t>
  </si>
  <si>
    <t>Wachstum</t>
  </si>
  <si>
    <t>Wert EK</t>
  </si>
  <si>
    <t>Wert FK</t>
  </si>
  <si>
    <t>TEV</t>
  </si>
  <si>
    <t>Median</t>
  </si>
  <si>
    <t>FCFF</t>
  </si>
  <si>
    <t>Wert des Eigenkapitals 100%</t>
  </si>
  <si>
    <t>ROCE</t>
  </si>
  <si>
    <t>EBIT-T</t>
  </si>
  <si>
    <t>R-Rate</t>
  </si>
  <si>
    <t>Datum</t>
  </si>
  <si>
    <t>Freefloat</t>
  </si>
  <si>
    <t>Ungedeckte Pensionsrückstellungen</t>
  </si>
  <si>
    <t xml:space="preserve"> </t>
  </si>
  <si>
    <t>Historie</t>
  </si>
  <si>
    <t>Wert Eigenkapitaloptionen</t>
  </si>
  <si>
    <t>Verlorene Rechtstreitigkeiten</t>
  </si>
  <si>
    <t>(Marktwert) Fremdkapital</t>
  </si>
  <si>
    <t>Entw.</t>
  </si>
  <si>
    <t>/Umsatz</t>
  </si>
  <si>
    <t>Sonst</t>
  </si>
  <si>
    <t>S-Quote</t>
  </si>
  <si>
    <t>LTM+1</t>
  </si>
  <si>
    <t>LTM+2</t>
  </si>
  <si>
    <t>LTM+3</t>
  </si>
  <si>
    <t>LTM+4</t>
  </si>
  <si>
    <t>LTM+5</t>
  </si>
  <si>
    <t>LTM+6</t>
  </si>
  <si>
    <t>LTM+7</t>
  </si>
  <si>
    <t>LTM+8</t>
  </si>
  <si>
    <t>LTM+9</t>
  </si>
  <si>
    <t>LTM+10</t>
  </si>
  <si>
    <t>Beta</t>
  </si>
  <si>
    <t>i EK</t>
  </si>
  <si>
    <t>i FK</t>
  </si>
  <si>
    <t>i FK - T</t>
  </si>
  <si>
    <t>PV FCFF</t>
  </si>
  <si>
    <t>PV TV</t>
  </si>
  <si>
    <t>Prognose</t>
  </si>
  <si>
    <t>TEV/EBIT</t>
  </si>
  <si>
    <t>i (rf)</t>
  </si>
  <si>
    <t>Kurs/Wert</t>
  </si>
  <si>
    <t>Aktienwert</t>
  </si>
  <si>
    <t>Erw. Dividende</t>
  </si>
  <si>
    <t>Erw. D-Rendite</t>
  </si>
  <si>
    <t>Umsatzverteilung Industrien</t>
  </si>
  <si>
    <t>Umsatzverteilung Regionen</t>
  </si>
  <si>
    <t>ewig</t>
  </si>
  <si>
    <t>Anzahl Aktien Mio.</t>
  </si>
  <si>
    <t>LTM / Quartal</t>
  </si>
  <si>
    <t>TV/TEV</t>
  </si>
  <si>
    <t>"g"=i(rf)</t>
  </si>
  <si>
    <t>= Terminal Value</t>
  </si>
  <si>
    <t>TV = FCFF/(wacc-g)</t>
  </si>
  <si>
    <t>Handelbare langfristige Wertpapiere</t>
  </si>
  <si>
    <t>ERP adj.</t>
  </si>
  <si>
    <t>Unternehmenswert schuldenfrei</t>
  </si>
  <si>
    <t>Nettoinvestitionen</t>
  </si>
  <si>
    <t>Umsatzzuwachs/Reinvest</t>
  </si>
  <si>
    <t>Schluss-</t>
  </si>
  <si>
    <t>kurs</t>
  </si>
  <si>
    <t>Handels-</t>
  </si>
  <si>
    <t>volumen</t>
  </si>
  <si>
    <t>Unt.-Rating S&amp;P</t>
  </si>
  <si>
    <t>Net Debt/EBITDA</t>
  </si>
  <si>
    <t>52W Tief</t>
  </si>
  <si>
    <t>52W Hoch</t>
  </si>
  <si>
    <t>Summe</t>
  </si>
  <si>
    <t>Invest. Kapital</t>
  </si>
  <si>
    <t>Umsatz/Kapital</t>
  </si>
  <si>
    <t>Erläuterungen</t>
  </si>
  <si>
    <t>Haftungsfreizeichnung: Die Unterlage stellt keinerlei Empfehlung dar.</t>
  </si>
  <si>
    <t>Bewertungsbeta</t>
  </si>
  <si>
    <t>Aufschlag Länderrisiko</t>
  </si>
  <si>
    <t>Eigenkapitalkosten</t>
  </si>
  <si>
    <t>Fremdkapitalwert</t>
  </si>
  <si>
    <t>Beta unlev.</t>
  </si>
  <si>
    <t>Beta relev.</t>
  </si>
  <si>
    <t>Aufschlag</t>
  </si>
  <si>
    <t>FK/EK</t>
  </si>
  <si>
    <t>EK/GK</t>
  </si>
  <si>
    <t>FK/GK</t>
  </si>
  <si>
    <t>Fremdkapitalko. n. Steuer</t>
  </si>
  <si>
    <t>Eigenkapitalwert (Marktk.)</t>
  </si>
  <si>
    <t>Kontrollzeile</t>
  </si>
  <si>
    <t>Herleitung WACC</t>
  </si>
  <si>
    <t>YCV</t>
  </si>
  <si>
    <t>Allgemein</t>
  </si>
  <si>
    <t>Bewertungsstichtag</t>
  </si>
  <si>
    <t>ISIN</t>
  </si>
  <si>
    <t>Internet</t>
  </si>
  <si>
    <t>Firmensitz</t>
  </si>
  <si>
    <t>Primäre Industrie</t>
  </si>
  <si>
    <t>Letzter Quartalsbericht</t>
  </si>
  <si>
    <t>Fiskaljahr</t>
  </si>
  <si>
    <t>Rating</t>
  </si>
  <si>
    <t>Altman Score</t>
  </si>
  <si>
    <t>Währung</t>
  </si>
  <si>
    <t>Kurs / Wert</t>
  </si>
  <si>
    <t>Marktkapitalisierung in Mio.</t>
  </si>
  <si>
    <t>Anzahl Aktien in Mio.</t>
  </si>
  <si>
    <t>Kennzahlen</t>
  </si>
  <si>
    <t>KGV normalisiert (PE)</t>
  </si>
  <si>
    <t>Kurs-Buchwert-Verhältnis</t>
  </si>
  <si>
    <t>Datum:</t>
  </si>
  <si>
    <t>Letzte Dividende</t>
  </si>
  <si>
    <t>Erwartete Dividende</t>
  </si>
  <si>
    <t>Rendite (Erw.Div./Kurs)</t>
  </si>
  <si>
    <t>Aktienwert YCV</t>
  </si>
  <si>
    <t>Nettofinanzschulden in Mio.</t>
  </si>
  <si>
    <t>Nettofinanzschulden / EBITDA</t>
  </si>
  <si>
    <t>EBITDA Multiplikator Börse</t>
  </si>
  <si>
    <t>EBIT Multiplikator Börse</t>
  </si>
  <si>
    <t>KGV verwässert vor Extras</t>
  </si>
  <si>
    <t>Letzter JA</t>
  </si>
  <si>
    <t>Forward</t>
  </si>
  <si>
    <t>KGV (normalisiert)</t>
  </si>
  <si>
    <t>Kurs / Buchwert EK</t>
  </si>
  <si>
    <t>FY</t>
  </si>
  <si>
    <t>FY+1</t>
  </si>
  <si>
    <t>FY+2</t>
  </si>
  <si>
    <t>FY+3</t>
  </si>
  <si>
    <t>NTM</t>
  </si>
  <si>
    <t>LTM-1</t>
  </si>
  <si>
    <t>Reinvestitionsquote (R-Rate)</t>
  </si>
  <si>
    <t>Net Capex Consensus</t>
  </si>
  <si>
    <t>Industrie</t>
  </si>
  <si>
    <t>TEV/EBITDA</t>
  </si>
  <si>
    <t>Peer-Group</t>
  </si>
  <si>
    <t>Multiplikatoren</t>
  </si>
  <si>
    <t>EBIT-Marge</t>
  </si>
  <si>
    <t>Umsatzwachstum p.a.</t>
  </si>
  <si>
    <t>Median Consensus</t>
  </si>
  <si>
    <t>10 Jahre</t>
  </si>
  <si>
    <t>5 Jahre</t>
  </si>
  <si>
    <t>terminal</t>
  </si>
  <si>
    <t>CAGR</t>
  </si>
  <si>
    <t>über 2 Jahre</t>
  </si>
  <si>
    <t>über 3 Jahre</t>
  </si>
  <si>
    <t>Planung</t>
  </si>
  <si>
    <t>Mittelwert</t>
  </si>
  <si>
    <t>R-Rate Median Industrie</t>
  </si>
  <si>
    <t>R-Rate Mittelwert 10 Jahre Historie</t>
  </si>
  <si>
    <t>R-Rate Mittelwert 10 Jahre Planung</t>
  </si>
  <si>
    <t>R-Rate Median 10 Jahre Planung</t>
  </si>
  <si>
    <t>R-Rate Terminal Value</t>
  </si>
  <si>
    <t>Erläuterungen:</t>
  </si>
  <si>
    <t>Reinvestitionsquote (R-Rate) = Nettoinvestitionen / EBIT-T</t>
  </si>
  <si>
    <t>unlevered
Beta YCV</t>
  </si>
  <si>
    <t>EBIT-Marge
Historie
10 Jahre</t>
  </si>
  <si>
    <t>ROCE
Historie
10 Jahre</t>
  </si>
  <si>
    <t>Umsatz
/Kapital
Historie
10 Jahre</t>
  </si>
  <si>
    <t>R-Rate
Historie
10 Jahre</t>
  </si>
  <si>
    <t>Benchmarks YCV</t>
  </si>
  <si>
    <t>Kennziffern Historie</t>
  </si>
  <si>
    <t>Bei Umsatzwachstum übersteigen die notwendigen Investitionen die Abschreibungen (langfristig)</t>
  </si>
  <si>
    <t>Nur in begründeten Ausnahmefällen ist davon abzuweichen (z.B. Überkapazitäten)</t>
  </si>
  <si>
    <t>Die Investitionsquote drückt aus, wieviel % von E-EBIT für Nettoinvestitionen berücksichtigt wird</t>
  </si>
  <si>
    <t>R-Rate über 10 Jahre Planungs total</t>
  </si>
  <si>
    <t>IQ2668699</t>
  </si>
  <si>
    <t>S&amp;P 500</t>
  </si>
  <si>
    <t>Schluss</t>
  </si>
  <si>
    <t>mit Hilfe der Kennziffer Umsatz/Kapital</t>
  </si>
  <si>
    <t>höher als die hergeleiteten Nettoinvestitionen ausfallen, werden diese für den Zeitraum</t>
  </si>
  <si>
    <t>Final eingestellt</t>
  </si>
  <si>
    <t>mit Hilfe Umsatz/Kapital</t>
  </si>
  <si>
    <t>mit Hilfe ROCE</t>
  </si>
  <si>
    <t>mit Hilfe ROCE und Verteilung nach Umsatzanteil über 10 Jahre</t>
  </si>
  <si>
    <t>nach Anpassungen</t>
  </si>
  <si>
    <t>Methodik zur Herleitung der (ewigen) Nettoinvestitionen für den Terminal Value immer mit Hilfe von Wachstum und der Kennziffer ROCE</t>
  </si>
  <si>
    <t>Die Formel lautet gleichermaßen: Nettoinvestitionen = Wachstumsrate / ROCE * EBIT-T</t>
  </si>
  <si>
    <t xml:space="preserve">EBIT-T zur Herleitung der ewigen Rente </t>
  </si>
  <si>
    <t>Nettoinvestitionen  = Wachstumsrate / ROCE * EBIT-T</t>
  </si>
  <si>
    <t>Resultierende Reinvestitionsquote (R-Rate)</t>
  </si>
  <si>
    <t>Maximal zulässige Reinvestitionsquote für die ewige Rente (R-Rate)</t>
  </si>
  <si>
    <t>Effektive Steuerquote Planung</t>
  </si>
  <si>
    <t>Planungsprämissen Umsatz, EBIT-Marge und Steuerquote</t>
  </si>
  <si>
    <t>Sofern Analysten Investionen und Schreibungen konkret planen und der Saldo (Net Capex)</t>
  </si>
  <si>
    <t>LTM+1 bis LTM+5 ggf. vorrangig übernommen (Berücksichtigung einer vorliegenden Investitionsplanung).</t>
  </si>
  <si>
    <t>Implizit investiertes Kapital</t>
  </si>
  <si>
    <t>Beta unlevered</t>
  </si>
  <si>
    <t>Beta relevered</t>
  </si>
  <si>
    <t>Delta %</t>
  </si>
  <si>
    <t>Umsatzentwicklung</t>
  </si>
  <si>
    <t>Steueraufwand / EBIT (Effektive Steuerquote der Historie)</t>
  </si>
  <si>
    <t>Steurquote und Grenzsteuersatz Firmensitz</t>
  </si>
  <si>
    <t>Umsatz setzt Investitionen voraus, die R-Rate steht in einem Zusammenhang mit Wachstum</t>
  </si>
  <si>
    <t>Nettoinvestitionen umfassen Investitionen (Anlage- &amp; Umlaufvermögen) saldiert um Abschreibungen/Amort.</t>
  </si>
  <si>
    <t>In den hellgrün markierten Feldern können Planungsprämissen verändert werden, der Aktienwert in Zelle H4 wird neu berechnet !</t>
  </si>
  <si>
    <t>Wert Beteiligungen &amp; Finanzinvestitionen</t>
  </si>
  <si>
    <t>Grundmodell</t>
  </si>
  <si>
    <t>Name</t>
  </si>
  <si>
    <r>
      <rPr>
        <sz val="6"/>
        <rFont val="Calibri"/>
        <family val="2"/>
      </rPr>
      <t>Ø</t>
    </r>
    <r>
      <rPr>
        <sz val="6"/>
        <rFont val="Calibri"/>
        <family val="2"/>
        <scheme val="minor"/>
      </rPr>
      <t xml:space="preserve"> 10J</t>
    </r>
  </si>
  <si>
    <t>Umsatzverteilung Industrien (ENG)</t>
  </si>
  <si>
    <t>Umsatzverteilung Regionen (ENG)</t>
  </si>
  <si>
    <t>Wachstum
Umsatz 10J</t>
  </si>
  <si>
    <t>Steuer/EBIT
10J</t>
  </si>
  <si>
    <t>,</t>
  </si>
  <si>
    <t>Die (ewige) Wachtumsrate "g" entspricht (maximal) dem risikolosen Zins</t>
  </si>
  <si>
    <t>Einführung:</t>
  </si>
  <si>
    <t>3. Analystenmeinungen</t>
  </si>
  <si>
    <t>Den vorgenannten Zinssatz ermitteln wir anhand eines Unternehmensrating und den aktuell gehandelten Renditen 10-jähriger Unternehmensanleihen gleicher Ratingklasse.</t>
  </si>
  <si>
    <t>Der Betafaktor steht für das systematische Risiko des Unternehmens, ein Betafaktor kleiner 1,0 impliziert ein gegenüber dem Markt geringeres Risiko und vice versa.</t>
  </si>
  <si>
    <t>7. Bewertungsergebnis</t>
  </si>
  <si>
    <t>Hierzu können insbesondere passivierte Anzahlungen, konsolidierte "Minority Shares" oder ungedeckte Pensionsrückstellungen nebst weiteren Positionen gehören.</t>
  </si>
  <si>
    <t>5. Fortschreibungswert (Terminal Value)</t>
  </si>
  <si>
    <t>Das DCF-Modell kalkuliert die freien Cashflows vor Finanzierung (FCFF) für jede der 10 Planungsperioden und berücksichtigt sodann einen Fortschreibungswert.</t>
  </si>
  <si>
    <t>Als Risikomaß nutzen wir die jeweils aktuell am Kapitalmarkt gehandelten Preise für Ausfallrisiken der Länder (Credit Default Swaps) und gewichten anhand der regionalen Umsatzverteilung.</t>
  </si>
  <si>
    <t>Bei der Formel handelt es sich um die anerkannte Herleitung entlang des sog. CAPM, wobei das "Beta" als relativer Maßstab die Risikoprämie individuell adjustiert (relatives Risiko).</t>
  </si>
  <si>
    <t>Wir berücksichtigen die zukünftigen Steuerzahlungen mit Hilfe von Prozentsätzen auf die sich resultierende EBIT-Reihe, also dem Ergebnis vor Finanzierungszinsen.</t>
  </si>
  <si>
    <t>Die begründet notwendigen Nettoinvestitionen verteilen wir über die 10 Planungsperioden unter Berücksichtigung der jährlich unterstellten Umsatzentwicklung.</t>
  </si>
  <si>
    <t>Auswahl</t>
  </si>
  <si>
    <t>In besonderen Fällen inkludieren die zinstragenden Verbindlichkeiten passivierte Finanzschulden aus Handelsaktivitäten, z.B. bei Konsolidierung von Bank- oder Leasinggeschäften.</t>
  </si>
  <si>
    <t>4. Planungsprämissen</t>
  </si>
  <si>
    <t>LTM/LTM-1</t>
  </si>
  <si>
    <t>6. Diskontierungsfaktoren</t>
  </si>
  <si>
    <t>Die Wachstumsrate "g" orientiert sich am risikolosen Zins.</t>
  </si>
  <si>
    <t>Datenquelle (1)</t>
  </si>
  <si>
    <t>Watchlist (2)</t>
  </si>
  <si>
    <t>neu (3)</t>
  </si>
  <si>
    <t>Delta (2) zu (1)</t>
  </si>
  <si>
    <t>Delta (3) zu (1)</t>
  </si>
  <si>
    <t>exkl.  operatives Leasing</t>
  </si>
  <si>
    <t>Kennziffern</t>
  </si>
  <si>
    <t>Hinweise und Erläuterungen</t>
  </si>
  <si>
    <t>Datenquelle:</t>
  </si>
  <si>
    <t>ROCE (für die ewige Rente ausgewählt)</t>
  </si>
  <si>
    <t>Vielmehr berechnen wir zukünftig notwendige Nettoinvestitionen im Einklang mit der erwarteten Unternehmensentwicklung.</t>
  </si>
  <si>
    <t>Wir verwenden das in Theorie und Praxis meist verbreitete DCF-Modell nach dem Entity-Ansatz, demnach werden die Cashflows vor Kapitaldienst mit gewichteten Kapitalkosten diskontiert.</t>
  </si>
  <si>
    <t>Unsere Modelle verwenden ausschließlich eigens hergeleitete "Bottom-Up-Beta", niemals das Regressionsbeta der einzelnen Aktie, ein aus unserer Sicht ungeeignetes Risikomaß.</t>
  </si>
  <si>
    <t>Verhältnis Kurs / Wert</t>
  </si>
  <si>
    <t>davon aktiv gehandelt (Freefloat)</t>
  </si>
  <si>
    <t xml:space="preserve">Marktkapitalisierung </t>
  </si>
  <si>
    <t>Umsatz der letzten vier Quartale</t>
  </si>
  <si>
    <t>EBIT der letzten vier Quartale</t>
  </si>
  <si>
    <t>EBIT-Marge der letzten vier Quartale</t>
  </si>
  <si>
    <t>Umsatzerwartung LTM+2</t>
  </si>
  <si>
    <t>Umsatzerwartung LTM+3</t>
  </si>
  <si>
    <t>EBIT-Marge LTM+2</t>
  </si>
  <si>
    <t>EBIT-Marge LTM+3</t>
  </si>
  <si>
    <t>Erwartete Steuer im Verhältnis zu EBIT</t>
  </si>
  <si>
    <t>Aufschlag für besonderes Länderrisiko</t>
  </si>
  <si>
    <t>Resultierende Eigenkapitalkosten</t>
  </si>
  <si>
    <t>Fremdkapitalkosten zum Bewertungstichtag</t>
  </si>
  <si>
    <t>Grenzsteuersatz am Unternehmenssitz</t>
  </si>
  <si>
    <t>Fremdkapitalkosten nach Steuer</t>
  </si>
  <si>
    <t>Gewichtete Kapitalkosten (WACC)</t>
  </si>
  <si>
    <t>Gewichtete Kapitalkosten für die ewige Rente</t>
  </si>
  <si>
    <t>Kennzahlen der Peergroup</t>
  </si>
  <si>
    <t xml:space="preserve">Kurs / </t>
  </si>
  <si>
    <t>Gewinn</t>
  </si>
  <si>
    <t xml:space="preserve"> Buchwert</t>
  </si>
  <si>
    <t>Herleitung Diskontierungsfaktor</t>
  </si>
  <si>
    <r>
      <rPr>
        <b/>
        <sz val="7"/>
        <color theme="1"/>
        <rFont val="Calibri"/>
        <family val="2"/>
        <scheme val="minor"/>
      </rPr>
      <t xml:space="preserve">Umsatz und EBIT der Historie </t>
    </r>
    <r>
      <rPr>
        <sz val="7"/>
        <color theme="1"/>
        <rFont val="Calibri"/>
        <family val="2"/>
        <scheme val="minor"/>
      </rPr>
      <t xml:space="preserve">sind den veröffentlichten Berichten der Unternehmen zu entnehmen. 
Das Verhältnis von EBIT zu Umsatz ist die sog. EBIT-Marge.
Die drei Folgejahre mit der Endung </t>
    </r>
    <r>
      <rPr>
        <b/>
        <sz val="7"/>
        <color theme="1"/>
        <rFont val="Calibri"/>
        <family val="2"/>
        <scheme val="minor"/>
      </rPr>
      <t>e</t>
    </r>
    <r>
      <rPr>
        <sz val="7"/>
        <color theme="1"/>
        <rFont val="Calibri"/>
        <family val="2"/>
        <scheme val="minor"/>
      </rPr>
      <t xml:space="preserve"> basieren auf Analystenschätzungen für die Fiskaljahre.
Die </t>
    </r>
    <r>
      <rPr>
        <b/>
        <sz val="7"/>
        <color theme="1"/>
        <rFont val="Calibri"/>
        <family val="2"/>
        <scheme val="minor"/>
      </rPr>
      <t xml:space="preserve">Prognosen </t>
    </r>
    <r>
      <rPr>
        <sz val="7"/>
        <color theme="1"/>
        <rFont val="Calibri"/>
        <family val="2"/>
        <scheme val="minor"/>
      </rPr>
      <t xml:space="preserve">setzen auf die aktuellen Finanzdaten des Unternehmens auf.
Basis der </t>
    </r>
    <r>
      <rPr>
        <b/>
        <sz val="7"/>
        <color theme="1"/>
        <rFont val="Calibri"/>
        <family val="2"/>
        <scheme val="minor"/>
      </rPr>
      <t>Umsatzprognosen</t>
    </r>
    <r>
      <rPr>
        <sz val="7"/>
        <color theme="1"/>
        <rFont val="Calibri"/>
        <family val="2"/>
        <scheme val="minor"/>
      </rPr>
      <t xml:space="preserve"> ist daher eine Addition der Umsätze der letzten 4 Quartale (LTM).</t>
    </r>
    <r>
      <rPr>
        <b/>
        <u/>
        <sz val="7"/>
        <color theme="1"/>
        <rFont val="Calibri"/>
        <family val="2"/>
        <scheme val="minor"/>
      </rPr>
      <t xml:space="preserve">
</t>
    </r>
    <r>
      <rPr>
        <sz val="7"/>
        <color theme="1"/>
        <rFont val="Calibri"/>
        <family val="2"/>
        <scheme val="minor"/>
      </rPr>
      <t xml:space="preserve">Fällt das Datum des letzten Quartalsberichtes auf das Datum des Fiskaljahres,
entspricht der </t>
    </r>
    <r>
      <rPr>
        <b/>
        <sz val="7"/>
        <color theme="1"/>
        <rFont val="Calibri"/>
        <family val="2"/>
        <scheme val="minor"/>
      </rPr>
      <t>Umsatz LTM</t>
    </r>
    <r>
      <rPr>
        <sz val="7"/>
        <color theme="1"/>
        <rFont val="Calibri"/>
        <family val="2"/>
        <scheme val="minor"/>
      </rPr>
      <t xml:space="preserve"> (Last Twelve Month) dem Umsatz gemäß letztem Jahresabschluss.
Die U</t>
    </r>
    <r>
      <rPr>
        <b/>
        <sz val="7"/>
        <color theme="1"/>
        <rFont val="Calibri"/>
        <family val="2"/>
        <scheme val="minor"/>
      </rPr>
      <t>msätze</t>
    </r>
    <r>
      <rPr>
        <sz val="7"/>
        <color theme="1"/>
        <rFont val="Calibri"/>
        <family val="2"/>
        <scheme val="minor"/>
      </rPr>
      <t xml:space="preserve"> werden anhand der gewählten jährlichen </t>
    </r>
    <r>
      <rPr>
        <b/>
        <sz val="7"/>
        <color theme="1"/>
        <rFont val="Calibri"/>
        <family val="2"/>
        <scheme val="minor"/>
      </rPr>
      <t>Wachstumsraten</t>
    </r>
    <r>
      <rPr>
        <sz val="7"/>
        <color theme="1"/>
        <rFont val="Calibri"/>
        <family val="2"/>
        <scheme val="minor"/>
      </rPr>
      <t xml:space="preserve"> prognostiziert.
Die </t>
    </r>
    <r>
      <rPr>
        <b/>
        <sz val="7"/>
        <color theme="1"/>
        <rFont val="Calibri"/>
        <family val="2"/>
        <scheme val="minor"/>
      </rPr>
      <t>EBIT-Reihe</t>
    </r>
    <r>
      <rPr>
        <sz val="7"/>
        <color theme="1"/>
        <rFont val="Calibri"/>
        <family val="2"/>
        <scheme val="minor"/>
      </rPr>
      <t xml:space="preserve"> der Prognose ermittelt sich auf Basis der gewählten jährlichen </t>
    </r>
    <r>
      <rPr>
        <b/>
        <sz val="7"/>
        <color theme="1"/>
        <rFont val="Calibri"/>
        <family val="2"/>
        <scheme val="minor"/>
      </rPr>
      <t>EBIT-Marge</t>
    </r>
    <r>
      <rPr>
        <sz val="7"/>
        <color theme="1"/>
        <rFont val="Calibri"/>
        <family val="2"/>
        <scheme val="minor"/>
      </rPr>
      <t xml:space="preserve">.
Die </t>
    </r>
    <r>
      <rPr>
        <b/>
        <sz val="7"/>
        <color theme="1"/>
        <rFont val="Calibri"/>
        <family val="2"/>
        <scheme val="minor"/>
      </rPr>
      <t>Position "Sonst"</t>
    </r>
    <r>
      <rPr>
        <sz val="7"/>
        <color theme="1"/>
        <rFont val="Calibri"/>
        <family val="2"/>
        <scheme val="minor"/>
      </rPr>
      <t xml:space="preserve"> beinhaltet Positionen, die im operativen EBIT nicht enthalten sind.
Vorgenanntes kann erfolgen, sofern die Historie unentwegt jährliche Sondereffkte ausweist.
Die </t>
    </r>
    <r>
      <rPr>
        <b/>
        <sz val="7"/>
        <color theme="1"/>
        <rFont val="Calibri"/>
        <family val="2"/>
        <scheme val="minor"/>
      </rPr>
      <t>Steuerzahlungen</t>
    </r>
    <r>
      <rPr>
        <sz val="7"/>
        <color theme="1"/>
        <rFont val="Calibri"/>
        <family val="2"/>
        <scheme val="minor"/>
      </rPr>
      <t xml:space="preserve"> ergeben sich auf Basis der gewählten Steuerquoten (S-Quote).
Da die Bemessungsbasis </t>
    </r>
    <r>
      <rPr>
        <b/>
        <sz val="7"/>
        <color theme="1"/>
        <rFont val="Calibri"/>
        <family val="2"/>
        <scheme val="minor"/>
      </rPr>
      <t>EBIT-T</t>
    </r>
    <r>
      <rPr>
        <sz val="7"/>
        <color theme="1"/>
        <rFont val="Calibri"/>
        <family val="2"/>
        <scheme val="minor"/>
      </rPr>
      <t xml:space="preserve"> den steuerlich abzugsfähigen Zinsaufwand nicht inkludiert,
wird im Diskontierungsfaktor methodengerecht ein sog. "</t>
    </r>
    <r>
      <rPr>
        <b/>
        <sz val="7"/>
        <color theme="1"/>
        <rFont val="Calibri"/>
        <family val="2"/>
        <scheme val="minor"/>
      </rPr>
      <t>Tax-Shield</t>
    </r>
    <r>
      <rPr>
        <sz val="7"/>
        <color theme="1"/>
        <rFont val="Calibri"/>
        <family val="2"/>
        <scheme val="minor"/>
      </rPr>
      <t xml:space="preserve">" berücksichtigt.
</t>
    </r>
    <r>
      <rPr>
        <b/>
        <sz val="7"/>
        <color theme="1"/>
        <rFont val="Calibri"/>
        <family val="2"/>
        <scheme val="minor"/>
      </rPr>
      <t xml:space="preserve">Nettoinvestitionen </t>
    </r>
    <r>
      <rPr>
        <sz val="7"/>
        <color theme="1"/>
        <rFont val="Calibri"/>
        <family val="2"/>
        <scheme val="minor"/>
      </rPr>
      <t xml:space="preserve">umfassen Investitionen in das Anlage- und Umlaufvermögen, saldiert um Abschreibungen und  Amortisation. Unternehmensakquisitionen sind darin enthalten. 
</t>
    </r>
    <r>
      <rPr>
        <b/>
        <sz val="7"/>
        <color theme="1"/>
        <rFont val="Calibri"/>
        <family val="2"/>
        <scheme val="minor"/>
      </rPr>
      <t>FCFF</t>
    </r>
    <r>
      <rPr>
        <sz val="7"/>
        <color theme="1"/>
        <rFont val="Calibri"/>
        <family val="2"/>
        <scheme val="minor"/>
      </rPr>
      <t xml:space="preserve"> ist der resultierende freie Cashflow vor Zins- und Tilgungszahlungen des Unternehmens und steht den Kapitalgebern (Aktionäre und Fremdkapitalgeber) zur Verfügung. 
Die </t>
    </r>
    <r>
      <rPr>
        <b/>
        <sz val="7"/>
        <color theme="1"/>
        <rFont val="Calibri"/>
        <family val="2"/>
        <scheme val="minor"/>
      </rPr>
      <t>R-Rate (Reinvestitionsquote)</t>
    </r>
    <r>
      <rPr>
        <sz val="7"/>
        <color theme="1"/>
        <rFont val="Calibri"/>
        <family val="2"/>
        <scheme val="minor"/>
      </rPr>
      <t xml:space="preserve"> ist das Verhältnis von EBIT-T (exkl. Sonst.) zu Umsatz. 
Die jährlichen Nettoinvestitionen erhöhen das jährlich investierte Kapital ("Capital Employed").
</t>
    </r>
    <r>
      <rPr>
        <b/>
        <sz val="7"/>
        <color theme="1"/>
        <rFont val="Calibri"/>
        <family val="2"/>
        <scheme val="minor"/>
      </rPr>
      <t>ROCE</t>
    </r>
    <r>
      <rPr>
        <sz val="7"/>
        <color theme="1"/>
        <rFont val="Calibri"/>
        <family val="2"/>
        <scheme val="minor"/>
      </rPr>
      <t xml:space="preserve"> ("Return on Capital Employed") bezieht EBIT-T (exkl. Sonst.) auf das investierte Kapital.
</t>
    </r>
    <r>
      <rPr>
        <b/>
        <sz val="7"/>
        <color theme="1"/>
        <rFont val="Calibri"/>
        <family val="2"/>
        <scheme val="minor"/>
      </rPr>
      <t>WACC</t>
    </r>
    <r>
      <rPr>
        <sz val="7"/>
        <color theme="1"/>
        <rFont val="Calibri"/>
        <family val="2"/>
        <scheme val="minor"/>
      </rPr>
      <t xml:space="preserve"> sind die (für das Eigen- und Fremdkapital) </t>
    </r>
    <r>
      <rPr>
        <b/>
        <sz val="7"/>
        <color theme="1"/>
        <rFont val="Calibri"/>
        <family val="2"/>
        <scheme val="minor"/>
      </rPr>
      <t>gewichteten Kapitalkosten</t>
    </r>
    <r>
      <rPr>
        <sz val="7"/>
        <color theme="1"/>
        <rFont val="Calibri"/>
        <family val="2"/>
        <scheme val="minor"/>
      </rPr>
      <t xml:space="preserve"> (Diskontierungsfaktor) und werden für jedes Unternehmen und zum Bewertungsstichtag neu hergeleitet. 
WACC inkludieren Marktrisiko, Länderrisiko und das relative, systematische Risiko des Unternehmens auf Basis sog. Bottom-Up Beta der jeweiligen Industrien (siehe Methodik).
Der "Terminal Value" und die erwartete FCFF-Reihe wird mit Hilfe der gewichteten </t>
    </r>
    <r>
      <rPr>
        <b/>
        <sz val="7"/>
        <color theme="1"/>
        <rFont val="Calibri"/>
        <family val="2"/>
        <scheme val="minor"/>
      </rPr>
      <t>Kapitalkosten</t>
    </r>
    <r>
      <rPr>
        <sz val="7"/>
        <color theme="1"/>
        <rFont val="Calibri"/>
        <family val="2"/>
        <scheme val="minor"/>
      </rPr>
      <t xml:space="preserve"> auf den Bewertungsstichtag risikoangemessen diskontiert (Present Value, kurz "PV").</t>
    </r>
  </si>
  <si>
    <t>Herleitung Risikoprämie</t>
  </si>
  <si>
    <t>Rating AAA</t>
  </si>
  <si>
    <t>Rest</t>
  </si>
  <si>
    <t>Umsatzanteil</t>
  </si>
  <si>
    <t>CDS</t>
  </si>
  <si>
    <t>Risikoprämie</t>
  </si>
  <si>
    <t>Kontrolle</t>
  </si>
  <si>
    <t>Historische Geschäftsentwicklung</t>
  </si>
  <si>
    <t>Relatives Risiko (relevered Beta der Industrie)</t>
  </si>
  <si>
    <t>Aktienrisikoprämie der Absatzregionen</t>
  </si>
  <si>
    <t>Unternehmenswert (Enterprise Value)</t>
  </si>
  <si>
    <t>Wert des Eigenkapitals (Equity Value)</t>
  </si>
  <si>
    <t>Analystenmeinungen</t>
  </si>
  <si>
    <t>Fortschreibungswert (Terminal Value)</t>
  </si>
  <si>
    <t>Diskontierungsfaktoren</t>
  </si>
  <si>
    <t>Erwartete Dividendenrendite</t>
  </si>
  <si>
    <t>Umsatzerwartung für 4 Quartale (LTM+1)</t>
  </si>
  <si>
    <t>Erwartete EBIT-Marge für nächste 4 Quartale</t>
  </si>
  <si>
    <t>Erwartete Nettoinvestitionen / EBIT-T</t>
  </si>
  <si>
    <t>Barwert freier Cashflows über 10 Jahre</t>
  </si>
  <si>
    <r>
      <t>Barwert Fortschreibungswert</t>
    </r>
    <r>
      <rPr>
        <sz val="8"/>
        <color theme="1"/>
        <rFont val="Calibri"/>
        <family val="2"/>
        <scheme val="minor"/>
      </rPr>
      <t xml:space="preserve"> (Terminal Value)</t>
    </r>
  </si>
  <si>
    <t>Finanzforderungen &amp; Anzahlungen</t>
  </si>
  <si>
    <t>Langfr. Passive Abgrenzungen &amp; Sonstiges</t>
  </si>
  <si>
    <t>1. Aktuelle Ergebnisse</t>
  </si>
  <si>
    <t>2. Historische Geschäftsentwicklung</t>
  </si>
  <si>
    <t>Erläuterung unserer Unternehmensbewertung</t>
  </si>
  <si>
    <t>LTM steht für "Last Twelve Months" und addiert die letzten vier Quartalsberichte, um eine aktuelle Jahresbetrachtung zu ermöglichen.</t>
  </si>
  <si>
    <t>Steuern</t>
  </si>
  <si>
    <t>Kalkulierte Nettoinvestitionen</t>
  </si>
  <si>
    <t>Herleitung der Nettoinvestitionen</t>
  </si>
  <si>
    <t>Herleitung und Begründung</t>
  </si>
  <si>
    <t>Fremkapitalkosten</t>
  </si>
  <si>
    <t>Erläuterungen zum Bewertungsergebnis</t>
  </si>
  <si>
    <t>Methodengerecht passen wir das Beta der konkreten Verschuldungsquote an ("levered Beta") und jedem Unternehmen wird ein individuell begründetes und einzupreisendes Risiko beigemessen.</t>
  </si>
  <si>
    <t>Zusätzlich analysieren wir die Passivseite der Bilanzen, um in der sogenannten "Equity Bridge" ggf. weitere Positionen zu berücksichtigen.</t>
  </si>
  <si>
    <t>Delta?</t>
  </si>
  <si>
    <t xml:space="preserve">Wir führen nachgewiesen professionelle Unternehmensbewertungen durch, um die Aussagen von Analysten und künstlicher Intelligenz zu hinterfragen. Wir lösen uns von einer Meinungsbildung anhand von Kennzahlen oder Charttechnik und bewerten Unternehmen mit Hilfe detaillierter "Discounted Cashflow Modelle" analog Wirtschaftsprüfer, Rating-Agenturen und Investmentbanken. Als Verfechter des Value-Investing berechnen wir den inneren Wert der Aktie auf Basis von Cashflows, Wachstum und Risiko. </t>
  </si>
  <si>
    <t>R</t>
  </si>
  <si>
    <t>Watchlist</t>
  </si>
  <si>
    <t>Datenquelle</t>
  </si>
  <si>
    <t>Es ist Teil der Bewertungsmechanik, steuerlich abzugsfähige Zinsen in der Bemessungsgrundlage (EBIT) unberücksichtigt zu lassen, da dies im Diskontierungsfaktor abgebildet wird ("tax shield").</t>
  </si>
  <si>
    <t>Gemäß Bewertungslehre unterstellen wir den ewigen Fortbestand des Unternehmens und verweisen darauf, dass ein weit in der Zukunft liegender Cashflow den Barwert kaum beeinflusst.</t>
  </si>
  <si>
    <t>In vorgenannten Fällen achten wir auf etwaige Gegenpositionen auf der Aktivseite der Bilanz (Finanzforderungen) und saldieren die Beträge in der Equity Bridge unter der Position Sonstiges.</t>
  </si>
  <si>
    <t>Unser PAID Newsletter macht die Methodik transparent</t>
  </si>
  <si>
    <t>Wir analysieren die Historie des Unternehmens und berücksichtigen die Prognosen zur Geschäftsentwicklung seitens des Managements und professioneller Analysten. Entscheidend ist die Ertragskraft des Unternehmens unter Berücksichtigung von Wachstumsraten, Margen, Steuern und Investitionen. In unseren Diskontierungsfaktoren wird jedem Unternehmen ein individuell hergeleitetes Risiko beigemessen. Neben dem jeweils aktuellen Zinsniveau, beachten wir das systematische Risiko der Branchen des Unternehmens und das Länderrisiko des Heimatsitzes und der Absatzregionen anhand der am Kapitalmarkt gehandelten "Credit Default Swaps". Die Vorgehensweise ist in Theorie und Praxis anerkannt. Methodengerecht berücksichtigen wir die Nettoverschuldung des Unternehmens sowie weitere Positionen wie etwa ungedeckte Pensionsverpflichtungen, werthaltige Beteiligungen oder Minoritäten, die konsolidiert wurden. Wir erläutern unsere Modelle im Detail und stellen uns kritischen Fragen unseres Publikums.
Unser Ergebnis kann mit dem aktuellen Börsenkurs verglichen werden, der häufig durch Marktstimmung geprägt ist.</t>
  </si>
  <si>
    <t>Jeder PAID Newsletter enthält die Ergebnisse der professionellen Bewertung eines börsennotierten Unternehmes</t>
  </si>
  <si>
    <t>Anteil aktiv gehandelter Aktien (Freefloat)</t>
  </si>
  <si>
    <t>In jedem PAID Post beschäftigen wir uns mit einem börsennotierten Unternehmen, legen unsere gesamte Unternehmensbewertung offen und beziffern den resultierenden Wert je Aktie. Dieser sog. ""innere Wert"" je Aktie, kann mit dem aktuellen Börsenkurs verglichen werden. So stellen wir mit jedem PAID Newsletter-Post Über- oder Unterbewertung als Entscheidungsgrundlage zur Verfügung.
Unsere Ergebnisse enthalten eine Übersicht relevanter Kennzahlen und einen Vergleich mit meist 10 vergleichbaren Unternehmen (""Peer Group""). Ferner legen wir die Zielkurse namhafter Analysten offen, wobei die Interessen der Finanzindustrie stets bedacht werden sollten. Wir bewerten Unternehmen zur Gänze unabhängig, erläutern unsere Modelle im Detail und stellen uns Euren kritischen Fragen.
Vielen Dank fürs Lesen! Abonnieren Sie unseren Newsletter, um neue Beiträge zu erhalten. Wenn Sie den kostenpflichtigen Newsletter abonnieren, erhalten Sie jeden Monat aktuelle DCF-Bewertungen börsennotierter Unternehmen und unterstützen damit unsere Arbeit. Bleiben Sie beim Value Investing. Wir freuen uns auf Ihr Feedback.</t>
  </si>
  <si>
    <t>Lesen Sie weiter, wenn Sie nachvollziehen möchten, wie wir den inneren Wert der Aktie berechnen.</t>
  </si>
  <si>
    <t>Ist die Aktie ein Kauf oder ein Verkauf?</t>
  </si>
  <si>
    <t>Wir berechnen, ob eine Unter- oder Überbewertung vorliegt.</t>
  </si>
  <si>
    <t>Unternehmenswert</t>
  </si>
  <si>
    <r>
      <t xml:space="preserve">/ EBITDA </t>
    </r>
    <r>
      <rPr>
        <b/>
        <sz val="6"/>
        <color theme="4" tint="-0.249977111117893"/>
        <rFont val="Calibri"/>
        <family val="2"/>
        <scheme val="minor"/>
      </rPr>
      <t>LTM</t>
    </r>
  </si>
  <si>
    <t>Hoch</t>
  </si>
  <si>
    <t>Tief</t>
  </si>
  <si>
    <t>Schnitt</t>
  </si>
  <si>
    <t>Eine dezidierte Investitionsplanung des Managements steht nicht zur Verfügung, eine Prognose von Abschreibungen und Amortisation wäre nicht sinnvoll möglich.</t>
  </si>
  <si>
    <t>Nettoinvestitionen umfassen Investitionen in das Anlage- und Umlaufvermögen, saldiert um Abschreibungen und Amortisation.</t>
  </si>
  <si>
    <t>Die Prognose von EBITDA und Abschreibungen, oder Berechnungen zur Entwicklung von Umlaufvermögen als Zwischenschritte unterlassen wir, es wäre eine Scheingenauigkeit.</t>
  </si>
  <si>
    <t>Plausibler Umsatz in 10 Jahren</t>
  </si>
  <si>
    <t>Plausible EBIT-Marge in 10 Jahren</t>
  </si>
  <si>
    <t>Der Barwert des Terminal Value und der Barwert aller diskontierten Cashflows addieren sich zum schuldenfreien Unternehmenswert ("Enterprise Value").</t>
  </si>
  <si>
    <t>Kennzahlen per</t>
  </si>
  <si>
    <t>Sensitivitätsanalyse</t>
  </si>
  <si>
    <t>no change</t>
  </si>
  <si>
    <t>Margin</t>
  </si>
  <si>
    <t>Sales</t>
  </si>
  <si>
    <t>EBIT/Revenue
LTM</t>
  </si>
  <si>
    <t>Grundmodell = NL</t>
  </si>
  <si>
    <t>n/a</t>
  </si>
  <si>
    <t>Delta (1) zu NL</t>
  </si>
  <si>
    <t>Delta vs Grundmodell</t>
  </si>
  <si>
    <t>Update Market Value</t>
  </si>
  <si>
    <t>Unternehmensprofil</t>
  </si>
  <si>
    <r>
      <rPr>
        <sz val="6"/>
        <color theme="0" tint="-0.499984740745262"/>
        <rFont val="Calibri"/>
        <family val="2"/>
      </rPr>
      <t xml:space="preserve">3J Ist </t>
    </r>
    <r>
      <rPr>
        <sz val="6"/>
        <color theme="0" tint="-0.34998626667073579"/>
        <rFont val="Calibri"/>
        <family val="2"/>
        <scheme val="minor"/>
      </rPr>
      <t>/ 3J Consensus</t>
    </r>
  </si>
  <si>
    <t>sum</t>
  </si>
  <si>
    <t>Alternative Herleitungn</t>
  </si>
  <si>
    <t>mit Hilfe der Reinvestitionsquote der Industrie (Benchmark)</t>
  </si>
  <si>
    <t>mit Hilfe der Reinvestitionsquote des Unternehmens (Summe 10 Fiskaljahre)</t>
  </si>
  <si>
    <t>mit Hilfe der Reinvestitionsquote des Unternehmens (Summe 5 Fiskaljahre)</t>
  </si>
  <si>
    <t>Herleitung der Nettoinvestitionen:</t>
  </si>
  <si>
    <t>Neben diesen Veränderungen beim Umsatz betrachten wir die erzielten operativen Margen.</t>
  </si>
  <si>
    <t>Überblick zur Unternehmensbewertung</t>
  </si>
  <si>
    <t>Planungsprämissen zum Discounted Cashflow Modell</t>
  </si>
  <si>
    <t>Relevered Beta der relevanten Industrien</t>
  </si>
  <si>
    <t>Coverage Report</t>
  </si>
  <si>
    <t>KGV</t>
  </si>
  <si>
    <t>Die zukünftig notwendigen Nettoinvestitionen wurden wie folgt berechnet:</t>
  </si>
  <si>
    <t>Meta wird weiterhin erheblich investieren und wachsen. Nach der jüngsten Erholung des Börsenkurses, halten wir den aktuellen Kursanstieg jedoch für zu teuer.</t>
  </si>
  <si>
    <t>Das Unternehmen
Meta Platforms, Inc. hat sich von einem Netzwerkbetreiber zu einem globalen Plattformkonzern für digitale Kommunikation, Werbung und künstliche Intelligenz entwickelt; mit Facebook, Instagram und WhatsApp kontrolliert das Unternehmen einige der weltweit relevantesten digitalen Reichweiten.
Auf Basis der letzten vier Quartale steht Meta für einen Jahresumsatz von USD 200.966 Millionen, ein operatives Ergebnis von USD 84.076 Millionen und eine operative Marge von 41,8%, was die außergewöhnliche Ertragskraft des Kerngeschäfts klar sichtbar macht.
Aktuelle Entwicklungen
Meta treibt die Einbindung von Meta AI in seine Apps und Geräte sichtbar voran und erweitert dafür das Angebot an Echtzeitinhalten durch Partnerschaften mit internationalen Medienhäusern.
Jüngst rückte der Konzern zudem mit Personalmaßnahmen und anhaltendem regulatorischem Druck in den Fokus, was zeigt, dass die strategische Neuausrichtung in einem anspruchsvollen Umfeld stattfindet.
Wettbewerbsumfeld
Die Branche verschiebt sich mit hoher Geschwindigkeit in Richtung KI-gestützter Werbeautomatisierung, während Kurzvideo-Plattformen, Suchanbieter und große digitale Ökosysteme immer intensiver um Werbebudgets und Nutzeraufmerksamkeit konkurrieren.
Meta geht aus dieser Phase mit einer starken Wettbewerbsposition hervor, weil die Breite seines App-Ökosystems, die hohe Akzeptanz automatisierter Werbelösungen und die Dynamik im digitalen Werbemarkt den Konzern inzwischen sogar in direkte Schlagdistanz zu Google bringen.
Warum eine Bewertung der Aktie jetzt sinnvoll ist
Gerade jetzt ist eine professionelle Bewertung der Aktie sinnvoll, weil sich bei Meta KI-Chancen, operative Eingriffe in die Kostenbasis und regulatorische Risiken gleichzeitig im Unternehmenswert bündeln.
Bei kaum einem anderen Technologiekonzern entscheidet der richtige Bewertungsrahmen derzeit so stark darüber, ob eine dominante Marktstellung bereits vollständig eingepreist ist oder noch substanzielles Aufwärtspotenzial für neue Aktionäre eröffnet.</t>
  </si>
  <si>
    <t>Werttreiber
Enorme Reichweite über Facebook, Instagram und WhatsApp schafft einen seltenen Zugang zu Nutzern in mehreren zentralen digitalen Kommunikationskanälen.
KI-gestützte Werbeautomatisierung verbessert die Aussteuerung, Personalisierung und Effizienz von Kampagnen und erhöht damit die Relevanz der Plattform für Werbekunden.
Die Einbindung von Meta AI in die eigenen Produkte stärkt die Nutzerbindung und erweitert die strategische Kontrolle über künftige Such-, Assistenz- und Empfehlungsszenarien.
Die Breite des App-Ökosystems schafft hohe Eintrittsbarrieren, weil Reichweite, Datenbasis und technische Infrastruktur nur schwer zu replizieren sind.
Die starke Stellung im digitalen Werbemarkt verbessert die Ausgangslage im Wettbewerb um Budgets, Aufmerksamkeit und Werbewirkung.
Aktienkursentwicklung
Die Aktie hat sich nach schwächeren Niveaus zu Monatsbeginn deutlich erholt und ist von Kursen um USD 573 Anfang April über einen kräftigen Zwischenschritt auf USD 612 bis auf den aktuellen Börsenkurs von USD 676,87 gestiegen.
Damit notiert das Papier klar unter dem 52-Wochen-Hoch von USD 796,25, bewegt sich aber zugleich spürbar über dem unteren Bereich der 52-Wochen-Spanne, was auf eine Erholung mit noch bestehendem Abstand zum früheren Spitzenkurs hindeutet.
Im aktuellen Kursbild zeigt sich damit ein Titel, der sich wieder gefestigt hat, dessen Bewertung am Markt aber noch nicht an das frühere Hoch heranreicht; genau diese Konstellation macht die weitere Kursentwicklung besonders beobachtenswert.</t>
  </si>
  <si>
    <t>Das Unternehmen
Meta Platforms, Inc. ist ein globaler Plattformkonzern für digitale Kommunikation, Werbung und künstliche Intelligenz und prägt mit Facebook, Instagram und WhatsApp zentrale Nutzungsgewohnheiten im Internet. Auf Basis der letzten vier Quartale steht das Unternehmen für einen Jahresumsatz von USD 200.966 Millionen, ein operatives Ergebnis von USD 84.076 Millionen und eine operative Marge von 41,8%. Strategisch richtet Meta den Konzern derzeit noch stärker auf KI-gestützte Produkterlebnisse, automatisierte Werbelösungen und den Ausbau von Echtzeitinhalten aus, während sich die Branche insgesamt mit hohem Tempo in Richtung KI-basierter Werbeaussteuerung und intensiverem Wettbewerb um digitale Werbebudgets bewegt.
Aktuelle Entwicklungen
Meta erweitert aktuell die Fähigkeiten von Meta AI durch neue Inhalte und Partnerschaften mit internationalen Medienhäusern und verankert KI damit tiefer in den eigenen Apps und Endgeräten. Parallel verschärft sich im Branchenumfeld der Wettbewerb zwischen großen Plattformen, weil Werbekunden zunehmend Systeme bevorzugen, die Kampagnen automatisiert erstellen, personalisieren und optimieren; genau in diesem Wandel zählt Meta derzeit zu den strategisch am stärksten positionierten Anbietern.</t>
  </si>
  <si>
    <t>3 Jahre Kursentwicklung in USD</t>
  </si>
  <si>
    <t>USD</t>
  </si>
  <si>
    <t>Aktienkurs USD</t>
  </si>
  <si>
    <t>2026e</t>
  </si>
  <si>
    <t>2027e</t>
  </si>
  <si>
    <t>2028e</t>
  </si>
  <si>
    <t>www.meta.com</t>
  </si>
  <si>
    <t>AA-</t>
  </si>
  <si>
    <t>in Mio. USD</t>
  </si>
  <si>
    <t>US30303M1027</t>
  </si>
  <si>
    <t>Meta Platforms, Inc. engages in the development of products that enable people to connect and share with friends and family through mobile devices, personal computers, virtual reality (VR) headsets, and AI glasses in the United States, Canada, Europe, Asia-Pacific, and internationally. It operates through two segments, Family of Apps (FoA) and Reality Labs (RL). The FoA segment offers Facebook, which enables people to build community through feed, reels, stories, groups, marketplace, and other; Instagram that brings people closer through Instagram feed, stories, reels, live, and messaging; Messenger, a messaging application for people to connect with friends, family, communities, and businesses across platforms and devices through text, audio, and video calls; Meta AI, an assistant that's available across apps, as a stand-alone app, on AI glasses, and on the web; Threads, an application for text-based updates and public conversations; and WhatsApp, a messaging application that is used by people and businesses to communicate and transact in a private way. The RL segment provides virtual and augmented reality products, including consumer hardware, software, and content that help people feel connected anytime and anywhere, as well as Meta Quest devices that enable social experiences across gaming, fitness, entertainment, and more. The segment also includes wearables such as AI glasses like Ray Ban Meta and Oakley Meta glasses, featuring Meta AI for advanced conversational and hands free interaction; and the Meta Ray Ban Display, which combines AI glasses with an integrated lens display and the Meta Neural Band, a wrist worn device using electromyography that lets people control their AI glasses through neuromuscular signals. Meta Platforms, Inc. has a collaboration with Microsoft Corporation, NVIDIA Corporation, Advanced Micro Devices, Inc., Broadcom Inc., and OpenAI, L.L.C. The company was formerly known as Facebook, Inc. and changed its name to Meta Platforms, Inc. in October 2021. The company was incorporated in 2004 and is headquartered in Menlo Park, California.</t>
  </si>
  <si>
    <t>IQ20765463</t>
  </si>
  <si>
    <t>In Equity Bridge YCV</t>
  </si>
  <si>
    <t>Equity Bridge exkl.   a) Marktwert Fredmdkapital    b) Verlorene Rechtstreite    c) Wert Eigenkapitaloptionen</t>
  </si>
  <si>
    <t>separat aufgeführt</t>
  </si>
  <si>
    <t>+</t>
  </si>
  <si>
    <t>-</t>
  </si>
  <si>
    <t>Sector</t>
  </si>
  <si>
    <t>Primary Industry I</t>
  </si>
  <si>
    <t>Primary Sales Segment I</t>
  </si>
  <si>
    <t>Incorporation</t>
  </si>
  <si>
    <t>Currency Filing</t>
  </si>
  <si>
    <t>Currency IQ Estimates</t>
  </si>
  <si>
    <t>Rating S&amp;P</t>
  </si>
  <si>
    <t>Altman
Z Score</t>
  </si>
  <si>
    <t>Company Website</t>
  </si>
  <si>
    <t>Business
Description</t>
  </si>
  <si>
    <t>Actual
Share Price</t>
  </si>
  <si>
    <t>52W Low</t>
  </si>
  <si>
    <t>52W High</t>
  </si>
  <si>
    <t>Consensus
Low</t>
  </si>
  <si>
    <t>Consensus
Median</t>
  </si>
  <si>
    <t>Consensus
High</t>
  </si>
  <si>
    <t>Latest 
Fiscal Year</t>
  </si>
  <si>
    <t>Spalte</t>
  </si>
  <si>
    <t>Date 
LTM</t>
  </si>
  <si>
    <t>Shares Outstanding</t>
  </si>
  <si>
    <t>Market Cap
in Mio.</t>
  </si>
  <si>
    <t xml:space="preserve">Net Debt
</t>
  </si>
  <si>
    <t>Total Cash &amp; 
ST Investm.</t>
  </si>
  <si>
    <t>Long Term Marketable Securities</t>
  </si>
  <si>
    <t xml:space="preserve">Total
Debt
</t>
  </si>
  <si>
    <t>MIN</t>
  </si>
  <si>
    <t>MAX</t>
  </si>
  <si>
    <t>Minority Interest</t>
  </si>
  <si>
    <t>Unearned Revenue +
Financial Receivables</t>
  </si>
  <si>
    <t>Unfunded Project Benefit Obligation</t>
  </si>
  <si>
    <t>Long-term Investments</t>
  </si>
  <si>
    <t>Dividende
Fiskaljahr</t>
  </si>
  <si>
    <t>Erwartete
Dividende</t>
  </si>
  <si>
    <t>5 Year Beta 
[Latest]</t>
  </si>
  <si>
    <t>5 Year Beta 
R2 [Latest]</t>
  </si>
  <si>
    <t>IQ_FY</t>
  </si>
  <si>
    <t>IQ_FY+1</t>
  </si>
  <si>
    <t>Periode</t>
  </si>
  <si>
    <t>IQ_NTM</t>
  </si>
  <si>
    <t>Nachfolge: NZ</t>
  </si>
  <si>
    <t>P/Diluted EPS Before Extra</t>
  </si>
  <si>
    <t>P/Normalized EPS</t>
  </si>
  <si>
    <t>P/BV</t>
  </si>
  <si>
    <t>Return on Capital S&amp;P</t>
  </si>
  <si>
    <t>Return on Equity S&amp;P</t>
  </si>
  <si>
    <t>Revenue</t>
  </si>
  <si>
    <t>IQ_FY-10</t>
  </si>
  <si>
    <t>IQ_FY-9</t>
  </si>
  <si>
    <t>IQ_FY-8</t>
  </si>
  <si>
    <t>IQ_FY-7</t>
  </si>
  <si>
    <t>IQ_FY-6</t>
  </si>
  <si>
    <t>IQ_FY-5</t>
  </si>
  <si>
    <t>IQ_FY-4</t>
  </si>
  <si>
    <t>IQ_FY-3</t>
  </si>
  <si>
    <t>IQ_FY-2</t>
  </si>
  <si>
    <t>IQ_FY-1</t>
  </si>
  <si>
    <t>LTM -1</t>
  </si>
  <si>
    <t>FY+4</t>
  </si>
  <si>
    <t>FY+5</t>
  </si>
  <si>
    <t>FY+6</t>
  </si>
  <si>
    <t>EBITDA
LTM</t>
  </si>
  <si>
    <t>Net Debt
/EBITDA
LTM</t>
  </si>
  <si>
    <t>ICR
LTM</t>
  </si>
  <si>
    <t>PEG-Ratio</t>
  </si>
  <si>
    <t>Revenue Countries Fiscal Year</t>
  </si>
  <si>
    <t>Revenue Fiscal Year of Countries</t>
  </si>
  <si>
    <t>Industries Fiscal Year</t>
  </si>
  <si>
    <t>Revenue Fiscal Year of Industries</t>
  </si>
  <si>
    <t>Fiscal Years Consenus</t>
  </si>
  <si>
    <t>Revenue
Consensus</t>
  </si>
  <si>
    <t>United States</t>
  </si>
  <si>
    <t>Canada</t>
  </si>
  <si>
    <t>Europe</t>
  </si>
  <si>
    <t>Asia-Pacific</t>
  </si>
  <si>
    <t>Rest of The World</t>
  </si>
  <si>
    <t>Segment Adjustment</t>
  </si>
  <si>
    <t>United States and Canada</t>
  </si>
  <si>
    <t>Asia-Pacific (Excl.China)</t>
  </si>
  <si>
    <t>China</t>
  </si>
  <si>
    <t>Sweden</t>
  </si>
  <si>
    <t>Interactive Media and Services</t>
  </si>
  <si>
    <t>Technology Hardware, Storage &amp; Peripherals</t>
  </si>
  <si>
    <t>Interactive Media &amp; Services</t>
  </si>
  <si>
    <t>0</t>
  </si>
  <si>
    <t>FY2026</t>
  </si>
  <si>
    <t>FY2027</t>
  </si>
  <si>
    <t>FY2028</t>
  </si>
  <si>
    <t>FY2029</t>
  </si>
  <si>
    <t>FY2030</t>
  </si>
  <si>
    <t>FY2031</t>
  </si>
  <si>
    <t>Inkl. operative Leasingaufwendungen (keine Bereinigung)</t>
  </si>
  <si>
    <t>EBIT
Consensus</t>
  </si>
  <si>
    <t>INC_TAX</t>
  </si>
  <si>
    <t>CapIQ Steuer</t>
  </si>
  <si>
    <t>Nettoinvestitionen = Veränderung Capital Employed</t>
  </si>
  <si>
    <t>Reinvest</t>
  </si>
  <si>
    <t>Summe 10yrs</t>
  </si>
  <si>
    <t>Operative
Nettoinvestitionen</t>
  </si>
  <si>
    <t>Change in Revenue Fiscal Year Median Consensus</t>
  </si>
  <si>
    <t>Delta 
Months
LTM/FY</t>
  </si>
  <si>
    <t>Change in Revenue LTM adjustment</t>
  </si>
  <si>
    <t>Change in Revenue to continue</t>
  </si>
  <si>
    <t>Terminal
Revenue
Growth "g"</t>
  </si>
  <si>
    <t>EBIT-Margin Fiscal Year Median Consensus</t>
  </si>
  <si>
    <t>total</t>
  </si>
  <si>
    <t>CDS AAA:</t>
  </si>
  <si>
    <t>Distribution of Fiscal Year Revenue to Countries</t>
  </si>
  <si>
    <t>CDS of country</t>
  </si>
  <si>
    <t>ERP of country</t>
  </si>
  <si>
    <t>SVerweis Watchlist</t>
  </si>
  <si>
    <t>Share incooperation</t>
  </si>
  <si>
    <t>Total</t>
  </si>
  <si>
    <t>Min</t>
  </si>
  <si>
    <t>Max.</t>
  </si>
  <si>
    <t>ERP
country adjusted</t>
  </si>
  <si>
    <t>ERP
incooperation</t>
  </si>
  <si>
    <t>ERP
YCV</t>
  </si>
  <si>
    <t>Distribution of Fiscal Year Revenue to Industries</t>
  </si>
  <si>
    <t>Unlevered Betas of industries</t>
  </si>
  <si>
    <t>TEV/Revenue of Industries</t>
  </si>
  <si>
    <t>TEV = Ratio * Revenue</t>
  </si>
  <si>
    <t>Weight of (TEV = Ratio * Revenue)</t>
  </si>
  <si>
    <t>Market Value</t>
  </si>
  <si>
    <t>Bottom Up Beta</t>
  </si>
  <si>
    <t>Signal bei &lt; 80% ERP</t>
  </si>
  <si>
    <t>Leverage
(D/E)</t>
  </si>
  <si>
    <t>Relevered
Beta inkl.
Aufschlag</t>
  </si>
  <si>
    <t>5 Year Beta 
[Latest]
Regression</t>
  </si>
  <si>
    <t>Terminal
Levered
Beta</t>
  </si>
  <si>
    <t>Risiko
Aufschlag</t>
  </si>
  <si>
    <t>Risk
Free
Rate</t>
  </si>
  <si>
    <t>Cost of Equity
inkl. Country Risk</t>
  </si>
  <si>
    <t>Cost of Equity
Terminal</t>
  </si>
  <si>
    <t>Cost
Margin</t>
  </si>
  <si>
    <t>Rating 
S&amp;P</t>
  </si>
  <si>
    <t>Cost of Debt according S&amp;P Rating</t>
  </si>
  <si>
    <t>Alternatives
Rating</t>
  </si>
  <si>
    <t>Cost of Debt Alternatives Rating</t>
  </si>
  <si>
    <t>Cost of Debt vor Aufschlag</t>
  </si>
  <si>
    <t>Cost of Debt pre tax</t>
  </si>
  <si>
    <t>Cost of Debt after tax</t>
  </si>
  <si>
    <t>wacc</t>
  </si>
  <si>
    <t>wacc
Terminal</t>
  </si>
  <si>
    <t>SVerweis auf Watchlist</t>
  </si>
  <si>
    <t>Frontend</t>
  </si>
  <si>
    <t>LTM + 1</t>
  </si>
  <si>
    <t>LTM + 2</t>
  </si>
  <si>
    <t>LTM + 3</t>
  </si>
  <si>
    <t>LTM + 4</t>
  </si>
  <si>
    <t>LTM + 5</t>
  </si>
  <si>
    <t>LTM + 6</t>
  </si>
  <si>
    <t>LTM + 7</t>
  </si>
  <si>
    <t>LTM + 8</t>
  </si>
  <si>
    <t>LTM + 9</t>
  </si>
  <si>
    <t>LTM + 10</t>
  </si>
  <si>
    <t>Revenue 
Growth</t>
  </si>
  <si>
    <t>EBIT-Margin</t>
  </si>
  <si>
    <t>EBIT-adjustments</t>
  </si>
  <si>
    <t>EBIT adjusted</t>
  </si>
  <si>
    <t>Tax-Rate</t>
  </si>
  <si>
    <t>ewige Rente</t>
  </si>
  <si>
    <t>EBIT-Marge korrigiert um Zinsen Operativer Leasingaufwand</t>
  </si>
  <si>
    <t>1.</t>
  </si>
  <si>
    <t>2.</t>
  </si>
  <si>
    <t>3.</t>
  </si>
  <si>
    <t>4.</t>
  </si>
  <si>
    <t>5.</t>
  </si>
  <si>
    <t>6.</t>
  </si>
  <si>
    <t>7.</t>
  </si>
  <si>
    <t>8.</t>
  </si>
  <si>
    <t>9.</t>
  </si>
  <si>
    <t>10.</t>
  </si>
  <si>
    <t>gewichtet</t>
  </si>
  <si>
    <t>EBIT-OL
/Revenue</t>
  </si>
  <si>
    <t>Capital Employed = Eigenkapital + Finanzverbindlichkeiten +Leasingverbindlichkeiten + Pensionsrückstellungen + Operatives Leasing kapitalisiert - Cash - Goodwill - latente Steuern - ARAP</t>
  </si>
  <si>
    <t>Capital
Employed</t>
  </si>
  <si>
    <t>bei negativer</t>
  </si>
  <si>
    <t>Umsatz / Kapital</t>
  </si>
  <si>
    <t>Umsatzentw.</t>
  </si>
  <si>
    <t>Sales/Capital</t>
  </si>
  <si>
    <t>Median
5yrs</t>
  </si>
  <si>
    <t>Median
10yrs</t>
  </si>
  <si>
    <t>Mittelwert
10yrs</t>
  </si>
  <si>
    <t>Statistische Auswertung zwecks Plausibilisierung der Kennziffer Umsatz / Capital Employed</t>
  </si>
  <si>
    <t>Umsatz/ 
Capital Employed</t>
  </si>
  <si>
    <t>Anzahl</t>
  </si>
  <si>
    <t>STABW</t>
  </si>
  <si>
    <t>Alpha</t>
  </si>
  <si>
    <t>Konfidenz</t>
  </si>
  <si>
    <t>unten</t>
  </si>
  <si>
    <t>Konf/Mittel</t>
  </si>
  <si>
    <t>oben</t>
  </si>
  <si>
    <t>Herleitung mit Hilfe Umsatz/Kapital</t>
  </si>
  <si>
    <t>Operative 
Netto-investition</t>
  </si>
  <si>
    <t>Statistische Auswertung zwecks Plausibilisierung ROCE</t>
  </si>
  <si>
    <t>Herleitung mit Hilfe ROCE</t>
  </si>
  <si>
    <t>Verteilung nach Umsatzanteil über 10 Jahre</t>
  </si>
  <si>
    <t>Capital IQ Company Screening Report &gt; Mammut</t>
  </si>
  <si>
    <t>Company Name</t>
  </si>
  <si>
    <t>Exchange:Ticker</t>
  </si>
  <si>
    <t>Identifier</t>
  </si>
  <si>
    <t>NasdaqGS:META</t>
  </si>
  <si>
    <t>I_US30303M1027</t>
  </si>
  <si>
    <t>Communication Services</t>
  </si>
  <si>
    <t>Calculation of terminal EBIT-Margin</t>
  </si>
  <si>
    <t>EBIT-Margin LTM adjustment</t>
  </si>
  <si>
    <t>Most relevant Industry</t>
  </si>
  <si>
    <t>Revenue
Fiscal Year</t>
  </si>
  <si>
    <t>EBIT-Margin
Median
10 yrs</t>
  </si>
  <si>
    <t>EBIT-Margin
Median
5 yrs</t>
  </si>
  <si>
    <t>EBIT-Margin Industry 
Mean</t>
  </si>
  <si>
    <t>EBIT-Margin
LTM +3</t>
  </si>
  <si>
    <t>EBIT-Margin
terminal
YCV</t>
  </si>
  <si>
    <t>Marginal
Tax Rate
Country</t>
  </si>
  <si>
    <t>R-Rate
Mean
10 yrs</t>
  </si>
  <si>
    <t>R-Rate
Median
Industry</t>
  </si>
  <si>
    <t>R-Rate
Median
YCV</t>
  </si>
  <si>
    <t>R-Rate
YCV
final</t>
  </si>
  <si>
    <t/>
  </si>
  <si>
    <t>R-Rates</t>
  </si>
  <si>
    <t>Barwert
Terminal Value</t>
  </si>
  <si>
    <t>Barwerte Cashflows</t>
  </si>
  <si>
    <t>Enterprise
Value</t>
  </si>
  <si>
    <t>Equity 
Bridge</t>
  </si>
  <si>
    <t>Equity
Value</t>
  </si>
  <si>
    <t>Statistische Auswertung zwecks Plausibilisierung der EBIT-Marge</t>
  </si>
  <si>
    <t>FY Cons 1</t>
  </si>
  <si>
    <t>FY Cons 2</t>
  </si>
  <si>
    <t>FY Cons 3</t>
  </si>
  <si>
    <t>FY Cons 4</t>
  </si>
  <si>
    <t>Net Capex
Consensus</t>
  </si>
  <si>
    <t>Net Capex
Consensus
angepasst</t>
  </si>
  <si>
    <t>Debt Value 
/ TEV</t>
  </si>
  <si>
    <t>Bottom-Up Beta</t>
  </si>
  <si>
    <t>Cost of Equity</t>
  </si>
  <si>
    <t>Value 
per share</t>
  </si>
  <si>
    <t>Price / Value
YCV</t>
  </si>
  <si>
    <t>Price / Value
Consensus
Median</t>
  </si>
  <si>
    <t>Watch-
list ?</t>
  </si>
  <si>
    <t>Ist das Unternehmen ein Wachstumstitel ?</t>
  </si>
  <si>
    <t>Umsatz
LTM/LTM-4</t>
  </si>
  <si>
    <t>Umsatz
IQ_FY/IQ_FY-1</t>
  </si>
  <si>
    <t>Umsatz
IQ_FY-1/IQ_FY-2</t>
  </si>
  <si>
    <t>Umsatz
IQ_FY-2/IQ_FY-3</t>
  </si>
  <si>
    <t>Meta Platforms, Inc.</t>
  </si>
  <si>
    <t>3 Jahre Kursentwicklung in USD - 200 Tage Linie - Handelsvolumen in Mio.</t>
  </si>
  <si>
    <t>Vereinigte Staaten</t>
  </si>
  <si>
    <t>Kapitalkosten USD</t>
  </si>
  <si>
    <t>Business Description</t>
  </si>
  <si>
    <t>Auf Basis der letzten vier Quartalsberichte erzielte das Unternehmen USD 200.966 Mio. Jahresumsatz und erwirtschaftete USD 84.076 Mio. operatives Ergebnis (EBIT).</t>
  </si>
  <si>
    <t>Der Börsenkurs zum Zeitpunkt unserer Bewertung in Höhe von USD 676,87 liegt um 15,0% unter dem Hoch der letzten 52 Wochen.</t>
  </si>
  <si>
    <t>Nachfolgend bieten wir eine Übersicht unserer Ergebnisse und erläutern die Methodik unserer intrinsischen Bewertung der Meta Platforms in USD.</t>
  </si>
  <si>
    <t>Demnach würde das operative Ergebnis vor Zinsen und Steuern im Fiskaljahr 2028e USD 118.644 Mio. betragen (EBIT).</t>
  </si>
  <si>
    <t>Analysten der Finanzindustrie sehen Zielkurse für die Aktie zwischen USD 614,00 und USD 1.015,00; der Median beträgt USD 857,50.</t>
  </si>
  <si>
    <t>Ausgangspunkt unserer Prognose für das DCF-Modell ist der zitierte Jahresumsatz in Höhe von USD 200.966 Mio. (LTM).</t>
  </si>
  <si>
    <t>Für die ewige Rente orientiert sich unsere Wachstumsrate am risikolosen Zins (USD) in Höhe von derzeit 4,3%, der aus unserer Sicht beste Indikator für das langfristige Wirtschaftswachstum.</t>
  </si>
  <si>
    <t>Unsere Überlegungen zur Entwicklung des Geschäftsvolumens führen zu einem geschätzten Umsatz in Höhe von USD 556.230 Mio. in 10 Jahren.</t>
  </si>
  <si>
    <t>Für die ewige Rente vertreten wir eine EBIT-Marge in Höhe von 33,2%; EBIT würde demnach im eingeschwungenen Zustand USD 192.844 Mio. betragen.</t>
  </si>
  <si>
    <t>Vor dem Hintergrund wiederholter Positionen unterhalb der EBIT-Reihe in der Historie, korrigieren wir EBIT über den Planungshorizont von 10 Jahren um insgesamt USD 2.084 Mio. Sondereffekte.</t>
  </si>
  <si>
    <t>Das DCF-Modell prognostiziert eine Veränderung des Umsatzes über 10 Jahre um 176,8% (Umsatz LTM+10 / Umsatz LTM).</t>
  </si>
  <si>
    <t>Wir unterstellen ein im Zeitablauf wachsendes Geschäftsvolumen und berücksichtigen notwendige Nettoinvestitionen.</t>
  </si>
  <si>
    <t>Das für die Planung auserwählte Verhältnis Umsatz/Kapital (LTM+10) beträgt 1,72. Die Auswahl erfolgt nach Analyse der Unternehmenshistorie (statistische Relevanz) im Vergleich zu Industriebenchmarks.</t>
  </si>
  <si>
    <t>Für die Planungsperioden werden die Umsatzzuwächse durch die Kennziffer Umsatz/Kapital dividiert. Die Berechnung lautet: (USD 580.259 - USD 250.864 Mio.) / 1,72.</t>
  </si>
  <si>
    <t>Der Prozentsatz drückt aus, wieviel vom operativen Ergebnis nach Steuer (EBIT-T) für Nettoinvestionen berücksichtigt wird.</t>
  </si>
  <si>
    <t>Im vorliegenden Fall wird berechnet: Terminal Value = USD 107.117 Mio. / (8,3% - 4,3%) = USD 2.694.558 Mio. (Unternehmenswert vor Finanzierung in 10 Jahren).</t>
  </si>
  <si>
    <t>Der im Bewertungsergebnis enthaltene Barwert des Terminal Value beträgt durch die Diskontierung (nur) USD 1.173.369 Mio.</t>
  </si>
  <si>
    <t>Als risikolosen Zins verwenden wir die tagesaktuell gehandelte Rendite einer sicheren 10-jährigen Staatsanleihe, zum Bewertungsstichtag in Höhe von 4,3% (USD).</t>
  </si>
  <si>
    <t>Der Enterprise Value beträgt im vorliegenden Fall USD 1.529.844 Mio. = USD 1.173.369 Mio. (Barwert Terminal Value) plus USD 356.474 Mio. (Barwert aller Cashflows).</t>
  </si>
  <si>
    <t>Methodengerecht sind die liquiden Mittel inkl. handelbarer Wertpapiere (USD 81.592 Mio.) zu addieren und die zinstragenden Verbindlichkeiten (USD 96.863 Mio.) zu subtrahieren.</t>
  </si>
  <si>
    <t>Nach Abzug bzw. Addition der im DCF-Modell einzeln aufgeführten Positionen ergibt sich der Wert des Eigenkapitals zum Bewertungsstichtag in Höhe von USD 1.542.097 Mio.</t>
  </si>
  <si>
    <t>Der Wert des Eigenkapitals wird durch die Anzahl der ausstehenden Aktien (2.530 Mio. Stück) dividiert, es resultiert der innere Wert der Aktie zum Bewertungsstichtag in Höhe von USD 609,63.</t>
  </si>
  <si>
    <t>Der innere Wert der Aktie kann mit dem aktuellen Börsenkurs (USD 676,87) für Investitionsentscheidungen verglichen werden.</t>
  </si>
  <si>
    <t>Bei Erhöhung der Planungsprämissen für Umatz und EBIT-Marge um 10% - ceteris paribus - beträgt der innere Wert der Aktie USD 736,40718 (Preis/Wert: 92%).</t>
  </si>
  <si>
    <t>Bei Reduzierung der Planungsprämissen für Umatz und EBIT-Marge um 10% - ceteris paribus - beträgt der innere Wert der Aktie auf USD 494,92996 (Preis/Wert: 137%).</t>
  </si>
  <si>
    <t>Bei Reduzierung der gewichteten Kapitalkosten um 100 Basispunkte - ceteris paribus - steigt der innere Wert der Aktie USD 835,23388 (Preis/Wert: 81%).</t>
  </si>
  <si>
    <t xml:space="preserve">Interactive Media &amp; Services </t>
  </si>
  <si>
    <t>Interaktive Medien und Dienstleistungen</t>
  </si>
  <si>
    <t>Für das Eingehen von Aktienrisiko berücksichtigen wir eine Risikoprämie in Höhe von 6,0%.</t>
  </si>
  <si>
    <t>Dividende 2025</t>
  </si>
  <si>
    <t>Umsatz und EBIT der Historie sind den veröffentlichten Berichten der Unternehmen entnommen. 
Die Position "Sonst" beinhaltet Positionen, die im operativen EBIT nicht enthalten sind. 
Nettoinvestitionen umfassen Investitionen in das Anlage- und Umlaufvermögen, saldiert um Abschreibungen und  Amortisation. Unternehmensakquisitionen sind darin enthalten. 
FCFF ist der freie Cashflow vor Zins- und Tilgungszahlungen des Unternehmens (FCFF) und steht den Kapitalgebern (Aktionäre und Fremdkapitalgeber) zur Verfügung. Die erwartete FCFF-Reihe wird mit Hilfe gewichteter Kapitalkosten (WACC) auf den Bewertungsstichtag risikoangemessen diskontiert. 
Bei geringen i(rf) enthalten die EK-Kosten im Modell ggf. einen Risikozuschlag (abweichende WACC).</t>
  </si>
  <si>
    <t>Finanzforderungen</t>
  </si>
  <si>
    <t>Langfristige Passive Abgrenzungen / Sonstiges</t>
  </si>
  <si>
    <t>Wert Beteiligungen und Finanzinvestitionen</t>
  </si>
  <si>
    <t>Die mittlere EBIT-Marge betrug über die letzten 10 Jahre 41,2%; über die letzten 5 Jahre hingegen 39,6% (Median).</t>
  </si>
  <si>
    <t>Werbung</t>
  </si>
  <si>
    <t>Luftfahrt und Verteidigung</t>
  </si>
  <si>
    <t>Landwirtschaft und Landmaschinen</t>
  </si>
  <si>
    <t>Landwirtschaftliche Produkte und Dienstleistungen</t>
  </si>
  <si>
    <t>Luftfracht und Logistik</t>
  </si>
  <si>
    <t>Flughafendienste</t>
  </si>
  <si>
    <t>Alternative Transportunternehmen</t>
  </si>
  <si>
    <t>Aluminium</t>
  </si>
  <si>
    <t>Bekleidungseinzelhandel</t>
  </si>
  <si>
    <t>Bekleidung, Accessoires und Luxusgüter</t>
  </si>
  <si>
    <t>Anwendungssoftware</t>
  </si>
  <si>
    <t>Vermögensverwaltung und Depotbanken</t>
  </si>
  <si>
    <t>Automobilhersteller</t>
  </si>
  <si>
    <t>Autoteile und -ausrüstung</t>
  </si>
  <si>
    <t>Automobil-Einzelhandel</t>
  </si>
  <si>
    <t>Biotechnologie</t>
  </si>
  <si>
    <t>Brauereien</t>
  </si>
  <si>
    <t>Rundfunk und Fernsehen</t>
  </si>
  <si>
    <t>Broadline-Einzelhandel</t>
  </si>
  <si>
    <t>Bauprodukte</t>
  </si>
  <si>
    <t>Kabel und Satellit</t>
  </si>
  <si>
    <t>Fracht Boden Transport</t>
  </si>
  <si>
    <t>Kasinos und Glücksspiel</t>
  </si>
  <si>
    <t>Kohle und Verbrauchsbrennstoffe</t>
  </si>
  <si>
    <t>Gewerbliche und private Hypothekenfinanzierung</t>
  </si>
  <si>
    <t>Kommerzieller Druck</t>
  </si>
  <si>
    <t>Chemische Grundstoffe</t>
  </si>
  <si>
    <t>Kommunikationsausrüstung</t>
  </si>
  <si>
    <t>Computer- und Elektronikeinzelhandel</t>
  </si>
  <si>
    <t>Bauwesen und Ingenieurwesen</t>
  </si>
  <si>
    <t>Baumaschinen und schwere Transportausrüstung</t>
  </si>
  <si>
    <t>Baumaterialien</t>
  </si>
  <si>
    <t>Unterhaltungselektronik</t>
  </si>
  <si>
    <t>Konsumfinanzierung</t>
  </si>
  <si>
    <t>Basiskonsumgüter Lebensmitteleinzelhandel</t>
  </si>
  <si>
    <t>Kupfer</t>
  </si>
  <si>
    <t>Datenverarbeitung und ausgelagerte Dienstleistungen</t>
  </si>
  <si>
    <t>Destillateure und Winzer</t>
  </si>
  <si>
    <t>Vertriebsunternehmen</t>
  </si>
  <si>
    <t>Diversifizierte Banken</t>
  </si>
  <si>
    <t>Diversifizierte Kapitalmärkte</t>
  </si>
  <si>
    <t>Diversifizierte Chemie</t>
  </si>
  <si>
    <t>Diversifizierte Finanzdienstleistungen</t>
  </si>
  <si>
    <t>Diversifizierte Metalle und Bergbau</t>
  </si>
  <si>
    <t>Diversifizierte Immobilienaktivitäten</t>
  </si>
  <si>
    <t>Diversifizierte unterstützende Dienstleistungen</t>
  </si>
  <si>
    <t>Einzelhandel mit Arzneimitteln</t>
  </si>
  <si>
    <t>Bildungsdienstleistungen</t>
  </si>
  <si>
    <t>Elektrische Versorgungsunternehmen</t>
  </si>
  <si>
    <t>Elektrische Komponenten und Ausrüstung</t>
  </si>
  <si>
    <t>Elektronische Komponenten</t>
  </si>
  <si>
    <t>Elektronische Geräte und Instrumente</t>
  </si>
  <si>
    <t>Elektronische Fertigungsdienstleistungen</t>
  </si>
  <si>
    <t>Umwelt- und Anlagendienste</t>
  </si>
  <si>
    <t>Düngemittel und landwirtschaftliche Chemikalien</t>
  </si>
  <si>
    <t>Finanzbörsen und Daten</t>
  </si>
  <si>
    <t>Lebensmitteldistributoren</t>
  </si>
  <si>
    <t>Lebensmitteleinzelhandel</t>
  </si>
  <si>
    <t>Fußbekleidung</t>
  </si>
  <si>
    <t>Forstwirtschaftliche Produkte</t>
  </si>
  <si>
    <t>Gasversorgungsunternehmen</t>
  </si>
  <si>
    <t>Gold</t>
  </si>
  <si>
    <t>Vertrieb im Gesundheitswesen</t>
  </si>
  <si>
    <t>Gesundheitsaurüstung</t>
  </si>
  <si>
    <t>Gesundheitseinrichtungen</t>
  </si>
  <si>
    <t>Gesundheitsdienstleistungen</t>
  </si>
  <si>
    <t>Gesundheitswesenzubehör</t>
  </si>
  <si>
    <t>Gesundheitstechnologie</t>
  </si>
  <si>
    <t>Elektrische Schwerausrüstung</t>
  </si>
  <si>
    <t>Autobahnen und Schienenwege</t>
  </si>
  <si>
    <t>Heimtextilien</t>
  </si>
  <si>
    <t>Heimwerkerbedarf Einzelhandel</t>
  </si>
  <si>
    <t>Hausbau</t>
  </si>
  <si>
    <t>Einzelhandel mit Wohnmöbeln</t>
  </si>
  <si>
    <t>Hotels, Resorts und Kreuzfahrtgesellschaften</t>
  </si>
  <si>
    <t>Haushaltsgeräte</t>
  </si>
  <si>
    <t>Produkte für den Haushalt</t>
  </si>
  <si>
    <t>Haushaltswaren und Spezialitäten</t>
  </si>
  <si>
    <t>Personalwesen und Arbeitsvermittlung</t>
  </si>
  <si>
    <t>Stromerzeuger und Energiehändler</t>
  </si>
  <si>
    <t>Industriekonglomerate</t>
  </si>
  <si>
    <t>Industrielle Gase</t>
  </si>
  <si>
    <t>Industriemaschinen und Komponenten</t>
  </si>
  <si>
    <t>Versicherungsmakler</t>
  </si>
  <si>
    <t>Integrierte Öl- und Gasindustrie</t>
  </si>
  <si>
    <t>Integrierte Telekommunikationsdienste</t>
  </si>
  <si>
    <t>Interaktive Heimunterhaltung</t>
  </si>
  <si>
    <t>Internetdienste und -infrastruktur</t>
  </si>
  <si>
    <t>Investmentbanking und Brokerage</t>
  </si>
  <si>
    <t>IT-Beratung und Dienstleistungen</t>
  </si>
  <si>
    <t>Freizeiteinrichtungen</t>
  </si>
  <si>
    <t>Freizeitprodukte</t>
  </si>
  <si>
    <t>Lebens- &amp; Krankenversicherungen</t>
  </si>
  <si>
    <t>Biowissenschaftliche Produkte</t>
  </si>
  <si>
    <t>Kliniken und Einrichtungen</t>
  </si>
  <si>
    <t>Schiffshäfen und Dienstleistungen</t>
  </si>
  <si>
    <t>Seetransport</t>
  </si>
  <si>
    <t>Metall-, Glas- und Kunststoffcontainer</t>
  </si>
  <si>
    <t>Hypotheken-REITs</t>
  </si>
  <si>
    <t>Hersteller von Motorrädern</t>
  </si>
  <si>
    <t>Filme und Unterhaltung</t>
  </si>
  <si>
    <t>Mehrsparten-Versicherung</t>
  </si>
  <si>
    <t>Multisektor-Holdings</t>
  </si>
  <si>
    <t>Multi-Utilities</t>
  </si>
  <si>
    <t>Öl- und Gasbohrungen</t>
  </si>
  <si>
    <t>Öl- und Gasausrüstung</t>
  </si>
  <si>
    <t xml:space="preserve">Öl- und Gasexploration </t>
  </si>
  <si>
    <t>Öl- und Gasraffination &amp; Vertrieb</t>
  </si>
  <si>
    <t>Öl- und Gaslagerung &amp; Transport</t>
  </si>
  <si>
    <t>Spezielle Distrubitation</t>
  </si>
  <si>
    <t>Verpackte Lebensmittel</t>
  </si>
  <si>
    <t>Verpackungsprodukte</t>
  </si>
  <si>
    <t>Papierprodukte</t>
  </si>
  <si>
    <t>Passagierfluggesellschaften</t>
  </si>
  <si>
    <t>Personentransport Boden</t>
  </si>
  <si>
    <t>Körperpflegeprodukte</t>
  </si>
  <si>
    <t>Pharmaka</t>
  </si>
  <si>
    <t>Edelmetalle</t>
  </si>
  <si>
    <t>Schaden- und Unfallversicherungen</t>
  </si>
  <si>
    <t>Verlagswesen</t>
  </si>
  <si>
    <t>Schienenverkehr</t>
  </si>
  <si>
    <t>Immobilienentwicklung</t>
  </si>
  <si>
    <t>Immobiliengesellschaften</t>
  </si>
  <si>
    <t>Immobiliendienstleistungen</t>
  </si>
  <si>
    <t>Regionalbanken</t>
  </si>
  <si>
    <t>Rückversicherung</t>
  </si>
  <si>
    <t>Erneuerbarer Strom</t>
  </si>
  <si>
    <t>Forschung- und Beratung</t>
  </si>
  <si>
    <t>Restaurants</t>
  </si>
  <si>
    <t>Sicherheits- und Alarmdienste</t>
  </si>
  <si>
    <t>Halbleitermaterialien</t>
  </si>
  <si>
    <t>Halbleiter</t>
  </si>
  <si>
    <t>Silber</t>
  </si>
  <si>
    <t>Erfrischungsgetränke</t>
  </si>
  <si>
    <t>Verbraucherdientsleistungen</t>
  </si>
  <si>
    <t>Spezialisierte Finanzen</t>
  </si>
  <si>
    <t>Spezialchemikalien</t>
  </si>
  <si>
    <t>Stahl</t>
  </si>
  <si>
    <t>Systemsoftware</t>
  </si>
  <si>
    <t>Technologie-Distributoren</t>
  </si>
  <si>
    <t>IT Hardware und Peripherie</t>
  </si>
  <si>
    <t>Textilien</t>
  </si>
  <si>
    <t>Reifen</t>
  </si>
  <si>
    <t>Tabak</t>
  </si>
  <si>
    <t>Handelsunternehmen</t>
  </si>
  <si>
    <t>Zahlungsabwicklungsdienste</t>
  </si>
  <si>
    <t>Wasserversorger</t>
  </si>
  <si>
    <t>Telekomunikationsdienste</t>
  </si>
  <si>
    <t>Immobilienfonds</t>
  </si>
  <si>
    <t>Büroimmobilien REIT</t>
  </si>
  <si>
    <t>Diversifizierte REIT</t>
  </si>
  <si>
    <t>REIT</t>
  </si>
  <si>
    <t>Wohnungs REIT</t>
  </si>
  <si>
    <t>Hotel REIT</t>
  </si>
  <si>
    <t>Datencenter REIT</t>
  </si>
  <si>
    <t>Îndustrie REIT</t>
  </si>
  <si>
    <t>Spezial REIT</t>
  </si>
  <si>
    <t>Wachstumstitel</t>
  </si>
  <si>
    <t>Auswahl auf Basis eingehaltener Kriterien (clean)</t>
  </si>
  <si>
    <t>Mittelwert auf Basis sämtlicher Titel (raw)</t>
  </si>
  <si>
    <t>MEDIAN</t>
  </si>
  <si>
    <t>Anzahl
Titel</t>
  </si>
  <si>
    <t>TOTAL</t>
  </si>
  <si>
    <t>NasdaqGS:GOOGL</t>
  </si>
  <si>
    <t>NYSE:RDDT</t>
  </si>
  <si>
    <t>NasdaqGS:BMBL</t>
  </si>
  <si>
    <t>SEHK:700</t>
  </si>
  <si>
    <t>NasdaqGS:AMZN</t>
  </si>
  <si>
    <t>NYSE:YELP</t>
  </si>
  <si>
    <t>NYSE:GRND</t>
  </si>
  <si>
    <t>NasdaqGS:IAC</t>
  </si>
  <si>
    <t>NasdaqGS:TBLA</t>
  </si>
  <si>
    <t>OTCPK:LBUY</t>
  </si>
  <si>
    <t>Alphabet Inc.</t>
  </si>
  <si>
    <t>Reddit, Inc.</t>
  </si>
  <si>
    <t>Bumble Inc.</t>
  </si>
  <si>
    <t>Tencent Holdings</t>
  </si>
  <si>
    <t>Amazon.com, Inc.</t>
  </si>
  <si>
    <t>Yelp Inc.</t>
  </si>
  <si>
    <t>Grindr Inc.</t>
  </si>
  <si>
    <t>IAC Inc.</t>
  </si>
  <si>
    <t>Taboola.com Ltd.</t>
  </si>
  <si>
    <t>Leafbuyer Technologies</t>
  </si>
  <si>
    <t>NA</t>
  </si>
  <si>
    <t>NM</t>
  </si>
  <si>
    <t>www.youcanvalue.de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</si>
</sst>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numFmt numFmtId="166" formatCode="dd/mm/yy;@"/>
    <numFmt numFmtId="167" formatCode="0.0"/>
    <numFmt numFmtId="168" formatCode="_(* #,##0.00_);_(* \(#,##0.00\);_(* &quot;-&quot;??_);_(@_)"/>
    <numFmt numFmtId="169" formatCode="#,##0.00000"/>
    <numFmt numFmtId="170" formatCode="0.00000"/>
    <numFmt numFmtId="171" formatCode="0.000000%"/>
    <numFmt numFmtId="172" formatCode="0.00000%"/>
    <numFmt numFmtId="173" formatCode="\+0.0%;\-0.0%;0.0%"/>
    <numFmt numFmtId="174" formatCode="[$-409]d/m/yy\ h:mm\ AM/PM;@"/>
    <numFmt numFmtId="175" formatCode="0.000%"/>
    <numFmt numFmtId="176" formatCode="0.0000"/>
    <numFmt numFmtId="177" formatCode="[$-F800]dddd\,\ mmmm\ dd\,\ yyyy"/>
  </numFmts>
  <fonts count="113" x14ac:knownFonts="1">
    <font>
      <sz val="11"/>
      <color theme="1"/>
      <name val="Calibri"/>
      <family val="2"/>
      <scheme val="minor"/>
    </font>
    <font>
      <sz val="11"/>
      <color theme="1"/>
      <name val="Calibri"/>
      <family val="2"/>
      <scheme val="minor"/>
    </font>
    <font>
      <sz val="8"/>
      <color theme="1"/>
      <name val="Calibri"/>
      <family val="2"/>
      <scheme val="minor"/>
    </font>
    <font>
      <b/>
      <sz val="8"/>
      <name val="Calibri"/>
      <family val="2"/>
      <scheme val="minor"/>
    </font>
    <font>
      <b/>
      <sz val="9"/>
      <name val="Calibri"/>
      <family val="2"/>
      <scheme val="minor"/>
    </font>
    <font>
      <sz val="7"/>
      <name val="Calibri"/>
      <family val="2"/>
      <scheme val="minor"/>
    </font>
    <font>
      <sz val="10"/>
      <name val="Arial"/>
      <family val="2"/>
    </font>
    <font>
      <b/>
      <sz val="13"/>
      <color indexed="8"/>
      <name val="Verdana"/>
      <family val="2"/>
    </font>
    <font>
      <b/>
      <sz val="12"/>
      <color indexed="8"/>
      <name val="Verdana"/>
      <family val="2"/>
    </font>
    <font>
      <b/>
      <sz val="10"/>
      <color indexed="9"/>
      <name val="Arial"/>
      <family val="2"/>
    </font>
    <font>
      <b/>
      <u val="singleAccounting"/>
      <sz val="8"/>
      <color indexed="8"/>
      <name val="Verdana"/>
      <family val="2"/>
    </font>
    <font>
      <b/>
      <sz val="8"/>
      <color indexed="9"/>
      <name val="Verdana"/>
      <family val="2"/>
    </font>
    <font>
      <b/>
      <u val="singleAccounting"/>
      <sz val="8"/>
      <color indexed="8"/>
      <name val="Arial"/>
      <family val="2"/>
    </font>
    <font>
      <sz val="8"/>
      <color indexed="8"/>
      <name val="Arial"/>
      <family val="2"/>
    </font>
    <font>
      <vertAlign val="superscript"/>
      <sz val="8"/>
      <color indexed="8"/>
      <name val="Arial"/>
      <family val="2"/>
    </font>
    <font>
      <vertAlign val="subscript"/>
      <sz val="8"/>
      <color indexed="8"/>
      <name val="Arial"/>
      <family val="2"/>
    </font>
    <font>
      <b/>
      <sz val="8"/>
      <color indexed="8"/>
      <name val="Arial"/>
      <family val="2"/>
    </font>
    <font>
      <i/>
      <sz val="8"/>
      <color indexed="8"/>
      <name val="Arial"/>
      <family val="2"/>
    </font>
    <font>
      <sz val="1"/>
      <color indexed="9"/>
      <name val="Symbol"/>
      <family val="1"/>
      <charset val="2"/>
    </font>
    <font>
      <sz val="10"/>
      <color indexed="8"/>
      <name val="Arial"/>
      <family val="2"/>
    </font>
    <font>
      <b/>
      <sz val="8"/>
      <color indexed="8"/>
      <name val="Verdana"/>
      <family val="2"/>
    </font>
    <font>
      <sz val="7"/>
      <color theme="1"/>
      <name val="Calibri"/>
      <family val="2"/>
      <scheme val="minor"/>
    </font>
    <font>
      <sz val="10"/>
      <name val="Arial"/>
      <family val="2"/>
    </font>
    <font>
      <b/>
      <sz val="13"/>
      <color indexed="8"/>
      <name val="Verdana"/>
      <family val="2"/>
    </font>
    <font>
      <b/>
      <sz val="12"/>
      <color indexed="8"/>
      <name val="Verdana"/>
      <family val="2"/>
    </font>
    <font>
      <b/>
      <sz val="10"/>
      <color indexed="9"/>
      <name val="Arial"/>
      <family val="2"/>
    </font>
    <font>
      <b/>
      <u val="singleAccounting"/>
      <sz val="8"/>
      <color indexed="8"/>
      <name val="Verdana"/>
      <family val="2"/>
    </font>
    <font>
      <b/>
      <sz val="8"/>
      <color indexed="9"/>
      <name val="Verdana"/>
      <family val="2"/>
    </font>
    <font>
      <b/>
      <u val="singleAccounting"/>
      <sz val="8"/>
      <color indexed="8"/>
      <name val="Arial"/>
      <family val="2"/>
    </font>
    <font>
      <sz val="8"/>
      <color indexed="8"/>
      <name val="Arial"/>
      <family val="2"/>
    </font>
    <font>
      <vertAlign val="superscript"/>
      <sz val="8"/>
      <color indexed="8"/>
      <name val="Arial"/>
      <family val="2"/>
    </font>
    <font>
      <vertAlign val="subscript"/>
      <sz val="8"/>
      <color indexed="8"/>
      <name val="Arial"/>
      <family val="2"/>
    </font>
    <font>
      <b/>
      <sz val="8"/>
      <color indexed="8"/>
      <name val="Arial"/>
      <family val="2"/>
    </font>
    <font>
      <i/>
      <sz val="8"/>
      <color indexed="8"/>
      <name val="Arial"/>
      <family val="2"/>
    </font>
    <font>
      <sz val="1"/>
      <color indexed="9"/>
      <name val="Symbol"/>
      <family val="1"/>
      <charset val="2"/>
    </font>
    <font>
      <sz val="10"/>
      <color indexed="8"/>
      <name val="Arial"/>
      <family val="2"/>
    </font>
    <font>
      <b/>
      <sz val="8"/>
      <color indexed="8"/>
      <name val="Verdana"/>
      <family val="2"/>
    </font>
    <font>
      <b/>
      <sz val="7"/>
      <name val="Calibri"/>
      <family val="2"/>
      <scheme val="minor"/>
    </font>
    <font>
      <sz val="8"/>
      <color theme="0" tint="-0.34998626667073579"/>
      <name val="Calibri"/>
      <family val="2"/>
      <scheme val="minor"/>
    </font>
    <font>
      <b/>
      <sz val="7"/>
      <color theme="1"/>
      <name val="Calibri"/>
      <family val="2"/>
      <scheme val="minor"/>
    </font>
    <font>
      <sz val="10"/>
      <name val="Times New Roman"/>
      <family val="1"/>
    </font>
    <font>
      <sz val="7"/>
      <color theme="0" tint="-0.34998626667073579"/>
      <name val="Calibri"/>
      <family val="2"/>
      <scheme val="minor"/>
    </font>
    <font>
      <sz val="7"/>
      <color theme="0" tint="-0.499984740745262"/>
      <name val="Calibri"/>
      <family val="2"/>
      <scheme val="minor"/>
    </font>
    <font>
      <i/>
      <sz val="7"/>
      <color theme="0" tint="-0.499984740745262"/>
      <name val="Calibri"/>
      <family val="2"/>
      <scheme val="minor"/>
    </font>
    <font>
      <i/>
      <sz val="7"/>
      <color theme="0" tint="-0.34998626667073579"/>
      <name val="Calibri"/>
      <family val="2"/>
      <scheme val="minor"/>
    </font>
    <font>
      <i/>
      <sz val="7"/>
      <color theme="1"/>
      <name val="Calibri"/>
      <family val="2"/>
      <scheme val="minor"/>
    </font>
    <font>
      <i/>
      <sz val="7"/>
      <color theme="0" tint="-0.499984740745262"/>
      <name val="Calibri"/>
      <family val="2"/>
    </font>
    <font>
      <sz val="7"/>
      <color rgb="FFFF0000"/>
      <name val="Calibri"/>
      <family val="2"/>
      <scheme val="minor"/>
    </font>
    <font>
      <u/>
      <sz val="7"/>
      <color theme="0" tint="-0.34998626667073579"/>
      <name val="Calibri"/>
      <family val="2"/>
      <scheme val="minor"/>
    </font>
    <font>
      <i/>
      <sz val="7"/>
      <name val="Calibri"/>
      <family val="2"/>
      <scheme val="minor"/>
    </font>
    <font>
      <sz val="8"/>
      <name val="Calibri"/>
      <family val="2"/>
      <scheme val="minor"/>
    </font>
    <font>
      <b/>
      <sz val="8"/>
      <color theme="1"/>
      <name val="Calibri"/>
      <family val="2"/>
      <scheme val="minor"/>
    </font>
    <font>
      <sz val="9"/>
      <color theme="1"/>
      <name val="Calibri"/>
      <family val="2"/>
      <scheme val="minor"/>
    </font>
    <font>
      <sz val="7"/>
      <color theme="1" tint="0.499984740745262"/>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6"/>
      <color theme="1"/>
      <name val="Calibri"/>
      <family val="2"/>
      <scheme val="minor"/>
    </font>
    <font>
      <i/>
      <sz val="6"/>
      <color theme="1"/>
      <name val="Calibri"/>
      <family val="2"/>
      <scheme val="minor"/>
    </font>
    <font>
      <sz val="6"/>
      <name val="Calibri"/>
      <family val="2"/>
      <scheme val="minor"/>
    </font>
    <font>
      <b/>
      <sz val="11"/>
      <color theme="1"/>
      <name val="Calibri"/>
      <family val="2"/>
      <scheme val="minor"/>
    </font>
    <font>
      <sz val="11"/>
      <color rgb="FFC00000"/>
      <name val="Calibri"/>
      <family val="2"/>
      <scheme val="minor"/>
    </font>
    <font>
      <b/>
      <sz val="8"/>
      <color rgb="FFFF0000"/>
      <name val="Calibri"/>
      <family val="2"/>
      <scheme val="minor"/>
    </font>
    <font>
      <sz val="9"/>
      <name val="Calibri"/>
      <family val="2"/>
      <scheme val="minor"/>
    </font>
    <font>
      <b/>
      <sz val="7"/>
      <color rgb="FFC00000"/>
      <name val="Calibri"/>
      <family val="2"/>
      <scheme val="minor"/>
    </font>
    <font>
      <sz val="6"/>
      <color theme="0" tint="-0.499984740745262"/>
      <name val="Calibri"/>
      <family val="2"/>
      <scheme val="minor"/>
    </font>
    <font>
      <sz val="9"/>
      <color theme="0" tint="-0.34998626667073579"/>
      <name val="Calibri"/>
      <family val="2"/>
      <scheme val="minor"/>
    </font>
    <font>
      <sz val="8"/>
      <color theme="9" tint="-0.499984740745262"/>
      <name val="Calibri"/>
      <family val="2"/>
      <scheme val="minor"/>
    </font>
    <font>
      <sz val="8"/>
      <color theme="0" tint="-0.499984740745262"/>
      <name val="Calibri"/>
      <family val="2"/>
      <scheme val="minor"/>
    </font>
    <font>
      <b/>
      <sz val="8"/>
      <color theme="0" tint="-0.34998626667073579"/>
      <name val="Calibri"/>
      <family val="2"/>
      <scheme val="minor"/>
    </font>
    <font>
      <sz val="11"/>
      <name val="Calibri"/>
      <family val="2"/>
      <scheme val="minor"/>
    </font>
    <font>
      <sz val="11"/>
      <name val="Verdana"/>
      <family val="2"/>
    </font>
    <font>
      <sz val="6"/>
      <color rgb="FFC00000"/>
      <name val="Calibri"/>
      <family val="2"/>
      <scheme val="minor"/>
    </font>
    <font>
      <b/>
      <sz val="6"/>
      <color rgb="FFC00000"/>
      <name val="Calibri"/>
      <family val="2"/>
      <scheme val="minor"/>
    </font>
    <font>
      <sz val="6"/>
      <color theme="0" tint="-0.34998626667073579"/>
      <name val="Calibri"/>
      <family val="2"/>
      <scheme val="minor"/>
    </font>
    <font>
      <b/>
      <sz val="6"/>
      <name val="Calibri"/>
      <family val="2"/>
      <scheme val="minor"/>
    </font>
    <font>
      <b/>
      <sz val="6"/>
      <color theme="1"/>
      <name val="Calibri"/>
      <family val="2"/>
      <scheme val="minor"/>
    </font>
    <font>
      <sz val="6"/>
      <color theme="1" tint="0.499984740745262"/>
      <name val="Calibri"/>
      <family val="2"/>
      <scheme val="minor"/>
    </font>
    <font>
      <i/>
      <sz val="6"/>
      <color theme="0" tint="-0.499984740745262"/>
      <name val="Calibri"/>
      <family val="2"/>
      <scheme val="minor"/>
    </font>
    <font>
      <i/>
      <sz val="6"/>
      <color theme="0" tint="-0.34998626667073579"/>
      <name val="Calibri"/>
      <family val="2"/>
      <scheme val="minor"/>
    </font>
    <font>
      <sz val="6"/>
      <name val="Calibri"/>
      <family val="2"/>
    </font>
    <font>
      <i/>
      <sz val="6"/>
      <color theme="0" tint="-0.499984740745262"/>
      <name val="Calibri"/>
      <family val="2"/>
    </font>
    <font>
      <sz val="6"/>
      <color rgb="FFFF0000"/>
      <name val="Calibri"/>
      <family val="2"/>
      <scheme val="minor"/>
    </font>
    <font>
      <u/>
      <sz val="6"/>
      <color theme="0" tint="-0.34998626667073579"/>
      <name val="Calibri"/>
      <family val="2"/>
      <scheme val="minor"/>
    </font>
    <font>
      <i/>
      <sz val="6"/>
      <name val="Calibri"/>
      <family val="2"/>
      <scheme val="minor"/>
    </font>
    <font>
      <sz val="6"/>
      <color theme="6" tint="-0.499984740745262"/>
      <name val="Calibri"/>
      <family val="2"/>
      <scheme val="minor"/>
    </font>
    <font>
      <b/>
      <sz val="6"/>
      <color theme="4" tint="-0.249977111117893"/>
      <name val="Calibri"/>
      <family val="2"/>
      <scheme val="minor"/>
    </font>
    <font>
      <sz val="6"/>
      <color theme="4" tint="-0.499984740745262"/>
      <name val="Calibri"/>
      <family val="2"/>
      <scheme val="minor"/>
    </font>
    <font>
      <u/>
      <sz val="6"/>
      <color theme="4" tint="-0.499984740745262"/>
      <name val="Calibri"/>
      <family val="2"/>
      <scheme val="minor"/>
    </font>
    <font>
      <u/>
      <sz val="6"/>
      <color theme="1"/>
      <name val="Calibri"/>
      <family val="2"/>
      <scheme val="minor"/>
    </font>
    <font>
      <u/>
      <sz val="9"/>
      <color theme="1"/>
      <name val="Calibri"/>
      <family val="2"/>
      <scheme val="minor"/>
    </font>
    <font>
      <sz val="8"/>
      <name val="Verdana"/>
      <family val="2"/>
    </font>
    <font>
      <sz val="8"/>
      <color rgb="FFC00000"/>
      <name val="Calibri"/>
      <family val="2"/>
      <scheme val="minor"/>
    </font>
    <font>
      <sz val="7"/>
      <color theme="0" tint="-0.14999847407452621"/>
      <name val="Calibri"/>
      <family val="2"/>
      <scheme val="minor"/>
    </font>
    <font>
      <b/>
      <u/>
      <sz val="7"/>
      <color theme="1"/>
      <name val="Calibri"/>
      <family val="2"/>
      <scheme val="minor"/>
    </font>
    <font>
      <sz val="4"/>
      <name val="Calibri"/>
      <family val="2"/>
      <scheme val="minor"/>
    </font>
    <font>
      <b/>
      <sz val="10"/>
      <name val="Calibri"/>
      <family val="2"/>
      <scheme val="minor"/>
    </font>
    <font>
      <sz val="10"/>
      <name val="Calibri"/>
      <family val="2"/>
      <scheme val="minor"/>
    </font>
    <font>
      <i/>
      <sz val="10"/>
      <color theme="0" tint="-0.499984740745262"/>
      <name val="Calibri"/>
      <family val="2"/>
      <scheme val="minor"/>
    </font>
    <font>
      <b/>
      <u/>
      <sz val="9"/>
      <color theme="1"/>
      <name val="Calibri"/>
      <family val="2"/>
      <scheme val="minor"/>
    </font>
    <font>
      <sz val="7"/>
      <color rgb="FFC00000"/>
      <name val="Calibri"/>
      <family val="2"/>
      <scheme val="minor"/>
    </font>
    <font>
      <b/>
      <sz val="10"/>
      <color theme="4" tint="-0.249977111117893"/>
      <name val="Calibri"/>
      <family val="2"/>
      <scheme val="minor"/>
    </font>
    <font>
      <sz val="8"/>
      <color theme="6" tint="-0.499984740745262"/>
      <name val="Calibri"/>
      <family val="2"/>
      <scheme val="minor"/>
    </font>
    <font>
      <b/>
      <sz val="11"/>
      <color rgb="FFC00000"/>
      <name val="Calibri"/>
      <family val="2"/>
      <scheme val="minor"/>
    </font>
    <font>
      <b/>
      <sz val="12"/>
      <color theme="1"/>
      <name val="Calibri"/>
      <family val="2"/>
      <scheme val="minor"/>
    </font>
    <font>
      <sz val="11"/>
      <color theme="0" tint="-0.499984740745262"/>
      <name val="Calibri"/>
      <family val="2"/>
      <scheme val="minor"/>
    </font>
    <font>
      <sz val="11"/>
      <color theme="0" tint="-0.499984740745262"/>
      <name val="Verdana"/>
      <family val="2"/>
    </font>
    <font>
      <sz val="9"/>
      <name val="Verdana"/>
      <family val="2"/>
    </font>
    <font>
      <sz val="6"/>
      <color theme="0" tint="-0.499984740745262"/>
      <name val="Calibri"/>
      <family val="2"/>
    </font>
    <font>
      <b/>
      <sz val="9"/>
      <color theme="4" tint="-0.249977111117893"/>
      <name val="Calibri"/>
      <family val="2"/>
      <scheme val="minor"/>
    </font>
    <font>
      <u/>
      <sz val="11"/>
      <color theme="10"/>
      <name val="Calibri"/>
      <family val="2"/>
      <scheme val="minor"/>
    </font>
    <font>
      <sz val="9"/>
      <color theme="4" tint="-0.249977111117893"/>
      <name val="Calibri"/>
      <family val="2"/>
      <scheme val="minor"/>
    </font>
    <font>
      <i/>
      <sz val="9"/>
      <color theme="0" tint="-0.499984740745262"/>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3"/>
        <bgColor indexed="64"/>
      </patternFill>
    </fill>
    <fill>
      <patternFill patternType="solid">
        <fgColor indexed="62"/>
        <bgColor indexed="64"/>
      </patternFill>
    </fill>
    <fill>
      <patternFill patternType="solid">
        <fgColor indexed="56"/>
        <bgColor indexed="64"/>
      </patternFill>
    </fill>
    <fill>
      <patternFill patternType="solid">
        <fgColor indexed="6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9999"/>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s>
  <borders count="117">
    <border>
      <left/>
      <right/>
      <top/>
      <bottom/>
      <diagonal/>
    </border>
    <border>
      <left style="thin">
        <color indexed="64"/>
      </left>
      <right/>
      <top/>
      <bottom/>
      <diagonal/>
    </border>
    <border>
      <left style="thin">
        <color auto="1"/>
      </left>
      <right style="thin">
        <color auto="1"/>
      </right>
      <top/>
      <bottom/>
      <diagonal/>
    </border>
    <border>
      <left style="medium">
        <color theme="4" tint="0.79998168889431442"/>
      </left>
      <right style="medium">
        <color theme="4" tint="0.79998168889431442"/>
      </right>
      <top/>
      <bottom/>
      <diagonal/>
    </border>
    <border>
      <left/>
      <right style="medium">
        <color theme="4" tint="0.79998168889431442"/>
      </right>
      <top/>
      <bottom/>
      <diagonal/>
    </border>
    <border>
      <left style="medium">
        <color theme="4" tint="0.59996337778862885"/>
      </left>
      <right/>
      <top/>
      <bottom/>
      <diagonal/>
    </border>
    <border>
      <left/>
      <right style="medium">
        <color theme="4" tint="0.59996337778862885"/>
      </right>
      <top/>
      <bottom/>
      <diagonal/>
    </border>
    <border>
      <left style="medium">
        <color theme="4" tint="0.59996337778862885"/>
      </left>
      <right/>
      <top/>
      <bottom style="medium">
        <color theme="4" tint="0.59996337778862885"/>
      </bottom>
      <diagonal/>
    </border>
    <border>
      <left/>
      <right/>
      <top/>
      <bottom style="medium">
        <color theme="4" tint="0.59996337778862885"/>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theme="4" tint="0.79998168889431442"/>
      </left>
      <right style="medium">
        <color theme="4" tint="0.79998168889431442"/>
      </right>
      <top/>
      <bottom style="medium">
        <color theme="4" tint="0.79998168889431442"/>
      </bottom>
      <diagonal/>
    </border>
    <border>
      <left/>
      <right style="medium">
        <color theme="4" tint="0.59996337778862885"/>
      </right>
      <top/>
      <bottom style="medium">
        <color theme="4" tint="0.79998168889431442"/>
      </bottom>
      <diagonal/>
    </border>
    <border>
      <left style="medium">
        <color theme="4" tint="0.59996337778862885"/>
      </left>
      <right/>
      <top/>
      <bottom style="medium">
        <color theme="4" tint="0.79998168889431442"/>
      </bottom>
      <diagonal/>
    </border>
    <border>
      <left/>
      <right style="medium">
        <color theme="4" tint="0.79998168889431442"/>
      </right>
      <top/>
      <bottom style="medium">
        <color theme="4" tint="0.59996337778862885"/>
      </bottom>
      <diagonal/>
    </border>
    <border>
      <left style="medium">
        <color theme="4" tint="0.79995117038483843"/>
      </left>
      <right/>
      <top style="medium">
        <color theme="4" tint="0.79995117038483843"/>
      </top>
      <bottom/>
      <diagonal/>
    </border>
    <border>
      <left/>
      <right style="medium">
        <color theme="4" tint="0.79998168889431442"/>
      </right>
      <top style="medium">
        <color theme="4" tint="0.79995117038483843"/>
      </top>
      <bottom/>
      <diagonal/>
    </border>
    <border>
      <left/>
      <right/>
      <top style="medium">
        <color theme="4" tint="0.79995117038483843"/>
      </top>
      <bottom/>
      <diagonal/>
    </border>
    <border>
      <left style="medium">
        <color theme="4" tint="0.79998168889431442"/>
      </left>
      <right style="medium">
        <color theme="4" tint="0.79998168889431442"/>
      </right>
      <top style="medium">
        <color theme="4" tint="0.79995117038483843"/>
      </top>
      <bottom/>
      <diagonal/>
    </border>
    <border>
      <left style="medium">
        <color theme="4" tint="0.79995117038483843"/>
      </left>
      <right/>
      <top/>
      <bottom/>
      <diagonal/>
    </border>
    <border>
      <left style="medium">
        <color theme="4" tint="0.79995117038483843"/>
      </left>
      <right/>
      <top/>
      <bottom style="medium">
        <color theme="4" tint="0.79995117038483843"/>
      </bottom>
      <diagonal/>
    </border>
    <border>
      <left/>
      <right/>
      <top/>
      <bottom style="medium">
        <color theme="4" tint="0.79995117038483843"/>
      </bottom>
      <diagonal/>
    </border>
    <border>
      <left style="hair">
        <color auto="1"/>
      </left>
      <right/>
      <top/>
      <bottom/>
      <diagonal/>
    </border>
    <border>
      <left/>
      <right style="hair">
        <color auto="1"/>
      </right>
      <top/>
      <bottom/>
      <diagonal/>
    </border>
    <border>
      <left/>
      <right/>
      <top style="hair">
        <color auto="1"/>
      </top>
      <bottom/>
      <diagonal/>
    </border>
    <border>
      <left/>
      <right/>
      <top/>
      <bottom style="hair">
        <color auto="1"/>
      </bottom>
      <diagonal/>
    </border>
    <border>
      <left style="medium">
        <color theme="4" tint="0.79992065187536243"/>
      </left>
      <right style="medium">
        <color theme="4" tint="0.79992065187536243"/>
      </right>
      <top/>
      <bottom/>
      <diagonal/>
    </border>
    <border>
      <left style="medium">
        <color theme="4" tint="0.79992065187536243"/>
      </left>
      <right style="medium">
        <color theme="4" tint="0.79992065187536243"/>
      </right>
      <top/>
      <bottom style="medium">
        <color theme="4" tint="0.79995117038483843"/>
      </bottom>
      <diagonal/>
    </border>
    <border>
      <left style="medium">
        <color theme="0" tint="-0.14996795556505021"/>
      </left>
      <right/>
      <top/>
      <bottom/>
      <diagonal/>
    </border>
    <border>
      <left/>
      <right style="medium">
        <color theme="0" tint="-0.14996795556505021"/>
      </right>
      <top/>
      <bottom/>
      <diagonal/>
    </border>
    <border>
      <left style="medium">
        <color theme="0" tint="-0.14996795556505021"/>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6795556505021"/>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double">
        <color rgb="FFC00000"/>
      </left>
      <right style="double">
        <color rgb="FFC00000"/>
      </right>
      <top style="double">
        <color rgb="FFC00000"/>
      </top>
      <bottom style="double">
        <color rgb="FFC00000"/>
      </bottom>
      <diagonal/>
    </border>
    <border>
      <left style="thick">
        <color rgb="FFC00000"/>
      </left>
      <right/>
      <top/>
      <bottom/>
      <diagonal/>
    </border>
    <border>
      <left style="medium">
        <color rgb="FFC00000"/>
      </left>
      <right/>
      <top/>
      <bottom/>
      <diagonal/>
    </border>
    <border>
      <left style="thin">
        <color rgb="FFC00000"/>
      </left>
      <right style="thin">
        <color rgb="FFC00000"/>
      </right>
      <top style="thin">
        <color rgb="FFC00000"/>
      </top>
      <bottom style="thin">
        <color rgb="FFC00000"/>
      </bottom>
      <diagonal/>
    </border>
    <border>
      <left/>
      <right style="thin">
        <color indexed="64"/>
      </right>
      <top/>
      <bottom/>
      <diagonal/>
    </border>
    <border>
      <left/>
      <right style="double">
        <color rgb="FFC00000"/>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style="medium">
        <color theme="4" tint="0.79995117038483843"/>
      </right>
      <top style="medium">
        <color theme="4" tint="0.79995117038483843"/>
      </top>
      <bottom/>
      <diagonal/>
    </border>
    <border>
      <left/>
      <right style="medium">
        <color theme="4" tint="0.79995117038483843"/>
      </right>
      <top/>
      <bottom/>
      <diagonal/>
    </border>
    <border>
      <left/>
      <right style="medium">
        <color theme="4" tint="0.79995117038483843"/>
      </right>
      <top/>
      <bottom style="medium">
        <color theme="4" tint="0.79998168889431442"/>
      </bottom>
      <diagonal/>
    </border>
    <border>
      <left/>
      <right style="medium">
        <color theme="4" tint="0.79995117038483843"/>
      </right>
      <top style="medium">
        <color theme="4" tint="0.79998168889431442"/>
      </top>
      <bottom/>
      <diagonal/>
    </border>
    <border>
      <left/>
      <right style="medium">
        <color theme="4" tint="0.79998168889431442"/>
      </right>
      <top/>
      <bottom style="medium">
        <color theme="4" tint="0.79995117038483843"/>
      </bottom>
      <diagonal/>
    </border>
    <border>
      <left style="medium">
        <color theme="4" tint="0.79998168889431442"/>
      </left>
      <right/>
      <top/>
      <bottom style="medium">
        <color theme="4" tint="0.79995117038483843"/>
      </bottom>
      <diagonal/>
    </border>
    <border>
      <left/>
      <right style="medium">
        <color theme="4" tint="0.79995117038483843"/>
      </right>
      <top/>
      <bottom style="medium">
        <color theme="4" tint="0.79995117038483843"/>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right/>
      <top/>
      <bottom style="thick">
        <color rgb="FFC00000"/>
      </bottom>
      <diagonal/>
    </border>
    <border>
      <left style="thin">
        <color auto="1"/>
      </left>
      <right style="thin">
        <color auto="1"/>
      </right>
      <top style="thin">
        <color auto="1"/>
      </top>
      <bottom/>
      <diagonal/>
    </border>
    <border>
      <left style="thin">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indexed="64"/>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indexed="64"/>
      </right>
      <top style="hair">
        <color auto="1"/>
      </top>
      <bottom style="thin">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theme="4" tint="0.79992065187536243"/>
      </left>
      <right/>
      <top style="medium">
        <color theme="4" tint="0.79992065187536243"/>
      </top>
      <bottom/>
      <diagonal/>
    </border>
    <border>
      <left/>
      <right/>
      <top style="medium">
        <color theme="4" tint="0.79992065187536243"/>
      </top>
      <bottom/>
      <diagonal/>
    </border>
    <border>
      <left/>
      <right style="medium">
        <color theme="4" tint="0.79992065187536243"/>
      </right>
      <top style="medium">
        <color theme="4" tint="0.79992065187536243"/>
      </top>
      <bottom/>
      <diagonal/>
    </border>
    <border>
      <left style="medium">
        <color theme="4" tint="0.79992065187536243"/>
      </left>
      <right/>
      <top/>
      <bottom/>
      <diagonal/>
    </border>
    <border>
      <left/>
      <right style="medium">
        <color theme="4" tint="0.79992065187536243"/>
      </right>
      <top/>
      <bottom/>
      <diagonal/>
    </border>
    <border>
      <left/>
      <right style="medium">
        <color theme="4" tint="0.79992065187536243"/>
      </right>
      <top/>
      <bottom style="medium">
        <color theme="4" tint="0.79998168889431442"/>
      </bottom>
      <diagonal/>
    </border>
    <border>
      <left/>
      <right style="medium">
        <color theme="4" tint="0.79992065187536243"/>
      </right>
      <top style="medium">
        <color theme="4" tint="0.79998168889431442"/>
      </top>
      <bottom/>
      <diagonal/>
    </border>
    <border>
      <left style="medium">
        <color theme="4" tint="0.79992065187536243"/>
      </left>
      <right/>
      <top/>
      <bottom style="medium">
        <color theme="4" tint="0.79995117038483843"/>
      </bottom>
      <diagonal/>
    </border>
    <border>
      <left/>
      <right style="medium">
        <color theme="4" tint="0.79992065187536243"/>
      </right>
      <top/>
      <bottom style="medium">
        <color theme="4" tint="0.79995117038483843"/>
      </bottom>
      <diagonal/>
    </border>
    <border>
      <left style="medium">
        <color theme="4" tint="0.79992065187536243"/>
      </left>
      <right/>
      <top style="medium">
        <color theme="4" tint="0.79998168889431442"/>
      </top>
      <bottom/>
      <diagonal/>
    </border>
    <border>
      <left style="medium">
        <color theme="4" tint="0.79998168889431442"/>
      </left>
      <right style="medium">
        <color theme="4" tint="0.79992065187536243"/>
      </right>
      <top/>
      <bottom/>
      <diagonal/>
    </border>
    <border>
      <left style="medium">
        <color theme="4" tint="0.79998168889431442"/>
      </left>
      <right style="medium">
        <color theme="4" tint="0.79992065187536243"/>
      </right>
      <top/>
      <bottom style="medium">
        <color theme="4" tint="0.79998168889431442"/>
      </bottom>
      <diagonal/>
    </border>
    <border>
      <left/>
      <right style="medium">
        <color theme="4" tint="0.79992065187536243"/>
      </right>
      <top/>
      <bottom style="medium">
        <color theme="4" tint="0.59996337778862885"/>
      </bottom>
      <diagonal/>
    </border>
    <border>
      <left style="medium">
        <color theme="4" tint="0.79992065187536243"/>
      </left>
      <right/>
      <top/>
      <bottom style="medium">
        <color theme="4" tint="0.79992065187536243"/>
      </bottom>
      <diagonal/>
    </border>
    <border>
      <left/>
      <right/>
      <top/>
      <bottom style="medium">
        <color theme="4" tint="0.79992065187536243"/>
      </bottom>
      <diagonal/>
    </border>
    <border>
      <left/>
      <right style="medium">
        <color theme="4" tint="0.79998168889431442"/>
      </right>
      <top/>
      <bottom style="medium">
        <color theme="4" tint="0.79992065187536243"/>
      </bottom>
      <diagonal/>
    </border>
    <border>
      <left style="medium">
        <color theme="4" tint="0.79998168889431442"/>
      </left>
      <right/>
      <top/>
      <bottom style="medium">
        <color theme="4" tint="0.79992065187536243"/>
      </bottom>
      <diagonal/>
    </border>
    <border>
      <left/>
      <right style="medium">
        <color theme="4" tint="0.59996337778862885"/>
      </right>
      <top/>
      <bottom style="medium">
        <color theme="4" tint="0.79992065187536243"/>
      </bottom>
      <diagonal/>
    </border>
    <border>
      <left style="medium">
        <color theme="4" tint="0.59996337778862885"/>
      </left>
      <right/>
      <top/>
      <bottom style="medium">
        <color theme="4" tint="0.79992065187536243"/>
      </bottom>
      <diagonal/>
    </border>
    <border>
      <left/>
      <right style="medium">
        <color theme="4" tint="0.79992065187536243"/>
      </right>
      <top/>
      <bottom style="medium">
        <color theme="4" tint="0.79992065187536243"/>
      </bottom>
      <diagonal/>
    </border>
  </borders>
  <cellStyleXfs count="41">
    <xf numFmtId="0" fontId="0" fillId="0" borderId="0"/>
    <xf numFmtId="9" fontId="1" fillId="0" borderId="0" applyFont="0" applyFill="0" applyBorder="0" applyAlignment="0" applyProtection="0"/>
    <xf numFmtId="0" fontId="6" fillId="0" borderId="0"/>
    <xf numFmtId="0" fontId="7" fillId="0" borderId="0" applyAlignment="0"/>
    <xf numFmtId="0" fontId="8" fillId="0" borderId="0" applyAlignment="0"/>
    <xf numFmtId="0" fontId="9" fillId="8" borderId="0" applyAlignment="0"/>
    <xf numFmtId="0" fontId="10" fillId="9" borderId="0" applyAlignment="0"/>
    <xf numFmtId="0" fontId="11" fillId="10" borderId="0" applyAlignment="0"/>
    <xf numFmtId="0" fontId="12" fillId="11" borderId="0" applyAlignment="0"/>
    <xf numFmtId="0" fontId="13" fillId="0" borderId="0" applyAlignment="0"/>
    <xf numFmtId="0" fontId="14" fillId="0" borderId="0" applyAlignment="0"/>
    <xf numFmtId="0" fontId="15" fillId="0" borderId="0" applyAlignment="0"/>
    <xf numFmtId="0" fontId="16" fillId="0" borderId="0" applyAlignment="0"/>
    <xf numFmtId="0" fontId="17" fillId="0" borderId="0" applyAlignment="0"/>
    <xf numFmtId="0" fontId="16" fillId="0" borderId="0" applyAlignment="0">
      <alignment wrapText="1"/>
    </xf>
    <xf numFmtId="0" fontId="18" fillId="0" borderId="0" applyAlignment="0"/>
    <xf numFmtId="0" fontId="19" fillId="0" borderId="0" applyAlignment="0"/>
    <xf numFmtId="0" fontId="20" fillId="0" borderId="0" applyAlignment="0"/>
    <xf numFmtId="0" fontId="6" fillId="0" borderId="0"/>
    <xf numFmtId="168" fontId="6" fillId="0" borderId="0" applyFont="0" applyFill="0" applyBorder="0" applyAlignment="0" applyProtection="0"/>
    <xf numFmtId="0" fontId="22" fillId="0" borderId="0"/>
    <xf numFmtId="0" fontId="23" fillId="0" borderId="0" applyAlignment="0"/>
    <xf numFmtId="0" fontId="24" fillId="0" borderId="0" applyAlignment="0"/>
    <xf numFmtId="0" fontId="25" fillId="8" borderId="0" applyAlignment="0"/>
    <xf numFmtId="0" fontId="26" fillId="9" borderId="0" applyAlignment="0"/>
    <xf numFmtId="0" fontId="27" fillId="10" borderId="0" applyAlignment="0"/>
    <xf numFmtId="0" fontId="28" fillId="11" borderId="0" applyAlignment="0"/>
    <xf numFmtId="0" fontId="29" fillId="0" borderId="0" applyAlignment="0"/>
    <xf numFmtId="0" fontId="30" fillId="0" borderId="0" applyAlignment="0"/>
    <xf numFmtId="0" fontId="31" fillId="0" borderId="0" applyAlignment="0"/>
    <xf numFmtId="0" fontId="32" fillId="0" borderId="0" applyAlignment="0"/>
    <xf numFmtId="0" fontId="33" fillId="0" borderId="0" applyAlignment="0"/>
    <xf numFmtId="0" fontId="32" fillId="0" borderId="0" applyAlignment="0">
      <alignment wrapText="1"/>
    </xf>
    <xf numFmtId="0" fontId="34" fillId="0" borderId="0" applyAlignment="0"/>
    <xf numFmtId="0" fontId="35" fillId="0" borderId="0" applyAlignment="0"/>
    <xf numFmtId="0" fontId="36" fillId="0" borderId="0" applyAlignment="0"/>
    <xf numFmtId="0" fontId="13" fillId="0" borderId="0" applyNumberFormat="0" applyFill="0" applyBorder="0" applyProtection="0">
      <alignment vertical="top"/>
    </xf>
    <xf numFmtId="0" fontId="13" fillId="0" borderId="0" applyAlignment="0"/>
    <xf numFmtId="0" fontId="40" fillId="0" borderId="0"/>
    <xf numFmtId="0" fontId="7" fillId="0" borderId="0" applyNumberFormat="0" applyFill="0" applyBorder="0" applyProtection="0"/>
    <xf numFmtId="0" fontId="110" fillId="0" borderId="0" applyNumberFormat="0" applyFill="0" applyBorder="0" applyAlignment="0" applyProtection="0"/>
  </cellStyleXfs>
  <cellXfs count="1217">
    <xf numFmtId="0" fontId="0" fillId="0" borderId="0" xfId="0"/>
    <xf numFmtId="0" fontId="21" fillId="3" borderId="0" xfId="0" applyFont="1" applyFill="1" applyAlignment="1">
      <alignment horizontal="left" vertical="center" indent="1"/>
    </xf>
    <xf numFmtId="165" fontId="5" fillId="3" borderId="0" xfId="1" applyNumberFormat="1" applyFont="1" applyFill="1" applyBorder="1" applyAlignment="1">
      <alignment horizontal="right" vertical="center" indent="1"/>
    </xf>
    <xf numFmtId="0" fontId="5" fillId="0" borderId="0" xfId="0" applyFont="1" applyAlignment="1">
      <alignment horizontal="center" vertical="center"/>
    </xf>
    <xf numFmtId="1" fontId="41" fillId="0" borderId="0" xfId="0" applyNumberFormat="1" applyFont="1" applyAlignment="1">
      <alignment horizontal="center" vertical="center"/>
    </xf>
    <xf numFmtId="0" fontId="41" fillId="0" borderId="0" xfId="0" applyFont="1" applyAlignment="1">
      <alignment horizontal="center" vertical="center"/>
    </xf>
    <xf numFmtId="0" fontId="41"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1" fillId="0" borderId="4" xfId="0" applyFont="1" applyBorder="1" applyAlignment="1">
      <alignment horizontal="right" vertical="center" indent="1"/>
    </xf>
    <xf numFmtId="0" fontId="21" fillId="2" borderId="12" xfId="0" applyFont="1" applyFill="1" applyBorder="1" applyAlignment="1">
      <alignment horizontal="left" vertical="center" indent="1"/>
    </xf>
    <xf numFmtId="0" fontId="21" fillId="2" borderId="0" xfId="0" applyFont="1" applyFill="1" applyAlignment="1">
      <alignment vertical="center"/>
    </xf>
    <xf numFmtId="4" fontId="21" fillId="2" borderId="4" xfId="0" applyNumberFormat="1" applyFont="1" applyFill="1" applyBorder="1" applyAlignment="1">
      <alignment horizontal="right" vertical="center" indent="1"/>
    </xf>
    <xf numFmtId="166" fontId="5" fillId="2" borderId="4" xfId="0" applyNumberFormat="1" applyFont="1" applyFill="1" applyBorder="1" applyAlignment="1">
      <alignment horizontal="right" vertical="center" indent="1"/>
    </xf>
    <xf numFmtId="4" fontId="42" fillId="2" borderId="0" xfId="0" applyNumberFormat="1" applyFont="1" applyFill="1" applyAlignment="1">
      <alignment horizontal="right" vertical="center" indent="1"/>
    </xf>
    <xf numFmtId="0" fontId="21" fillId="2" borderId="13" xfId="0" applyFont="1" applyFill="1" applyBorder="1" applyAlignment="1">
      <alignment horizontal="left" vertical="center" indent="1"/>
    </xf>
    <xf numFmtId="0" fontId="21" fillId="2" borderId="14" xfId="0" applyFont="1" applyFill="1" applyBorder="1" applyAlignment="1">
      <alignment vertical="center"/>
    </xf>
    <xf numFmtId="164" fontId="5" fillId="2" borderId="4" xfId="0" applyNumberFormat="1" applyFont="1" applyFill="1" applyBorder="1" applyAlignment="1">
      <alignment horizontal="right" vertical="center" indent="1"/>
    </xf>
    <xf numFmtId="0" fontId="21" fillId="2" borderId="9" xfId="0" applyFont="1" applyFill="1" applyBorder="1" applyAlignment="1">
      <alignment horizontal="left" vertical="center" indent="1"/>
    </xf>
    <xf numFmtId="0" fontId="21" fillId="2" borderId="10" xfId="0" applyFont="1" applyFill="1" applyBorder="1" applyAlignment="1">
      <alignment vertical="center"/>
    </xf>
    <xf numFmtId="9" fontId="5" fillId="2" borderId="4" xfId="1" applyFont="1" applyFill="1" applyBorder="1" applyAlignment="1">
      <alignment horizontal="right" vertical="center" indent="1"/>
    </xf>
    <xf numFmtId="0" fontId="21" fillId="0" borderId="9" xfId="0" applyFont="1" applyBorder="1" applyAlignment="1">
      <alignment horizontal="left" vertical="center" indent="1"/>
    </xf>
    <xf numFmtId="0" fontId="21" fillId="0" borderId="10" xfId="0" applyFont="1" applyBorder="1" applyAlignment="1">
      <alignment vertical="center"/>
    </xf>
    <xf numFmtId="164" fontId="5" fillId="2" borderId="4" xfId="1" applyNumberFormat="1" applyFont="1" applyFill="1" applyBorder="1" applyAlignment="1">
      <alignment horizontal="right" vertical="center" indent="1"/>
    </xf>
    <xf numFmtId="0" fontId="5" fillId="0" borderId="0" xfId="0" applyFont="1" applyAlignment="1">
      <alignment horizontal="left" vertical="center"/>
    </xf>
    <xf numFmtId="3" fontId="5" fillId="2" borderId="4" xfId="0" applyNumberFormat="1" applyFont="1" applyFill="1" applyBorder="1" applyAlignment="1">
      <alignment horizontal="right" vertical="center" indent="1"/>
    </xf>
    <xf numFmtId="0" fontId="41" fillId="0" borderId="14" xfId="0" applyFont="1" applyBorder="1" applyAlignment="1">
      <alignment horizontal="center" vertical="center"/>
    </xf>
    <xf numFmtId="0" fontId="39" fillId="7" borderId="9" xfId="0" applyFont="1" applyFill="1" applyBorder="1" applyAlignment="1">
      <alignment horizontal="left" vertical="center" indent="1"/>
    </xf>
    <xf numFmtId="3" fontId="5" fillId="2" borderId="12" xfId="0" applyNumberFormat="1" applyFont="1" applyFill="1" applyBorder="1" applyAlignment="1">
      <alignment horizontal="right" vertical="center" indent="1"/>
    </xf>
    <xf numFmtId="3" fontId="5" fillId="2" borderId="0" xfId="0" applyNumberFormat="1" applyFont="1" applyFill="1" applyAlignment="1">
      <alignment horizontal="right" vertical="center" indent="1"/>
    </xf>
    <xf numFmtId="165" fontId="43" fillId="2" borderId="0" xfId="1" applyNumberFormat="1" applyFont="1" applyFill="1" applyBorder="1" applyAlignment="1">
      <alignment horizontal="right" vertical="top" indent="1"/>
    </xf>
    <xf numFmtId="0" fontId="45" fillId="0" borderId="0" xfId="0" applyFont="1" applyAlignment="1">
      <alignment vertical="top"/>
    </xf>
    <xf numFmtId="0" fontId="5" fillId="3" borderId="12" xfId="0" applyFont="1" applyFill="1" applyBorder="1" applyAlignment="1">
      <alignment horizontal="left" vertical="center" indent="1"/>
    </xf>
    <xf numFmtId="3" fontId="5" fillId="3" borderId="0" xfId="0" applyNumberFormat="1" applyFont="1" applyFill="1" applyAlignment="1">
      <alignment horizontal="right" vertical="center" indent="1"/>
    </xf>
    <xf numFmtId="3" fontId="5" fillId="3" borderId="4" xfId="0" applyNumberFormat="1" applyFont="1" applyFill="1" applyBorder="1" applyAlignment="1">
      <alignment horizontal="right" vertical="center" indent="1"/>
    </xf>
    <xf numFmtId="3" fontId="5" fillId="3" borderId="12" xfId="0" applyNumberFormat="1" applyFont="1" applyFill="1" applyBorder="1" applyAlignment="1">
      <alignment horizontal="right" vertical="center" indent="1"/>
    </xf>
    <xf numFmtId="165" fontId="43" fillId="3" borderId="0" xfId="1" applyNumberFormat="1" applyFont="1" applyFill="1" applyBorder="1" applyAlignment="1">
      <alignment horizontal="right" vertical="top" indent="1"/>
    </xf>
    <xf numFmtId="165" fontId="43" fillId="3" borderId="13" xfId="1" applyNumberFormat="1" applyFont="1" applyFill="1" applyBorder="1" applyAlignment="1">
      <alignment horizontal="right" vertical="top" indent="1"/>
    </xf>
    <xf numFmtId="165" fontId="43" fillId="3" borderId="14" xfId="1" applyNumberFormat="1" applyFont="1" applyFill="1" applyBorder="1" applyAlignment="1">
      <alignment horizontal="right" vertical="top" indent="1"/>
    </xf>
    <xf numFmtId="165" fontId="43" fillId="3" borderId="15" xfId="1" applyNumberFormat="1" applyFont="1" applyFill="1" applyBorder="1" applyAlignment="1">
      <alignment horizontal="right" vertical="top" indent="1"/>
    </xf>
    <xf numFmtId="0" fontId="21" fillId="3" borderId="12" xfId="0" applyFont="1" applyFill="1" applyBorder="1" applyAlignment="1">
      <alignment horizontal="left" vertical="center" indent="1"/>
    </xf>
    <xf numFmtId="0" fontId="39" fillId="7" borderId="12" xfId="0" applyFont="1" applyFill="1" applyBorder="1" applyAlignment="1">
      <alignment horizontal="left" vertical="center" indent="1"/>
    </xf>
    <xf numFmtId="0" fontId="21" fillId="7" borderId="4" xfId="0" applyFont="1" applyFill="1" applyBorder="1" applyAlignment="1">
      <alignment horizontal="right" vertical="center" indent="1"/>
    </xf>
    <xf numFmtId="0" fontId="21" fillId="7" borderId="0" xfId="0" applyFont="1" applyFill="1" applyAlignment="1">
      <alignment horizontal="right" vertical="center" indent="1"/>
    </xf>
    <xf numFmtId="0" fontId="21" fillId="7" borderId="3" xfId="0" applyFont="1" applyFill="1" applyBorder="1" applyAlignment="1">
      <alignment horizontal="center" vertical="center"/>
    </xf>
    <xf numFmtId="3" fontId="5" fillId="2" borderId="3" xfId="0" applyNumberFormat="1" applyFont="1" applyFill="1" applyBorder="1" applyAlignment="1">
      <alignment horizontal="right" vertical="center" indent="1"/>
    </xf>
    <xf numFmtId="3" fontId="5" fillId="3" borderId="3" xfId="0" applyNumberFormat="1" applyFont="1" applyFill="1" applyBorder="1" applyAlignment="1">
      <alignment horizontal="right" vertical="center" indent="1"/>
    </xf>
    <xf numFmtId="0" fontId="5" fillId="2" borderId="12" xfId="0" applyFont="1" applyFill="1" applyBorder="1" applyAlignment="1">
      <alignment horizontal="left" vertical="center" indent="1"/>
    </xf>
    <xf numFmtId="0" fontId="46" fillId="2" borderId="12" xfId="0" applyFont="1" applyFill="1" applyBorder="1" applyAlignment="1">
      <alignment horizontal="left" vertical="center" indent="1"/>
    </xf>
    <xf numFmtId="165" fontId="43" fillId="2" borderId="0" xfId="1" applyNumberFormat="1" applyFont="1" applyFill="1" applyBorder="1" applyAlignment="1">
      <alignment horizontal="right" vertical="center" indent="1"/>
    </xf>
    <xf numFmtId="3" fontId="5" fillId="7" borderId="0" xfId="0" applyNumberFormat="1" applyFont="1" applyFill="1" applyAlignment="1">
      <alignment horizontal="right" vertical="center" indent="1"/>
    </xf>
    <xf numFmtId="167" fontId="47" fillId="0" borderId="0" xfId="0" applyNumberFormat="1" applyFont="1" applyAlignment="1">
      <alignment horizontal="right" vertical="center"/>
    </xf>
    <xf numFmtId="165" fontId="42" fillId="2" borderId="4" xfId="1" applyNumberFormat="1" applyFont="1" applyFill="1" applyBorder="1" applyAlignment="1">
      <alignment horizontal="right" vertical="center" indent="1"/>
    </xf>
    <xf numFmtId="164" fontId="5" fillId="3" borderId="4" xfId="0" applyNumberFormat="1" applyFont="1" applyFill="1" applyBorder="1" applyAlignment="1">
      <alignment horizontal="right" vertical="center" indent="1"/>
    </xf>
    <xf numFmtId="164" fontId="5" fillId="3" borderId="0" xfId="0" applyNumberFormat="1" applyFont="1" applyFill="1" applyAlignment="1">
      <alignment horizontal="right" vertical="center" indent="1"/>
    </xf>
    <xf numFmtId="0" fontId="21" fillId="7" borderId="12" xfId="0" applyFont="1" applyFill="1" applyBorder="1" applyAlignment="1">
      <alignment horizontal="left" vertical="center" indent="1"/>
    </xf>
    <xf numFmtId="165" fontId="43" fillId="7" borderId="0" xfId="1" applyNumberFormat="1" applyFont="1" applyFill="1" applyBorder="1" applyAlignment="1">
      <alignment horizontal="right" vertical="top" indent="1"/>
    </xf>
    <xf numFmtId="0" fontId="21" fillId="7" borderId="0" xfId="0" applyFont="1" applyFill="1" applyAlignment="1">
      <alignment vertical="center"/>
    </xf>
    <xf numFmtId="0" fontId="21" fillId="7" borderId="4" xfId="0" applyFont="1" applyFill="1" applyBorder="1" applyAlignment="1">
      <alignment vertical="center"/>
    </xf>
    <xf numFmtId="165" fontId="21" fillId="2" borderId="4" xfId="1" applyNumberFormat="1" applyFont="1" applyFill="1" applyBorder="1" applyAlignment="1">
      <alignment horizontal="right" vertical="center" indent="1"/>
    </xf>
    <xf numFmtId="167" fontId="5" fillId="7" borderId="12" xfId="0" applyNumberFormat="1" applyFont="1" applyFill="1" applyBorder="1" applyAlignment="1">
      <alignment horizontal="left" vertical="center" indent="1"/>
    </xf>
    <xf numFmtId="167" fontId="37" fillId="7" borderId="0" xfId="0" applyNumberFormat="1" applyFont="1" applyFill="1" applyAlignment="1">
      <alignment horizontal="left" vertical="center"/>
    </xf>
    <xf numFmtId="0" fontId="41" fillId="7" borderId="4" xfId="0" applyFont="1" applyFill="1" applyBorder="1" applyAlignment="1">
      <alignment horizontal="center" vertical="center"/>
    </xf>
    <xf numFmtId="0" fontId="48" fillId="7" borderId="0" xfId="0" applyFont="1" applyFill="1" applyAlignment="1">
      <alignment horizontal="center" vertical="center"/>
    </xf>
    <xf numFmtId="0" fontId="21" fillId="7" borderId="6" xfId="0" applyFont="1" applyFill="1" applyBorder="1" applyAlignment="1">
      <alignment vertical="center"/>
    </xf>
    <xf numFmtId="167" fontId="5" fillId="0" borderId="12" xfId="0" applyNumberFormat="1" applyFont="1" applyBorder="1" applyAlignment="1">
      <alignment horizontal="left" vertical="center" indent="1"/>
    </xf>
    <xf numFmtId="167" fontId="5" fillId="0" borderId="13" xfId="0" applyNumberFormat="1" applyFont="1" applyBorder="1" applyAlignment="1">
      <alignment horizontal="left" vertical="center" indent="1"/>
    </xf>
    <xf numFmtId="0" fontId="21" fillId="0" borderId="14" xfId="0" applyFont="1" applyBorder="1" applyAlignment="1">
      <alignment vertical="center"/>
    </xf>
    <xf numFmtId="9" fontId="49" fillId="2" borderId="15" xfId="1" applyFont="1" applyFill="1" applyBorder="1" applyAlignment="1">
      <alignment horizontal="right" vertical="top" indent="1"/>
    </xf>
    <xf numFmtId="0" fontId="39" fillId="7" borderId="10" xfId="0" applyFont="1" applyFill="1" applyBorder="1" applyAlignment="1">
      <alignment horizontal="right" vertical="center" indent="1"/>
    </xf>
    <xf numFmtId="0" fontId="39" fillId="7" borderId="11" xfId="0" applyFont="1" applyFill="1" applyBorder="1" applyAlignment="1">
      <alignment horizontal="right" vertical="center" indent="1"/>
    </xf>
    <xf numFmtId="0" fontId="39" fillId="7" borderId="9" xfId="0" applyFont="1" applyFill="1" applyBorder="1" applyAlignment="1">
      <alignment horizontal="right" vertical="center" indent="1"/>
    </xf>
    <xf numFmtId="0" fontId="2" fillId="4" borderId="0" xfId="0" applyFont="1" applyFill="1" applyAlignment="1">
      <alignment horizontal="left" vertical="center" indent="1"/>
    </xf>
    <xf numFmtId="0" fontId="43" fillId="2" borderId="12" xfId="0" applyFont="1" applyFill="1" applyBorder="1" applyAlignment="1">
      <alignment horizontal="left" vertical="center" indent="1"/>
    </xf>
    <xf numFmtId="165" fontId="43" fillId="3" borderId="0" xfId="1" applyNumberFormat="1" applyFont="1" applyFill="1" applyBorder="1" applyAlignment="1">
      <alignment horizontal="right" vertical="center" indent="1"/>
    </xf>
    <xf numFmtId="165" fontId="43" fillId="2" borderId="3" xfId="1" applyNumberFormat="1" applyFont="1" applyFill="1" applyBorder="1" applyAlignment="1">
      <alignment horizontal="right" vertical="center" indent="1"/>
    </xf>
    <xf numFmtId="165" fontId="43" fillId="2" borderId="4" xfId="1" applyNumberFormat="1" applyFont="1" applyFill="1" applyBorder="1" applyAlignment="1">
      <alignment horizontal="right" vertical="center" indent="1"/>
    </xf>
    <xf numFmtId="165" fontId="43" fillId="3" borderId="4" xfId="1" applyNumberFormat="1" applyFont="1" applyFill="1" applyBorder="1" applyAlignment="1">
      <alignment horizontal="right" vertical="center" indent="1"/>
    </xf>
    <xf numFmtId="9" fontId="49" fillId="2" borderId="4" xfId="1" applyFont="1" applyFill="1" applyBorder="1" applyAlignment="1">
      <alignment horizontal="right" vertical="center" indent="1"/>
    </xf>
    <xf numFmtId="9" fontId="49" fillId="2" borderId="17" xfId="1" applyFont="1" applyFill="1" applyBorder="1" applyAlignment="1">
      <alignment horizontal="right" vertical="center" indent="1"/>
    </xf>
    <xf numFmtId="0" fontId="43" fillId="3" borderId="12" xfId="0" applyFont="1" applyFill="1" applyBorder="1" applyAlignment="1">
      <alignment horizontal="left" vertical="center" indent="1"/>
    </xf>
    <xf numFmtId="3" fontId="5" fillId="2" borderId="0" xfId="0" applyNumberFormat="1" applyFont="1" applyFill="1" applyAlignment="1">
      <alignment horizontal="right" indent="1"/>
    </xf>
    <xf numFmtId="0" fontId="21" fillId="6" borderId="0" xfId="0" applyFont="1" applyFill="1" applyAlignment="1">
      <alignment horizontal="left" vertical="center" indent="1"/>
    </xf>
    <xf numFmtId="0" fontId="5" fillId="3" borderId="0" xfId="0" applyFont="1" applyFill="1" applyAlignment="1">
      <alignment horizontal="left" vertical="center" indent="1"/>
    </xf>
    <xf numFmtId="165" fontId="5" fillId="6" borderId="0" xfId="1" applyNumberFormat="1" applyFont="1" applyFill="1" applyBorder="1" applyAlignment="1">
      <alignment horizontal="right" vertical="center" indent="1"/>
    </xf>
    <xf numFmtId="4" fontId="5" fillId="3" borderId="0" xfId="1" applyNumberFormat="1" applyFont="1" applyFill="1" applyBorder="1" applyAlignment="1">
      <alignment horizontal="right" vertical="center" indent="1"/>
    </xf>
    <xf numFmtId="0" fontId="21" fillId="0" borderId="0" xfId="0" applyFont="1" applyAlignment="1">
      <alignment horizontal="right" vertical="center" indent="1"/>
    </xf>
    <xf numFmtId="0" fontId="21" fillId="6" borderId="0" xfId="0" applyFont="1" applyFill="1" applyAlignment="1">
      <alignment horizontal="right" vertical="center" indent="1"/>
    </xf>
    <xf numFmtId="0" fontId="21" fillId="6" borderId="0" xfId="0" applyFont="1" applyFill="1" applyAlignment="1">
      <alignment vertical="center"/>
    </xf>
    <xf numFmtId="4" fontId="5" fillId="3" borderId="0" xfId="0" applyNumberFormat="1" applyFont="1" applyFill="1" applyAlignment="1">
      <alignment horizontal="right" vertical="center" indent="1"/>
    </xf>
    <xf numFmtId="0" fontId="39" fillId="7" borderId="20" xfId="0" applyFont="1" applyFill="1" applyBorder="1" applyAlignment="1">
      <alignment horizontal="left" vertical="center" indent="1"/>
    </xf>
    <xf numFmtId="0" fontId="21" fillId="7" borderId="22" xfId="0" applyFont="1" applyFill="1" applyBorder="1" applyAlignment="1">
      <alignment horizontal="right" vertical="center" indent="1"/>
    </xf>
    <xf numFmtId="0" fontId="21" fillId="2" borderId="24" xfId="0" applyFont="1" applyFill="1" applyBorder="1" applyAlignment="1">
      <alignment horizontal="left" vertical="center" indent="1"/>
    </xf>
    <xf numFmtId="0" fontId="21" fillId="2" borderId="25" xfId="0" applyFont="1" applyFill="1" applyBorder="1" applyAlignment="1">
      <alignment horizontal="left" vertical="center" indent="1"/>
    </xf>
    <xf numFmtId="164" fontId="5" fillId="2" borderId="26" xfId="0" applyNumberFormat="1" applyFont="1" applyFill="1" applyBorder="1" applyAlignment="1">
      <alignment horizontal="right" indent="1"/>
    </xf>
    <xf numFmtId="165" fontId="44" fillId="2" borderId="0" xfId="1" applyNumberFormat="1" applyFont="1" applyFill="1" applyBorder="1" applyAlignment="1">
      <alignment horizontal="right" vertical="center" indent="1"/>
    </xf>
    <xf numFmtId="164" fontId="43" fillId="2" borderId="0" xfId="1" applyNumberFormat="1" applyFont="1" applyFill="1" applyBorder="1" applyAlignment="1">
      <alignment horizontal="right" vertical="center" indent="1"/>
    </xf>
    <xf numFmtId="165" fontId="44" fillId="2" borderId="3" xfId="1" applyNumberFormat="1" applyFont="1" applyFill="1" applyBorder="1" applyAlignment="1">
      <alignment horizontal="right" vertical="center" indent="1"/>
    </xf>
    <xf numFmtId="165" fontId="43" fillId="3" borderId="3" xfId="1" applyNumberFormat="1" applyFont="1" applyFill="1" applyBorder="1" applyAlignment="1">
      <alignment horizontal="right" vertical="center" indent="1"/>
    </xf>
    <xf numFmtId="3" fontId="5" fillId="2" borderId="3" xfId="1" applyNumberFormat="1" applyFont="1" applyFill="1" applyBorder="1" applyAlignment="1">
      <alignment horizontal="right" vertical="center" indent="1"/>
    </xf>
    <xf numFmtId="165" fontId="43" fillId="2" borderId="16" xfId="1" applyNumberFormat="1" applyFont="1" applyFill="1" applyBorder="1" applyAlignment="1">
      <alignment horizontal="right" vertical="center" indent="1"/>
    </xf>
    <xf numFmtId="164" fontId="43" fillId="2" borderId="3" xfId="1" applyNumberFormat="1" applyFont="1" applyFill="1" applyBorder="1" applyAlignment="1">
      <alignment horizontal="right" vertical="center" indent="1"/>
    </xf>
    <xf numFmtId="0" fontId="21" fillId="0" borderId="12" xfId="0" applyFont="1" applyBorder="1" applyAlignment="1">
      <alignment horizontal="right" vertical="center" indent="1"/>
    </xf>
    <xf numFmtId="0" fontId="42" fillId="0" borderId="0" xfId="0" applyFont="1" applyAlignment="1">
      <alignment horizontal="right" vertical="center" indent="1"/>
    </xf>
    <xf numFmtId="0" fontId="21" fillId="0" borderId="14" xfId="0" applyFont="1" applyBorder="1" applyAlignment="1">
      <alignment horizontal="center" vertical="center"/>
    </xf>
    <xf numFmtId="165" fontId="5" fillId="3" borderId="4" xfId="1" applyNumberFormat="1" applyFont="1" applyFill="1" applyBorder="1" applyAlignment="1">
      <alignment horizontal="right" vertical="center" indent="1"/>
    </xf>
    <xf numFmtId="165" fontId="5" fillId="2" borderId="4" xfId="1" applyNumberFormat="1" applyFont="1" applyFill="1" applyBorder="1" applyAlignment="1">
      <alignment horizontal="right" vertical="center" indent="1"/>
    </xf>
    <xf numFmtId="0" fontId="0" fillId="0" borderId="0" xfId="0" applyAlignment="1">
      <alignment horizontal="right" vertical="center" indent="1"/>
    </xf>
    <xf numFmtId="0" fontId="0" fillId="0" borderId="0" xfId="0" applyAlignment="1">
      <alignment horizontal="left" vertical="center" indent="1"/>
    </xf>
    <xf numFmtId="9" fontId="50" fillId="3" borderId="0" xfId="1" applyFont="1" applyFill="1" applyAlignment="1">
      <alignment horizontal="right" vertical="center" indent="1"/>
    </xf>
    <xf numFmtId="0" fontId="50" fillId="3" borderId="0" xfId="0" applyFont="1" applyFill="1" applyAlignment="1">
      <alignment horizontal="left" vertical="center" indent="1"/>
    </xf>
    <xf numFmtId="165" fontId="50" fillId="3" borderId="0" xfId="1" applyNumberFormat="1" applyFont="1" applyFill="1" applyAlignment="1">
      <alignment horizontal="right" vertical="center" indent="1"/>
    </xf>
    <xf numFmtId="3" fontId="50" fillId="3" borderId="0" xfId="1" applyNumberFormat="1" applyFont="1" applyFill="1" applyAlignment="1">
      <alignment horizontal="right" vertical="center" indent="1"/>
    </xf>
    <xf numFmtId="0" fontId="21" fillId="0" borderId="18" xfId="0" applyFont="1" applyBorder="1" applyAlignment="1">
      <alignment horizontal="left" vertical="center"/>
    </xf>
    <xf numFmtId="0" fontId="21" fillId="0" borderId="15" xfId="0" applyFont="1" applyBorder="1" applyAlignment="1">
      <alignment vertical="center"/>
    </xf>
    <xf numFmtId="0" fontId="21" fillId="3" borderId="0" xfId="0" applyFont="1" applyFill="1" applyAlignment="1">
      <alignment vertical="center"/>
    </xf>
    <xf numFmtId="0" fontId="39" fillId="7" borderId="4" xfId="0" applyFont="1" applyFill="1" applyBorder="1" applyAlignment="1">
      <alignment horizontal="left" vertical="center" indent="1"/>
    </xf>
    <xf numFmtId="0" fontId="53" fillId="0" borderId="0" xfId="0" applyFont="1" applyAlignment="1">
      <alignment horizontal="right" vertical="center" indent="1"/>
    </xf>
    <xf numFmtId="0" fontId="2" fillId="6" borderId="0" xfId="0" applyFont="1" applyFill="1" applyAlignment="1">
      <alignment horizontal="left" vertical="center" wrapText="1" indent="1"/>
    </xf>
    <xf numFmtId="0" fontId="2" fillId="6" borderId="0" xfId="0" applyFont="1" applyFill="1" applyAlignment="1">
      <alignment horizontal="right" vertical="center" wrapText="1" indent="1"/>
    </xf>
    <xf numFmtId="3" fontId="50" fillId="3" borderId="0" xfId="0" applyNumberFormat="1" applyFont="1" applyFill="1" applyAlignment="1">
      <alignment horizontal="right" vertical="center" indent="1"/>
    </xf>
    <xf numFmtId="164" fontId="50" fillId="3" borderId="0" xfId="1" applyNumberFormat="1" applyFont="1" applyFill="1" applyAlignment="1">
      <alignment horizontal="right" vertical="center" indent="1"/>
    </xf>
    <xf numFmtId="169" fontId="0" fillId="0" borderId="0" xfId="0" applyNumberFormat="1" applyAlignment="1">
      <alignment horizontal="left" vertical="center" indent="1"/>
    </xf>
    <xf numFmtId="0" fontId="2" fillId="0" borderId="0" xfId="0" applyFont="1" applyAlignment="1">
      <alignment horizontal="right" vertical="center" indent="1"/>
    </xf>
    <xf numFmtId="14" fontId="50" fillId="2" borderId="0" xfId="0" applyNumberFormat="1" applyFont="1" applyFill="1" applyAlignment="1">
      <alignment horizontal="right" vertical="center" indent="1"/>
    </xf>
    <xf numFmtId="0" fontId="2" fillId="6" borderId="0" xfId="0" applyFont="1" applyFill="1" applyAlignment="1">
      <alignment horizontal="left" vertical="center" indent="1"/>
    </xf>
    <xf numFmtId="0" fontId="2" fillId="6" borderId="0" xfId="0" applyFont="1" applyFill="1" applyAlignment="1">
      <alignment horizontal="right" vertical="center" indent="1"/>
    </xf>
    <xf numFmtId="4" fontId="2" fillId="2" borderId="0" xfId="0" applyNumberFormat="1" applyFont="1" applyFill="1" applyAlignment="1">
      <alignment horizontal="right" vertical="center" indent="1"/>
    </xf>
    <xf numFmtId="0" fontId="2" fillId="5" borderId="0" xfId="0" applyFont="1" applyFill="1" applyAlignment="1">
      <alignment horizontal="right" vertical="center" indent="1"/>
    </xf>
    <xf numFmtId="9" fontId="2" fillId="5" borderId="0" xfId="1" applyFont="1" applyFill="1" applyAlignment="1">
      <alignment horizontal="right" vertical="center" indent="1"/>
    </xf>
    <xf numFmtId="9" fontId="2" fillId="3" borderId="0" xfId="1" applyFont="1" applyFill="1" applyAlignment="1">
      <alignment horizontal="right" vertical="center" indent="1"/>
    </xf>
    <xf numFmtId="167" fontId="5" fillId="7" borderId="9" xfId="0" quotePrefix="1" applyNumberFormat="1" applyFont="1" applyFill="1" applyBorder="1" applyAlignment="1">
      <alignment horizontal="left" vertical="center"/>
    </xf>
    <xf numFmtId="167" fontId="5" fillId="7" borderId="11" xfId="0" applyNumberFormat="1" applyFont="1" applyFill="1" applyBorder="1" applyAlignment="1">
      <alignment horizontal="left" vertical="center"/>
    </xf>
    <xf numFmtId="167" fontId="42" fillId="0" borderId="4" xfId="0" applyNumberFormat="1" applyFont="1" applyBorder="1" applyAlignment="1">
      <alignment horizontal="left" vertical="center"/>
    </xf>
    <xf numFmtId="165" fontId="5" fillId="3" borderId="0" xfId="1" applyNumberFormat="1" applyFont="1" applyFill="1" applyAlignment="1">
      <alignment horizontal="right" vertical="center" indent="1"/>
    </xf>
    <xf numFmtId="4" fontId="5" fillId="2" borderId="4" xfId="0" applyNumberFormat="1" applyFont="1" applyFill="1" applyBorder="1" applyAlignment="1">
      <alignment horizontal="right" vertical="center" indent="1"/>
    </xf>
    <xf numFmtId="0" fontId="39" fillId="6" borderId="0" xfId="0" applyFont="1" applyFill="1" applyAlignment="1">
      <alignment horizontal="left" vertical="center" indent="1"/>
    </xf>
    <xf numFmtId="0" fontId="51" fillId="6" borderId="0" xfId="0" applyFont="1" applyFill="1" applyAlignment="1">
      <alignment horizontal="left" vertical="center" indent="1"/>
    </xf>
    <xf numFmtId="164" fontId="59" fillId="6" borderId="0" xfId="0" applyNumberFormat="1" applyFont="1" applyFill="1" applyAlignment="1">
      <alignment horizontal="left" vertical="center" indent="1"/>
    </xf>
    <xf numFmtId="0" fontId="57" fillId="6" borderId="0" xfId="0" applyFont="1" applyFill="1" applyAlignment="1">
      <alignment vertical="center"/>
    </xf>
    <xf numFmtId="0" fontId="57" fillId="6" borderId="0" xfId="0" applyFont="1" applyFill="1" applyAlignment="1">
      <alignment horizontal="left" vertical="center" indent="1"/>
    </xf>
    <xf numFmtId="0" fontId="57" fillId="6" borderId="27" xfId="0" applyFont="1" applyFill="1" applyBorder="1" applyAlignment="1">
      <alignment horizontal="left" vertical="center" indent="1"/>
    </xf>
    <xf numFmtId="0" fontId="58" fillId="6" borderId="28" xfId="0" applyFont="1" applyFill="1" applyBorder="1" applyAlignment="1">
      <alignment horizontal="left" vertical="center" indent="1"/>
    </xf>
    <xf numFmtId="0" fontId="57" fillId="0" borderId="0" xfId="0" applyFont="1" applyAlignment="1">
      <alignment horizontal="center" vertical="center"/>
    </xf>
    <xf numFmtId="0" fontId="41" fillId="0" borderId="0" xfId="0" applyFont="1" applyAlignment="1">
      <alignment horizontal="left" vertical="center" indent="1"/>
    </xf>
    <xf numFmtId="165" fontId="41" fillId="0" borderId="0" xfId="0" applyNumberFormat="1" applyFont="1" applyAlignment="1">
      <alignment horizontal="right" vertical="center" indent="1"/>
    </xf>
    <xf numFmtId="9" fontId="21" fillId="0" borderId="0" xfId="1" applyFont="1" applyAlignment="1">
      <alignment horizontal="right" vertical="center" indent="1"/>
    </xf>
    <xf numFmtId="169" fontId="2" fillId="6" borderId="0" xfId="0" applyNumberFormat="1" applyFont="1" applyFill="1" applyAlignment="1">
      <alignment horizontal="right" vertical="center" indent="1"/>
    </xf>
    <xf numFmtId="3" fontId="51" fillId="6" borderId="0" xfId="0" applyNumberFormat="1" applyFont="1" applyFill="1" applyAlignment="1">
      <alignment horizontal="right" vertical="center" wrapText="1" indent="1"/>
    </xf>
    <xf numFmtId="3" fontId="50" fillId="6" borderId="0" xfId="0" applyNumberFormat="1" applyFont="1" applyFill="1" applyAlignment="1">
      <alignment horizontal="left" indent="1"/>
    </xf>
    <xf numFmtId="3" fontId="2" fillId="6" borderId="0" xfId="0" applyNumberFormat="1" applyFont="1" applyFill="1" applyAlignment="1">
      <alignment horizontal="right" vertical="center" indent="1"/>
    </xf>
    <xf numFmtId="14" fontId="52" fillId="0" borderId="0" xfId="0" applyNumberFormat="1" applyFont="1" applyAlignment="1">
      <alignment horizontal="center" vertical="center"/>
    </xf>
    <xf numFmtId="164" fontId="0" fillId="0" borderId="0" xfId="0" applyNumberFormat="1"/>
    <xf numFmtId="0" fontId="0" fillId="0" borderId="0" xfId="0" applyAlignment="1">
      <alignment vertical="center"/>
    </xf>
    <xf numFmtId="3" fontId="2" fillId="7" borderId="0" xfId="0" applyNumberFormat="1" applyFont="1" applyFill="1" applyAlignment="1">
      <alignment horizontal="left" vertical="center" indent="1"/>
    </xf>
    <xf numFmtId="3" fontId="2" fillId="7" borderId="0" xfId="0" applyNumberFormat="1" applyFont="1" applyFill="1" applyAlignment="1">
      <alignment horizontal="right" vertical="center" indent="1"/>
    </xf>
    <xf numFmtId="0" fontId="61" fillId="0" borderId="0" xfId="0" applyFont="1" applyAlignment="1">
      <alignment horizontal="right" vertical="center" indent="1"/>
    </xf>
    <xf numFmtId="3" fontId="2" fillId="7" borderId="0" xfId="1" applyNumberFormat="1" applyFont="1" applyFill="1" applyBorder="1" applyAlignment="1">
      <alignment horizontal="right" vertical="center" indent="1"/>
    </xf>
    <xf numFmtId="9" fontId="2" fillId="7" borderId="0" xfId="1" applyFont="1" applyFill="1" applyBorder="1" applyAlignment="1">
      <alignment horizontal="right" vertical="center" indent="1"/>
    </xf>
    <xf numFmtId="164" fontId="2" fillId="7" borderId="0" xfId="1" applyNumberFormat="1" applyFont="1" applyFill="1" applyBorder="1" applyAlignment="1">
      <alignment horizontal="right" vertical="center" indent="1"/>
    </xf>
    <xf numFmtId="165" fontId="2" fillId="7" borderId="0" xfId="1" applyNumberFormat="1" applyFont="1" applyFill="1" applyBorder="1" applyAlignment="1">
      <alignment horizontal="right" vertical="center" indent="1"/>
    </xf>
    <xf numFmtId="0" fontId="2" fillId="0" borderId="0" xfId="0" applyFont="1" applyAlignment="1">
      <alignment horizontal="center" vertical="center"/>
    </xf>
    <xf numFmtId="3" fontId="2" fillId="0" borderId="0" xfId="0" applyNumberFormat="1" applyFont="1" applyAlignment="1">
      <alignment horizontal="center" vertical="center"/>
    </xf>
    <xf numFmtId="3" fontId="3" fillId="6" borderId="0" xfId="0" applyNumberFormat="1" applyFont="1" applyFill="1" applyAlignment="1">
      <alignment horizontal="right" vertical="center" wrapText="1" indent="1"/>
    </xf>
    <xf numFmtId="164" fontId="50" fillId="3" borderId="0" xfId="0" applyNumberFormat="1" applyFont="1" applyFill="1" applyAlignment="1">
      <alignment horizontal="right" vertical="center" indent="1"/>
    </xf>
    <xf numFmtId="165" fontId="2" fillId="3" borderId="0" xfId="0" applyNumberFormat="1" applyFont="1" applyFill="1" applyAlignment="1">
      <alignment horizontal="right" vertical="center" indent="1"/>
    </xf>
    <xf numFmtId="164" fontId="2" fillId="3" borderId="0" xfId="0" applyNumberFormat="1" applyFont="1" applyFill="1" applyAlignment="1">
      <alignment horizontal="right" vertical="center" indent="1"/>
    </xf>
    <xf numFmtId="0" fontId="0" fillId="0" borderId="0" xfId="0" applyAlignment="1">
      <alignment horizontal="left" indent="1"/>
    </xf>
    <xf numFmtId="3" fontId="2" fillId="2" borderId="0" xfId="0" applyNumberFormat="1" applyFont="1" applyFill="1" applyAlignment="1">
      <alignment horizontal="right" vertical="center" indent="1"/>
    </xf>
    <xf numFmtId="3" fontId="2" fillId="2" borderId="0" xfId="0" applyNumberFormat="1" applyFont="1" applyFill="1" applyAlignment="1">
      <alignment horizontal="left" vertical="center" indent="1"/>
    </xf>
    <xf numFmtId="0" fontId="54" fillId="2" borderId="0" xfId="0" applyFont="1" applyFill="1" applyAlignment="1">
      <alignment horizontal="left" vertical="center" indent="1"/>
    </xf>
    <xf numFmtId="0" fontId="60" fillId="0" borderId="0" xfId="0" applyFont="1" applyAlignment="1">
      <alignment horizontal="right" vertical="center" indent="1"/>
    </xf>
    <xf numFmtId="3" fontId="62" fillId="2" borderId="0" xfId="0" applyNumberFormat="1" applyFont="1" applyFill="1" applyAlignment="1">
      <alignment horizontal="left" vertical="center" indent="1"/>
    </xf>
    <xf numFmtId="3" fontId="62" fillId="2" borderId="0" xfId="0" applyNumberFormat="1" applyFont="1" applyFill="1" applyAlignment="1">
      <alignment horizontal="right" vertical="center" indent="1"/>
    </xf>
    <xf numFmtId="0" fontId="60" fillId="0" borderId="0" xfId="0" applyFont="1" applyAlignment="1">
      <alignment vertical="center"/>
    </xf>
    <xf numFmtId="3" fontId="2" fillId="0" borderId="0" xfId="0" applyNumberFormat="1" applyFont="1" applyAlignment="1">
      <alignment horizontal="right" vertical="center" indent="1"/>
    </xf>
    <xf numFmtId="3" fontId="63" fillId="6" borderId="0" xfId="0" applyNumberFormat="1" applyFont="1" applyFill="1" applyAlignment="1">
      <alignment horizontal="right" vertical="center" indent="1"/>
    </xf>
    <xf numFmtId="167" fontId="63" fillId="3" borderId="0" xfId="0" applyNumberFormat="1" applyFont="1" applyFill="1" applyAlignment="1">
      <alignment horizontal="right" vertical="center" indent="1"/>
    </xf>
    <xf numFmtId="167" fontId="2" fillId="6" borderId="0" xfId="0" applyNumberFormat="1" applyFont="1" applyFill="1" applyAlignment="1">
      <alignment horizontal="right" vertical="center" indent="1"/>
    </xf>
    <xf numFmtId="165" fontId="51" fillId="2" borderId="0" xfId="1" applyNumberFormat="1" applyFont="1" applyFill="1" applyBorder="1" applyAlignment="1">
      <alignment horizontal="right" vertical="center" indent="1"/>
    </xf>
    <xf numFmtId="164" fontId="2" fillId="2" borderId="0" xfId="0" applyNumberFormat="1" applyFont="1" applyFill="1" applyAlignment="1">
      <alignment horizontal="right" vertical="center" indent="1"/>
    </xf>
    <xf numFmtId="3" fontId="2" fillId="2" borderId="0" xfId="0" applyNumberFormat="1" applyFont="1" applyFill="1" applyAlignment="1">
      <alignment horizontal="center" vertical="center"/>
    </xf>
    <xf numFmtId="0" fontId="2" fillId="6" borderId="0" xfId="0" applyFont="1" applyFill="1" applyAlignment="1">
      <alignment vertical="center"/>
    </xf>
    <xf numFmtId="0" fontId="57" fillId="6" borderId="0" xfId="0" applyFont="1" applyFill="1" applyAlignment="1">
      <alignment horizontal="right" vertical="center" indent="1"/>
    </xf>
    <xf numFmtId="0" fontId="5" fillId="2" borderId="0" xfId="0" applyFont="1" applyFill="1" applyAlignment="1">
      <alignment horizontal="center" vertical="center"/>
    </xf>
    <xf numFmtId="0" fontId="59" fillId="4" borderId="14" xfId="0" applyFont="1" applyFill="1" applyBorder="1" applyAlignment="1">
      <alignment vertical="center"/>
    </xf>
    <xf numFmtId="0" fontId="55" fillId="0" borderId="0" xfId="0" applyFont="1" applyAlignment="1">
      <alignment horizontal="right" vertical="center" indent="1"/>
    </xf>
    <xf numFmtId="0" fontId="54" fillId="6" borderId="0" xfId="0" applyFont="1" applyFill="1" applyAlignment="1">
      <alignment horizontal="left" vertical="center" indent="1"/>
    </xf>
    <xf numFmtId="0" fontId="54" fillId="6" borderId="0" xfId="0" applyFont="1" applyFill="1" applyAlignment="1">
      <alignment horizontal="right" vertical="center" indent="1"/>
    </xf>
    <xf numFmtId="0" fontId="54" fillId="0" borderId="0" xfId="0" applyFont="1" applyAlignment="1">
      <alignment horizontal="right" vertical="center" indent="1"/>
    </xf>
    <xf numFmtId="3" fontId="5" fillId="2" borderId="31" xfId="0" applyNumberFormat="1" applyFont="1" applyFill="1" applyBorder="1" applyAlignment="1">
      <alignment horizontal="right" indent="1"/>
    </xf>
    <xf numFmtId="164" fontId="5" fillId="2" borderId="32" xfId="0" applyNumberFormat="1" applyFont="1" applyFill="1" applyBorder="1" applyAlignment="1">
      <alignment horizontal="right" indent="1"/>
    </xf>
    <xf numFmtId="0" fontId="21" fillId="7" borderId="31" xfId="0" applyFont="1" applyFill="1" applyBorder="1" applyAlignment="1">
      <alignment horizontal="right" vertical="center" indent="1"/>
    </xf>
    <xf numFmtId="0" fontId="21" fillId="7" borderId="3" xfId="0" applyFont="1" applyFill="1" applyBorder="1" applyAlignment="1">
      <alignment horizontal="right" vertical="center" indent="1"/>
    </xf>
    <xf numFmtId="165" fontId="5" fillId="3" borderId="3" xfId="1" applyNumberFormat="1" applyFont="1" applyFill="1" applyBorder="1" applyAlignment="1">
      <alignment horizontal="right" vertical="center" indent="1"/>
    </xf>
    <xf numFmtId="4" fontId="5" fillId="3" borderId="3" xfId="1" applyNumberFormat="1" applyFont="1" applyFill="1" applyBorder="1" applyAlignment="1">
      <alignment horizontal="right" vertical="center" indent="1"/>
    </xf>
    <xf numFmtId="165" fontId="5" fillId="6" borderId="3" xfId="1" applyNumberFormat="1" applyFont="1" applyFill="1" applyBorder="1" applyAlignment="1">
      <alignment horizontal="right" vertical="center" indent="1"/>
    </xf>
    <xf numFmtId="0" fontId="21" fillId="3" borderId="3" xfId="0" applyFont="1" applyFill="1" applyBorder="1" applyAlignment="1">
      <alignment vertical="center"/>
    </xf>
    <xf numFmtId="4" fontId="5" fillId="3" borderId="31" xfId="1" applyNumberFormat="1" applyFont="1" applyFill="1" applyBorder="1" applyAlignment="1">
      <alignment horizontal="right" vertical="center" indent="1"/>
    </xf>
    <xf numFmtId="0" fontId="64" fillId="0" borderId="0" xfId="0" applyFont="1" applyAlignment="1">
      <alignment horizontal="left" vertical="center"/>
    </xf>
    <xf numFmtId="0" fontId="66" fillId="0" borderId="0" xfId="0" applyFont="1" applyAlignment="1">
      <alignment horizontal="center" vertical="center"/>
    </xf>
    <xf numFmtId="0" fontId="52" fillId="0" borderId="0" xfId="0" applyFont="1"/>
    <xf numFmtId="0" fontId="66" fillId="0" borderId="0" xfId="0" applyFont="1"/>
    <xf numFmtId="0" fontId="56" fillId="14" borderId="0" xfId="0" applyFont="1" applyFill="1" applyAlignment="1">
      <alignment horizontal="left" vertical="center" indent="1"/>
    </xf>
    <xf numFmtId="14" fontId="4" fillId="14" borderId="0" xfId="0" applyNumberFormat="1" applyFont="1" applyFill="1" applyAlignment="1">
      <alignment horizontal="left" vertical="center" indent="1"/>
    </xf>
    <xf numFmtId="0" fontId="0" fillId="2" borderId="0" xfId="0" applyFill="1" applyAlignment="1">
      <alignment horizontal="right" vertical="center" indent="1"/>
    </xf>
    <xf numFmtId="3" fontId="0" fillId="2" borderId="0" xfId="0" applyNumberFormat="1" applyFill="1" applyAlignment="1">
      <alignment horizontal="right" vertical="center" indent="1"/>
    </xf>
    <xf numFmtId="0" fontId="2" fillId="2" borderId="0" xfId="0" applyFont="1" applyFill="1" applyAlignment="1">
      <alignment horizontal="left" vertical="center" indent="1"/>
    </xf>
    <xf numFmtId="14" fontId="4" fillId="2" borderId="0" xfId="0" applyNumberFormat="1" applyFont="1" applyFill="1" applyAlignment="1">
      <alignment horizontal="right" vertical="center" indent="1"/>
    </xf>
    <xf numFmtId="0" fontId="50" fillId="2" borderId="0" xfId="0" applyFont="1" applyFill="1" applyAlignment="1">
      <alignment horizontal="left" vertical="center" indent="1"/>
    </xf>
    <xf numFmtId="14" fontId="50" fillId="2" borderId="0" xfId="0" applyNumberFormat="1" applyFont="1" applyFill="1" applyAlignment="1">
      <alignment horizontal="left" vertical="center" indent="1"/>
    </xf>
    <xf numFmtId="0" fontId="50" fillId="2" borderId="0" xfId="0" applyFont="1" applyFill="1" applyAlignment="1">
      <alignment horizontal="left" vertical="center" wrapText="1" indent="1"/>
    </xf>
    <xf numFmtId="0" fontId="50" fillId="2" borderId="0" xfId="0" applyFont="1" applyFill="1" applyAlignment="1">
      <alignment horizontal="left" vertical="top" indent="1"/>
    </xf>
    <xf numFmtId="0" fontId="0" fillId="2" borderId="0" xfId="0" applyFill="1" applyAlignment="1">
      <alignment vertical="center"/>
    </xf>
    <xf numFmtId="169" fontId="67" fillId="2" borderId="0" xfId="0" applyNumberFormat="1" applyFont="1" applyFill="1" applyAlignment="1">
      <alignment horizontal="right" vertical="center" indent="1"/>
    </xf>
    <xf numFmtId="1" fontId="50" fillId="2" borderId="0" xfId="0" applyNumberFormat="1" applyFont="1" applyFill="1" applyAlignment="1">
      <alignment horizontal="right" vertical="center" indent="1"/>
    </xf>
    <xf numFmtId="170" fontId="50" fillId="2" borderId="0" xfId="0" applyNumberFormat="1" applyFont="1" applyFill="1" applyAlignment="1">
      <alignment horizontal="right" vertical="center" indent="1"/>
    </xf>
    <xf numFmtId="9" fontId="50" fillId="2" borderId="0" xfId="0" applyNumberFormat="1" applyFont="1" applyFill="1" applyAlignment="1">
      <alignment horizontal="right" vertical="center" indent="1"/>
    </xf>
    <xf numFmtId="169" fontId="50" fillId="2" borderId="0" xfId="0" applyNumberFormat="1" applyFont="1" applyFill="1" applyAlignment="1">
      <alignment horizontal="right" vertical="center" indent="1"/>
    </xf>
    <xf numFmtId="164" fontId="2" fillId="15" borderId="0" xfId="0" applyNumberFormat="1" applyFont="1" applyFill="1" applyAlignment="1">
      <alignment horizontal="center" vertical="center"/>
    </xf>
    <xf numFmtId="169" fontId="2" fillId="2" borderId="0" xfId="0" applyNumberFormat="1" applyFont="1" applyFill="1" applyAlignment="1">
      <alignment horizontal="right" vertical="center" indent="1"/>
    </xf>
    <xf numFmtId="170" fontId="0" fillId="2" borderId="0" xfId="0" applyNumberFormat="1" applyFill="1" applyAlignment="1">
      <alignment horizontal="left" vertical="center" indent="1"/>
    </xf>
    <xf numFmtId="169" fontId="0" fillId="2" borderId="0" xfId="0" applyNumberFormat="1" applyFill="1"/>
    <xf numFmtId="169" fontId="50" fillId="2" borderId="0" xfId="1" applyNumberFormat="1" applyFont="1" applyFill="1" applyBorder="1" applyAlignment="1">
      <alignment horizontal="right" vertical="center" indent="1"/>
    </xf>
    <xf numFmtId="3" fontId="50" fillId="2" borderId="0" xfId="0" applyNumberFormat="1" applyFont="1" applyFill="1" applyAlignment="1">
      <alignment horizontal="right" vertical="center" indent="1"/>
    </xf>
    <xf numFmtId="3" fontId="0" fillId="2" borderId="0" xfId="0" applyNumberFormat="1" applyFill="1" applyAlignment="1">
      <alignment vertical="center"/>
    </xf>
    <xf numFmtId="3" fontId="50" fillId="2" borderId="0" xfId="0" applyNumberFormat="1" applyFont="1" applyFill="1" applyAlignment="1">
      <alignment horizontal="left" vertical="center" indent="1"/>
    </xf>
    <xf numFmtId="0" fontId="0" fillId="2" borderId="0" xfId="0" applyFill="1"/>
    <xf numFmtId="3" fontId="50" fillId="2" borderId="0" xfId="1" applyNumberFormat="1" applyFont="1" applyFill="1" applyAlignment="1">
      <alignment horizontal="right" vertical="center" indent="1"/>
    </xf>
    <xf numFmtId="0" fontId="50" fillId="2" borderId="0" xfId="0" applyFont="1" applyFill="1" applyAlignment="1">
      <alignment horizontal="right" vertical="center" indent="1"/>
    </xf>
    <xf numFmtId="0" fontId="0" fillId="16" borderId="0" xfId="0" applyFill="1" applyAlignment="1">
      <alignment horizontal="right" vertical="center" indent="1"/>
    </xf>
    <xf numFmtId="3" fontId="0" fillId="0" borderId="0" xfId="0" applyNumberFormat="1" applyAlignment="1">
      <alignment horizontal="right" vertical="center" indent="1"/>
    </xf>
    <xf numFmtId="3" fontId="0" fillId="2" borderId="0" xfId="0" applyNumberFormat="1" applyFill="1"/>
    <xf numFmtId="165" fontId="50" fillId="2" borderId="0" xfId="1" applyNumberFormat="1" applyFont="1" applyFill="1" applyAlignment="1">
      <alignment horizontal="right" vertical="center" indent="1"/>
    </xf>
    <xf numFmtId="0" fontId="50" fillId="2" borderId="0" xfId="0" applyFont="1" applyFill="1" applyAlignment="1">
      <alignment horizontal="center" vertical="center"/>
    </xf>
    <xf numFmtId="165" fontId="50" fillId="2" borderId="0" xfId="1" applyNumberFormat="1" applyFont="1" applyFill="1" applyBorder="1" applyAlignment="1">
      <alignment horizontal="right" vertical="center" indent="1"/>
    </xf>
    <xf numFmtId="0" fontId="2" fillId="2" borderId="0" xfId="0" applyFont="1" applyFill="1" applyAlignment="1">
      <alignment vertical="center"/>
    </xf>
    <xf numFmtId="9" fontId="50" fillId="2" borderId="0" xfId="1" applyFont="1" applyFill="1" applyBorder="1" applyAlignment="1">
      <alignment horizontal="right" vertical="center" indent="1"/>
    </xf>
    <xf numFmtId="9" fontId="50" fillId="2" borderId="0" xfId="1" applyFont="1" applyFill="1" applyAlignment="1">
      <alignment horizontal="right" vertical="center" indent="1"/>
    </xf>
    <xf numFmtId="9" fontId="2" fillId="2" borderId="0" xfId="1" applyFont="1" applyFill="1" applyBorder="1" applyAlignment="1">
      <alignment horizontal="right" indent="1"/>
    </xf>
    <xf numFmtId="164" fontId="50" fillId="2" borderId="0" xfId="1" applyNumberFormat="1" applyFont="1" applyFill="1" applyAlignment="1">
      <alignment horizontal="right" vertical="center" indent="1"/>
    </xf>
    <xf numFmtId="3" fontId="2" fillId="2" borderId="0" xfId="1" applyNumberFormat="1" applyFont="1" applyFill="1" applyAlignment="1">
      <alignment horizontal="right" vertical="center" indent="1"/>
    </xf>
    <xf numFmtId="164" fontId="50" fillId="2" borderId="0" xfId="0" applyNumberFormat="1" applyFont="1" applyFill="1" applyAlignment="1">
      <alignment horizontal="right" vertical="center" indent="1"/>
    </xf>
    <xf numFmtId="4" fontId="50" fillId="2" borderId="0" xfId="0" applyNumberFormat="1" applyFont="1" applyFill="1" applyAlignment="1">
      <alignment horizontal="right" vertical="center" indent="1"/>
    </xf>
    <xf numFmtId="2" fontId="50" fillId="2" borderId="0" xfId="1" applyNumberFormat="1" applyFont="1" applyFill="1" applyBorder="1" applyAlignment="1">
      <alignment horizontal="right" vertical="center" indent="1"/>
    </xf>
    <xf numFmtId="165" fontId="2" fillId="2" borderId="0" xfId="1" applyNumberFormat="1" applyFont="1" applyFill="1" applyAlignment="1">
      <alignment horizontal="right" vertical="center" indent="1"/>
    </xf>
    <xf numFmtId="10" fontId="50" fillId="2" borderId="0" xfId="1" applyNumberFormat="1" applyFont="1" applyFill="1" applyAlignment="1">
      <alignment horizontal="right" vertical="center" indent="1"/>
    </xf>
    <xf numFmtId="10" fontId="50" fillId="2" borderId="0" xfId="1" applyNumberFormat="1" applyFont="1" applyFill="1" applyBorder="1" applyAlignment="1">
      <alignment horizontal="right" vertical="center" indent="1"/>
    </xf>
    <xf numFmtId="3" fontId="50" fillId="2" borderId="0" xfId="1" applyNumberFormat="1" applyFont="1" applyFill="1" applyBorder="1" applyAlignment="1">
      <alignment horizontal="right" vertical="center" indent="1"/>
    </xf>
    <xf numFmtId="0" fontId="0" fillId="2" borderId="47" xfId="0" applyFill="1" applyBorder="1"/>
    <xf numFmtId="0" fontId="0" fillId="2" borderId="0" xfId="0" applyFill="1" applyAlignment="1">
      <alignment horizontal="center" vertical="center"/>
    </xf>
    <xf numFmtId="165" fontId="0" fillId="2" borderId="0" xfId="0" applyNumberFormat="1" applyFill="1"/>
    <xf numFmtId="3" fontId="50" fillId="3" borderId="0" xfId="1" applyNumberFormat="1" applyFont="1" applyFill="1" applyBorder="1" applyAlignment="1">
      <alignment horizontal="right" vertical="center" indent="1"/>
    </xf>
    <xf numFmtId="0" fontId="0" fillId="2" borderId="48" xfId="0" applyFill="1" applyBorder="1"/>
    <xf numFmtId="0" fontId="50" fillId="0" borderId="0" xfId="0" applyFont="1" applyAlignment="1">
      <alignment horizontal="left" vertical="center" indent="1"/>
    </xf>
    <xf numFmtId="169" fontId="2" fillId="0" borderId="0" xfId="0" applyNumberFormat="1" applyFont="1" applyAlignment="1">
      <alignment horizontal="center" vertical="center"/>
    </xf>
    <xf numFmtId="0" fontId="50" fillId="0" borderId="0" xfId="0" applyFont="1" applyAlignment="1">
      <alignment horizontal="right" vertical="center" indent="1"/>
    </xf>
    <xf numFmtId="170" fontId="0" fillId="0" borderId="0" xfId="0" applyNumberFormat="1" applyAlignment="1">
      <alignment horizontal="left" vertical="center" indent="1"/>
    </xf>
    <xf numFmtId="169" fontId="0" fillId="0" borderId="0" xfId="0" applyNumberFormat="1"/>
    <xf numFmtId="3" fontId="0" fillId="0" borderId="0" xfId="0" applyNumberFormat="1"/>
    <xf numFmtId="3" fontId="3" fillId="6" borderId="0" xfId="0" applyNumberFormat="1" applyFont="1" applyFill="1" applyAlignment="1">
      <alignment horizontal="left" vertical="center" indent="1"/>
    </xf>
    <xf numFmtId="3" fontId="0" fillId="6" borderId="0" xfId="0" applyNumberFormat="1" applyFill="1"/>
    <xf numFmtId="3" fontId="0" fillId="6" borderId="0" xfId="0" applyNumberFormat="1" applyFill="1" applyAlignment="1">
      <alignment vertical="center"/>
    </xf>
    <xf numFmtId="0" fontId="0" fillId="16" borderId="0" xfId="0" applyFill="1"/>
    <xf numFmtId="10" fontId="50" fillId="15" borderId="0" xfId="1" applyNumberFormat="1" applyFont="1" applyFill="1" applyAlignment="1">
      <alignment horizontal="center" vertical="center"/>
    </xf>
    <xf numFmtId="171" fontId="50" fillId="15" borderId="0" xfId="1" applyNumberFormat="1" applyFont="1" applyFill="1" applyAlignment="1">
      <alignment horizontal="left" vertical="center" indent="3"/>
    </xf>
    <xf numFmtId="10" fontId="50" fillId="15" borderId="0" xfId="1" applyNumberFormat="1" applyFont="1" applyFill="1" applyAlignment="1">
      <alignment horizontal="left" vertical="center" indent="1"/>
    </xf>
    <xf numFmtId="10" fontId="50" fillId="15" borderId="0" xfId="1" applyNumberFormat="1" applyFont="1" applyFill="1" applyAlignment="1">
      <alignment horizontal="right" vertical="center" indent="1"/>
    </xf>
    <xf numFmtId="10" fontId="50" fillId="15" borderId="0" xfId="1" applyNumberFormat="1" applyFont="1" applyFill="1" applyBorder="1" applyAlignment="1">
      <alignment horizontal="right" vertical="center" indent="1"/>
    </xf>
    <xf numFmtId="165" fontId="50" fillId="15" borderId="0" xfId="1" applyNumberFormat="1" applyFont="1" applyFill="1" applyAlignment="1">
      <alignment horizontal="right" vertical="center" indent="1"/>
    </xf>
    <xf numFmtId="165" fontId="50" fillId="15" borderId="0" xfId="1" applyNumberFormat="1" applyFont="1" applyFill="1" applyBorder="1" applyAlignment="1">
      <alignment horizontal="right" vertical="center" indent="1"/>
    </xf>
    <xf numFmtId="3" fontId="50" fillId="15" borderId="0" xfId="1" applyNumberFormat="1" applyFont="1" applyFill="1" applyBorder="1" applyAlignment="1">
      <alignment horizontal="right" vertical="center" indent="1"/>
    </xf>
    <xf numFmtId="0" fontId="2" fillId="0" borderId="0" xfId="0" applyFont="1" applyAlignment="1">
      <alignment vertical="center"/>
    </xf>
    <xf numFmtId="0" fontId="0" fillId="0" borderId="47" xfId="0" applyBorder="1"/>
    <xf numFmtId="0" fontId="0" fillId="0" borderId="0" xfId="0" applyAlignment="1">
      <alignment horizontal="center" vertical="center"/>
    </xf>
    <xf numFmtId="169" fontId="50" fillId="6" borderId="0" xfId="0" applyNumberFormat="1" applyFont="1" applyFill="1" applyAlignment="1">
      <alignment horizontal="right" vertical="center" indent="1"/>
    </xf>
    <xf numFmtId="3" fontId="3" fillId="2" borderId="0" xfId="1" applyNumberFormat="1" applyFont="1" applyFill="1" applyBorder="1" applyAlignment="1">
      <alignment horizontal="left" vertical="center" indent="1"/>
    </xf>
    <xf numFmtId="9" fontId="0" fillId="0" borderId="0" xfId="0" applyNumberFormat="1"/>
    <xf numFmtId="0" fontId="0" fillId="0" borderId="48" xfId="0" applyBorder="1"/>
    <xf numFmtId="164" fontId="2" fillId="6" borderId="0" xfId="0" applyNumberFormat="1" applyFont="1" applyFill="1" applyAlignment="1">
      <alignment horizontal="right" vertical="center" indent="1"/>
    </xf>
    <xf numFmtId="170" fontId="2" fillId="6" borderId="0" xfId="0" applyNumberFormat="1" applyFont="1" applyFill="1" applyAlignment="1">
      <alignment horizontal="right" vertical="center" indent="1"/>
    </xf>
    <xf numFmtId="169" fontId="2" fillId="6" borderId="0" xfId="0" applyNumberFormat="1" applyFont="1" applyFill="1" applyAlignment="1">
      <alignment horizontal="left" vertical="center" indent="1"/>
    </xf>
    <xf numFmtId="170" fontId="0" fillId="6" borderId="0" xfId="0" applyNumberFormat="1" applyFill="1" applyAlignment="1">
      <alignment horizontal="right" vertical="center" indent="1"/>
    </xf>
    <xf numFmtId="1" fontId="2" fillId="6" borderId="0" xfId="0" applyNumberFormat="1" applyFont="1" applyFill="1" applyAlignment="1">
      <alignment horizontal="right" vertical="center" indent="1"/>
    </xf>
    <xf numFmtId="1" fontId="50" fillId="6" borderId="0" xfId="0" applyNumberFormat="1" applyFont="1" applyFill="1" applyAlignment="1">
      <alignment horizontal="right" vertical="center" indent="1"/>
    </xf>
    <xf numFmtId="1" fontId="2" fillId="6" borderId="28" xfId="0" applyNumberFormat="1" applyFont="1" applyFill="1" applyBorder="1" applyAlignment="1">
      <alignment horizontal="right" vertical="center" indent="1"/>
    </xf>
    <xf numFmtId="169" fontId="50" fillId="6" borderId="27" xfId="0" applyNumberFormat="1" applyFont="1" applyFill="1" applyBorder="1" applyAlignment="1">
      <alignment horizontal="right" vertical="center" indent="1"/>
    </xf>
    <xf numFmtId="169" fontId="50" fillId="6" borderId="28" xfId="0" applyNumberFormat="1" applyFont="1" applyFill="1" applyBorder="1" applyAlignment="1">
      <alignment horizontal="right" vertical="center" indent="1"/>
    </xf>
    <xf numFmtId="3" fontId="2" fillId="6" borderId="0" xfId="0" applyNumberFormat="1" applyFont="1" applyFill="1" applyAlignment="1">
      <alignment horizontal="left" vertical="center" indent="1"/>
    </xf>
    <xf numFmtId="0" fontId="50" fillId="6" borderId="0" xfId="0" applyFont="1" applyFill="1" applyAlignment="1">
      <alignment horizontal="right" vertical="center" indent="1"/>
    </xf>
    <xf numFmtId="0" fontId="50" fillId="6" borderId="0" xfId="0" applyFont="1" applyFill="1" applyAlignment="1">
      <alignment horizontal="center" vertical="center"/>
    </xf>
    <xf numFmtId="0" fontId="2" fillId="6" borderId="0" xfId="0" applyFont="1" applyFill="1" applyAlignment="1">
      <alignment horizontal="center" vertical="center"/>
    </xf>
    <xf numFmtId="3" fontId="50" fillId="3" borderId="0" xfId="0" applyNumberFormat="1" applyFont="1" applyFill="1" applyAlignment="1">
      <alignment horizontal="center" vertical="center"/>
    </xf>
    <xf numFmtId="169" fontId="0" fillId="0" borderId="0" xfId="0" applyNumberFormat="1" applyAlignment="1">
      <alignment horizontal="right" vertical="center" indent="1"/>
    </xf>
    <xf numFmtId="165" fontId="50" fillId="6" borderId="0" xfId="1" applyNumberFormat="1" applyFont="1" applyFill="1" applyBorder="1" applyAlignment="1">
      <alignment horizontal="right" vertical="center" indent="1"/>
    </xf>
    <xf numFmtId="0" fontId="0" fillId="6" borderId="0" xfId="0" applyFill="1" applyAlignment="1">
      <alignment horizontal="right" vertical="center" indent="1"/>
    </xf>
    <xf numFmtId="165" fontId="2" fillId="6" borderId="49" xfId="1" applyNumberFormat="1" applyFont="1" applyFill="1" applyBorder="1" applyAlignment="1">
      <alignment horizontal="right" vertical="center" indent="1"/>
    </xf>
    <xf numFmtId="0" fontId="60" fillId="17" borderId="0" xfId="0" applyFont="1" applyFill="1" applyAlignment="1">
      <alignment horizontal="left" vertical="center" indent="1"/>
    </xf>
    <xf numFmtId="164" fontId="69" fillId="6" borderId="0" xfId="0" applyNumberFormat="1" applyFont="1" applyFill="1" applyAlignment="1">
      <alignment horizontal="right" vertical="center" indent="1"/>
    </xf>
    <xf numFmtId="0" fontId="3" fillId="6" borderId="0" xfId="0" applyFont="1" applyFill="1" applyAlignment="1">
      <alignment horizontal="right" vertical="center" indent="1"/>
    </xf>
    <xf numFmtId="3" fontId="69" fillId="6" borderId="0" xfId="0" applyNumberFormat="1" applyFont="1" applyFill="1" applyAlignment="1">
      <alignment horizontal="right" vertical="center" indent="1"/>
    </xf>
    <xf numFmtId="3" fontId="3" fillId="6" borderId="0" xfId="0" applyNumberFormat="1" applyFont="1" applyFill="1" applyAlignment="1">
      <alignment horizontal="right" vertical="center" indent="1"/>
    </xf>
    <xf numFmtId="165" fontId="2" fillId="5" borderId="0" xfId="1" applyNumberFormat="1" applyFont="1" applyFill="1" applyBorder="1" applyAlignment="1">
      <alignment horizontal="right" vertical="center" indent="1"/>
    </xf>
    <xf numFmtId="0" fontId="0" fillId="0" borderId="47" xfId="0" applyBorder="1" applyAlignment="1">
      <alignment horizontal="right" vertical="center" indent="1"/>
    </xf>
    <xf numFmtId="1" fontId="2" fillId="6" borderId="1" xfId="0" applyNumberFormat="1" applyFont="1" applyFill="1" applyBorder="1" applyAlignment="1">
      <alignment horizontal="right" vertical="center" indent="1"/>
    </xf>
    <xf numFmtId="3" fontId="2" fillId="6" borderId="50" xfId="0" applyNumberFormat="1" applyFont="1" applyFill="1" applyBorder="1" applyAlignment="1">
      <alignment horizontal="right" vertical="center" indent="1"/>
    </xf>
    <xf numFmtId="0" fontId="0" fillId="0" borderId="48" xfId="0" applyBorder="1" applyAlignment="1">
      <alignment horizontal="right" vertical="center" indent="1"/>
    </xf>
    <xf numFmtId="169" fontId="51" fillId="6" borderId="0" xfId="0" quotePrefix="1" applyNumberFormat="1" applyFont="1" applyFill="1" applyAlignment="1">
      <alignment horizontal="right" vertical="center" indent="1"/>
    </xf>
    <xf numFmtId="169" fontId="3" fillId="6" borderId="0" xfId="0" applyNumberFormat="1" applyFont="1" applyFill="1" applyAlignment="1">
      <alignment horizontal="right" vertical="center" indent="1"/>
    </xf>
    <xf numFmtId="169" fontId="51" fillId="6" borderId="27" xfId="0" applyNumberFormat="1" applyFont="1" applyFill="1" applyBorder="1" applyAlignment="1">
      <alignment horizontal="right" vertical="center" indent="1"/>
    </xf>
    <xf numFmtId="169" fontId="51" fillId="6" borderId="0" xfId="0" applyNumberFormat="1" applyFont="1" applyFill="1" applyAlignment="1">
      <alignment horizontal="center" vertical="center"/>
    </xf>
    <xf numFmtId="169" fontId="51" fillId="6" borderId="28" xfId="0" applyNumberFormat="1" applyFont="1" applyFill="1" applyBorder="1" applyAlignment="1">
      <alignment horizontal="right" vertical="center" indent="1"/>
    </xf>
    <xf numFmtId="169" fontId="51" fillId="6" borderId="27" xfId="0" applyNumberFormat="1" applyFont="1" applyFill="1" applyBorder="1" applyAlignment="1">
      <alignment horizontal="center" vertical="center"/>
    </xf>
    <xf numFmtId="169" fontId="51" fillId="6" borderId="0" xfId="0" applyNumberFormat="1" applyFont="1" applyFill="1" applyAlignment="1">
      <alignment horizontal="right" vertical="center" indent="1"/>
    </xf>
    <xf numFmtId="169" fontId="51" fillId="6" borderId="0" xfId="0" applyNumberFormat="1" applyFont="1" applyFill="1" applyAlignment="1">
      <alignment vertical="center"/>
    </xf>
    <xf numFmtId="169" fontId="51" fillId="6" borderId="0" xfId="0" applyNumberFormat="1" applyFont="1" applyFill="1" applyAlignment="1">
      <alignment horizontal="left" vertical="center" indent="1"/>
    </xf>
    <xf numFmtId="0" fontId="56" fillId="6" borderId="0" xfId="0" applyFont="1" applyFill="1" applyAlignment="1">
      <alignment horizontal="right" vertical="center" indent="1"/>
    </xf>
    <xf numFmtId="0" fontId="52" fillId="6" borderId="0" xfId="0" applyFont="1" applyFill="1" applyAlignment="1">
      <alignment horizontal="right" vertical="center" indent="1"/>
    </xf>
    <xf numFmtId="165" fontId="63" fillId="18" borderId="0" xfId="1" applyNumberFormat="1" applyFont="1" applyFill="1" applyBorder="1" applyAlignment="1">
      <alignment horizontal="right" vertical="center" indent="1"/>
    </xf>
    <xf numFmtId="0" fontId="51" fillId="6" borderId="0" xfId="0" applyFont="1" applyFill="1" applyAlignment="1">
      <alignment horizontal="right" vertical="center" indent="1"/>
    </xf>
    <xf numFmtId="10" fontId="51" fillId="6" borderId="49" xfId="1" applyNumberFormat="1" applyFont="1" applyFill="1" applyBorder="1" applyAlignment="1">
      <alignment horizontal="right" vertical="center" indent="1"/>
    </xf>
    <xf numFmtId="10" fontId="51" fillId="6" borderId="0" xfId="1" applyNumberFormat="1" applyFont="1" applyFill="1" applyAlignment="1">
      <alignment horizontal="left" vertical="center" indent="1"/>
    </xf>
    <xf numFmtId="165" fontId="2" fillId="6" borderId="0" xfId="1" applyNumberFormat="1" applyFont="1" applyFill="1" applyAlignment="1">
      <alignment horizontal="right" vertical="center" indent="1"/>
    </xf>
    <xf numFmtId="0" fontId="2" fillId="7" borderId="0" xfId="0" applyFont="1" applyFill="1" applyAlignment="1">
      <alignment horizontal="right" vertical="center" indent="1"/>
    </xf>
    <xf numFmtId="0" fontId="2" fillId="13" borderId="0" xfId="0" applyFont="1" applyFill="1" applyAlignment="1">
      <alignment horizontal="right" vertical="center" indent="1"/>
    </xf>
    <xf numFmtId="0" fontId="0" fillId="6" borderId="0" xfId="0" applyFill="1" applyAlignment="1">
      <alignment horizontal="left" vertical="center" indent="1"/>
    </xf>
    <xf numFmtId="4" fontId="68" fillId="6" borderId="0" xfId="0" applyNumberFormat="1" applyFont="1" applyFill="1" applyAlignment="1">
      <alignment horizontal="right" vertical="center" indent="1"/>
    </xf>
    <xf numFmtId="165" fontId="2" fillId="13" borderId="0" xfId="1" applyNumberFormat="1" applyFont="1" applyFill="1" applyAlignment="1">
      <alignment horizontal="right" vertical="center" indent="1"/>
    </xf>
    <xf numFmtId="0" fontId="0" fillId="17" borderId="0" xfId="0" applyFill="1" applyAlignment="1">
      <alignment horizontal="left" vertical="center" indent="1"/>
    </xf>
    <xf numFmtId="169" fontId="2" fillId="0" borderId="0" xfId="0" applyNumberFormat="1" applyFont="1" applyAlignment="1">
      <alignment horizontal="right" vertical="center" indent="1"/>
    </xf>
    <xf numFmtId="169" fontId="50" fillId="6" borderId="0" xfId="0" applyNumberFormat="1" applyFont="1" applyFill="1" applyAlignment="1">
      <alignment horizontal="right" vertical="center" wrapText="1" indent="1"/>
    </xf>
    <xf numFmtId="169" fontId="50" fillId="6" borderId="1" xfId="0" applyNumberFormat="1" applyFont="1" applyFill="1" applyBorder="1" applyAlignment="1">
      <alignment horizontal="right" vertical="center" wrapText="1" indent="1"/>
    </xf>
    <xf numFmtId="169" fontId="50" fillId="6" borderId="50" xfId="0" applyNumberFormat="1" applyFont="1" applyFill="1" applyBorder="1" applyAlignment="1">
      <alignment horizontal="right" vertical="center" wrapText="1" indent="1"/>
    </xf>
    <xf numFmtId="3" fontId="50" fillId="6" borderId="0" xfId="0" applyNumberFormat="1" applyFont="1" applyFill="1" applyAlignment="1">
      <alignment horizontal="center" vertical="center" wrapText="1"/>
    </xf>
    <xf numFmtId="0" fontId="3" fillId="5" borderId="0" xfId="0" applyFont="1" applyFill="1" applyAlignment="1">
      <alignment horizontal="left" vertical="center" indent="1"/>
    </xf>
    <xf numFmtId="0" fontId="3" fillId="5" borderId="0" xfId="0" applyFont="1" applyFill="1" applyAlignment="1">
      <alignment horizontal="right" vertical="center" indent="1"/>
    </xf>
    <xf numFmtId="169" fontId="2" fillId="6" borderId="0" xfId="0" applyNumberFormat="1" applyFont="1" applyFill="1" applyAlignment="1">
      <alignment horizontal="right" vertical="center" wrapText="1" indent="1"/>
    </xf>
    <xf numFmtId="170" fontId="2" fillId="6" borderId="0" xfId="0" applyNumberFormat="1" applyFont="1" applyFill="1" applyAlignment="1">
      <alignment horizontal="right" vertical="center" wrapText="1" indent="1"/>
    </xf>
    <xf numFmtId="169" fontId="3" fillId="6" borderId="0" xfId="0" applyNumberFormat="1" applyFont="1" applyFill="1" applyAlignment="1">
      <alignment horizontal="right" vertical="center" wrapText="1" indent="1"/>
    </xf>
    <xf numFmtId="169" fontId="3" fillId="6" borderId="28" xfId="0" applyNumberFormat="1" applyFont="1" applyFill="1" applyBorder="1" applyAlignment="1">
      <alignment horizontal="right" vertical="center" wrapText="1" indent="1"/>
    </xf>
    <xf numFmtId="169" fontId="3" fillId="6" borderId="28" xfId="0" applyNumberFormat="1" applyFont="1" applyFill="1" applyBorder="1" applyAlignment="1">
      <alignment horizontal="right" vertical="center" indent="1"/>
    </xf>
    <xf numFmtId="169" fontId="70" fillId="0" borderId="0" xfId="0" applyNumberFormat="1" applyFont="1" applyAlignment="1">
      <alignment horizontal="right" vertical="center" indent="1"/>
    </xf>
    <xf numFmtId="0" fontId="2" fillId="6" borderId="0" xfId="0" applyFont="1" applyFill="1" applyAlignment="1">
      <alignment horizontal="left" vertical="top" indent="1"/>
    </xf>
    <xf numFmtId="0" fontId="2" fillId="6" borderId="0" xfId="0" applyFont="1" applyFill="1" applyAlignment="1">
      <alignment vertical="top"/>
    </xf>
    <xf numFmtId="0" fontId="2" fillId="18" borderId="0" xfId="0" applyFont="1" applyFill="1" applyAlignment="1">
      <alignment horizontal="right" vertical="center" wrapText="1" indent="1"/>
    </xf>
    <xf numFmtId="164" fontId="2" fillId="6" borderId="0" xfId="0" applyNumberFormat="1" applyFont="1" applyFill="1" applyAlignment="1">
      <alignment horizontal="right" vertical="center" wrapText="1" indent="1"/>
    </xf>
    <xf numFmtId="164" fontId="2" fillId="18" borderId="0" xfId="0" applyNumberFormat="1" applyFont="1" applyFill="1" applyAlignment="1">
      <alignment horizontal="right" vertical="center" wrapText="1" indent="1"/>
    </xf>
    <xf numFmtId="164" fontId="2" fillId="15" borderId="0" xfId="0" applyNumberFormat="1" applyFont="1" applyFill="1" applyAlignment="1">
      <alignment horizontal="left" vertical="center" indent="1"/>
    </xf>
    <xf numFmtId="164" fontId="2" fillId="6" borderId="0" xfId="0" applyNumberFormat="1" applyFont="1" applyFill="1" applyAlignment="1">
      <alignment horizontal="left" vertical="center" wrapText="1" indent="1"/>
    </xf>
    <xf numFmtId="0" fontId="54" fillId="6" borderId="0" xfId="0" applyFont="1" applyFill="1" applyAlignment="1">
      <alignment horizontal="left" vertical="center" wrapText="1" indent="1"/>
    </xf>
    <xf numFmtId="0" fontId="2" fillId="15" borderId="0" xfId="0" applyFont="1" applyFill="1" applyAlignment="1">
      <alignment horizontal="right" vertical="center" wrapText="1" indent="1"/>
    </xf>
    <xf numFmtId="0" fontId="54" fillId="15" borderId="0" xfId="0" applyFont="1" applyFill="1" applyAlignment="1">
      <alignment horizontal="left" vertical="center" indent="1"/>
    </xf>
    <xf numFmtId="0" fontId="2" fillId="15" borderId="0" xfId="0" applyFont="1" applyFill="1" applyAlignment="1">
      <alignment horizontal="right" vertical="center" indent="1"/>
    </xf>
    <xf numFmtId="169" fontId="54" fillId="6" borderId="0" xfId="0" applyNumberFormat="1" applyFont="1" applyFill="1" applyAlignment="1">
      <alignment horizontal="left" vertical="center" indent="1"/>
    </xf>
    <xf numFmtId="169" fontId="2" fillId="15" borderId="0" xfId="0" applyNumberFormat="1" applyFont="1" applyFill="1" applyAlignment="1">
      <alignment horizontal="right" vertical="center" indent="1"/>
    </xf>
    <xf numFmtId="169" fontId="54" fillId="6" borderId="0" xfId="0" applyNumberFormat="1" applyFont="1" applyFill="1" applyAlignment="1">
      <alignment horizontal="left" vertical="center" wrapText="1" indent="1"/>
    </xf>
    <xf numFmtId="169" fontId="51" fillId="6" borderId="0" xfId="0" applyNumberFormat="1" applyFont="1" applyFill="1" applyAlignment="1">
      <alignment horizontal="right" vertical="center" wrapText="1" indent="1"/>
    </xf>
    <xf numFmtId="169" fontId="2" fillId="6" borderId="1" xfId="0" applyNumberFormat="1" applyFont="1" applyFill="1" applyBorder="1" applyAlignment="1">
      <alignment horizontal="right" vertical="center" wrapText="1" indent="1"/>
    </xf>
    <xf numFmtId="169" fontId="2" fillId="6" borderId="50" xfId="0" applyNumberFormat="1" applyFont="1" applyFill="1" applyBorder="1" applyAlignment="1">
      <alignment horizontal="right" vertical="center" wrapText="1" indent="1"/>
    </xf>
    <xf numFmtId="3" fontId="2" fillId="5" borderId="0" xfId="0" applyNumberFormat="1" applyFont="1" applyFill="1" applyAlignment="1">
      <alignment horizontal="right" vertical="center" indent="1"/>
    </xf>
    <xf numFmtId="0" fontId="2" fillId="5" borderId="1" xfId="0" applyFont="1" applyFill="1" applyBorder="1" applyAlignment="1">
      <alignment horizontal="right" vertical="center" indent="1"/>
    </xf>
    <xf numFmtId="0" fontId="50" fillId="5" borderId="0" xfId="0" applyFont="1" applyFill="1" applyAlignment="1">
      <alignment horizontal="center" vertical="center" wrapText="1"/>
    </xf>
    <xf numFmtId="0" fontId="2" fillId="5" borderId="50" xfId="0" applyFont="1" applyFill="1" applyBorder="1" applyAlignment="1">
      <alignment horizontal="right" vertical="center" indent="1"/>
    </xf>
    <xf numFmtId="0" fontId="50" fillId="6" borderId="0" xfId="0" applyFont="1" applyFill="1" applyAlignment="1">
      <alignment horizontal="right" vertical="center" wrapText="1" indent="1"/>
    </xf>
    <xf numFmtId="0" fontId="50" fillId="3" borderId="0" xfId="0" applyFont="1" applyFill="1" applyAlignment="1">
      <alignment horizontal="left" vertical="center" wrapText="1" indent="1"/>
    </xf>
    <xf numFmtId="167" fontId="50" fillId="3" borderId="0" xfId="0" applyNumberFormat="1" applyFont="1" applyFill="1" applyAlignment="1">
      <alignment horizontal="right" vertical="center" indent="1"/>
    </xf>
    <xf numFmtId="4" fontId="50" fillId="3" borderId="0" xfId="0" applyNumberFormat="1" applyFont="1" applyFill="1" applyAlignment="1">
      <alignment horizontal="right" vertical="center" indent="1"/>
    </xf>
    <xf numFmtId="14" fontId="50" fillId="3" borderId="0" xfId="0" applyNumberFormat="1" applyFont="1" applyFill="1" applyAlignment="1">
      <alignment horizontal="right" vertical="center" indent="1"/>
    </xf>
    <xf numFmtId="1" fontId="50" fillId="3" borderId="0" xfId="0" applyNumberFormat="1" applyFont="1" applyFill="1" applyAlignment="1">
      <alignment horizontal="right" vertical="center" indent="1"/>
    </xf>
    <xf numFmtId="9" fontId="50" fillId="3" borderId="0" xfId="0" applyNumberFormat="1" applyFont="1" applyFill="1" applyAlignment="1">
      <alignment horizontal="right" vertical="center" indent="1"/>
    </xf>
    <xf numFmtId="3" fontId="71" fillId="0" borderId="0" xfId="0" applyNumberFormat="1" applyFont="1" applyAlignment="1">
      <alignment vertical="center"/>
    </xf>
    <xf numFmtId="4" fontId="50" fillId="3" borderId="0" xfId="1" applyNumberFormat="1" applyFont="1" applyFill="1" applyAlignment="1">
      <alignment horizontal="right" vertical="center" indent="1"/>
    </xf>
    <xf numFmtId="170" fontId="50" fillId="3" borderId="0" xfId="0" applyNumberFormat="1" applyFont="1" applyFill="1" applyAlignment="1">
      <alignment horizontal="right" vertical="center" indent="1"/>
    </xf>
    <xf numFmtId="169" fontId="50" fillId="3" borderId="0" xfId="0" applyNumberFormat="1" applyFont="1" applyFill="1" applyAlignment="1">
      <alignment horizontal="right" vertical="center" indent="1"/>
    </xf>
    <xf numFmtId="0" fontId="71" fillId="0" borderId="0" xfId="0" applyFont="1"/>
    <xf numFmtId="3" fontId="50" fillId="3" borderId="0" xfId="0" applyNumberFormat="1" applyFont="1" applyFill="1" applyAlignment="1">
      <alignment horizontal="left" vertical="center" indent="1"/>
    </xf>
    <xf numFmtId="0" fontId="71" fillId="0" borderId="0" xfId="0" applyFont="1" applyAlignment="1">
      <alignment horizontal="right" vertical="center" indent="1"/>
    </xf>
    <xf numFmtId="0" fontId="50" fillId="3" borderId="0" xfId="0" applyFont="1" applyFill="1" applyAlignment="1">
      <alignment horizontal="right" vertical="center" indent="1"/>
    </xf>
    <xf numFmtId="169" fontId="71" fillId="0" borderId="0" xfId="0" applyNumberFormat="1" applyFont="1" applyAlignment="1">
      <alignment horizontal="right" vertical="center" indent="1"/>
    </xf>
    <xf numFmtId="0" fontId="71" fillId="16" borderId="0" xfId="0" applyFont="1" applyFill="1" applyAlignment="1">
      <alignment horizontal="right" vertical="center" indent="1"/>
    </xf>
    <xf numFmtId="10" fontId="50" fillId="3" borderId="0" xfId="1" applyNumberFormat="1" applyFont="1" applyFill="1" applyAlignment="1">
      <alignment horizontal="right" vertical="center" indent="1"/>
    </xf>
    <xf numFmtId="172" fontId="71" fillId="0" borderId="0" xfId="1" applyNumberFormat="1" applyFont="1" applyAlignment="1">
      <alignment horizontal="right" vertical="center" indent="1"/>
    </xf>
    <xf numFmtId="4" fontId="50" fillId="3" borderId="0" xfId="1" applyNumberFormat="1" applyFont="1" applyFill="1" applyBorder="1" applyAlignment="1">
      <alignment horizontal="right" vertical="center" indent="1"/>
    </xf>
    <xf numFmtId="0" fontId="71" fillId="16" borderId="0" xfId="0" applyFont="1" applyFill="1"/>
    <xf numFmtId="0" fontId="50" fillId="0" borderId="0" xfId="0" applyFont="1" applyAlignment="1">
      <alignment horizontal="left" vertical="center"/>
    </xf>
    <xf numFmtId="0" fontId="71" fillId="0" borderId="47" xfId="0" applyFont="1" applyBorder="1"/>
    <xf numFmtId="165" fontId="50" fillId="3" borderId="0" xfId="1" applyNumberFormat="1" applyFont="1" applyFill="1" applyBorder="1" applyAlignment="1">
      <alignment horizontal="right" vertical="center" indent="1"/>
    </xf>
    <xf numFmtId="165" fontId="50" fillId="3" borderId="1" xfId="1" applyNumberFormat="1" applyFont="1" applyFill="1" applyBorder="1" applyAlignment="1">
      <alignment horizontal="right" vertical="center" indent="1"/>
    </xf>
    <xf numFmtId="165" fontId="50" fillId="3" borderId="50" xfId="1" applyNumberFormat="1" applyFont="1" applyFill="1" applyBorder="1" applyAlignment="1">
      <alignment horizontal="right" vertical="center" indent="1"/>
    </xf>
    <xf numFmtId="3" fontId="50" fillId="2" borderId="0" xfId="1" applyNumberFormat="1" applyFont="1" applyFill="1" applyAlignment="1">
      <alignment horizontal="center" vertical="center"/>
    </xf>
    <xf numFmtId="3" fontId="71" fillId="0" borderId="0" xfId="0" applyNumberFormat="1" applyFont="1" applyAlignment="1">
      <alignment horizontal="right" vertical="center" indent="1"/>
    </xf>
    <xf numFmtId="169" fontId="50" fillId="0" borderId="0" xfId="0" applyNumberFormat="1" applyFont="1" applyAlignment="1">
      <alignment horizontal="right" vertical="center" indent="1"/>
    </xf>
    <xf numFmtId="164" fontId="50" fillId="3" borderId="0" xfId="1" applyNumberFormat="1" applyFont="1" applyFill="1" applyBorder="1" applyAlignment="1">
      <alignment horizontal="right" vertical="center" indent="1"/>
    </xf>
    <xf numFmtId="167" fontId="50" fillId="3" borderId="0" xfId="1" applyNumberFormat="1" applyFont="1" applyFill="1" applyAlignment="1">
      <alignment horizontal="right" vertical="center" indent="1"/>
    </xf>
    <xf numFmtId="164" fontId="50" fillId="3" borderId="1" xfId="1" applyNumberFormat="1" applyFont="1" applyFill="1" applyBorder="1" applyAlignment="1">
      <alignment horizontal="right" vertical="center" indent="1"/>
    </xf>
    <xf numFmtId="164" fontId="50" fillId="3" borderId="50" xfId="1" applyNumberFormat="1" applyFont="1" applyFill="1" applyBorder="1" applyAlignment="1">
      <alignment horizontal="right" vertical="center" indent="1"/>
    </xf>
    <xf numFmtId="9" fontId="50" fillId="3" borderId="1" xfId="1" applyFont="1" applyFill="1" applyBorder="1" applyAlignment="1">
      <alignment horizontal="right" vertical="center" indent="1"/>
    </xf>
    <xf numFmtId="9" fontId="50" fillId="3" borderId="0" xfId="1" applyFont="1" applyFill="1" applyBorder="1" applyAlignment="1">
      <alignment horizontal="right" vertical="center" indent="1"/>
    </xf>
    <xf numFmtId="9" fontId="50" fillId="3" borderId="50" xfId="1" applyFont="1" applyFill="1" applyBorder="1" applyAlignment="1">
      <alignment horizontal="right" vertical="center" indent="1"/>
    </xf>
    <xf numFmtId="3" fontId="3" fillId="3" borderId="0" xfId="1" applyNumberFormat="1" applyFont="1" applyFill="1" applyBorder="1" applyAlignment="1">
      <alignment horizontal="center" vertical="center"/>
    </xf>
    <xf numFmtId="0" fontId="71" fillId="0" borderId="48" xfId="0" applyFont="1" applyBorder="1"/>
    <xf numFmtId="2" fontId="50" fillId="3" borderId="0" xfId="1" applyNumberFormat="1" applyFont="1" applyFill="1" applyBorder="1" applyAlignment="1">
      <alignment horizontal="right" vertical="center" indent="1"/>
    </xf>
    <xf numFmtId="169" fontId="70" fillId="0" borderId="0" xfId="0" applyNumberFormat="1" applyFont="1"/>
    <xf numFmtId="0" fontId="0" fillId="0" borderId="0" xfId="0" applyAlignment="1">
      <alignment horizontal="left"/>
    </xf>
    <xf numFmtId="169" fontId="2" fillId="0" borderId="0" xfId="0" applyNumberFormat="1" applyFont="1" applyAlignment="1">
      <alignment vertical="center"/>
    </xf>
    <xf numFmtId="164" fontId="50" fillId="3" borderId="28" xfId="0" applyNumberFormat="1" applyFont="1" applyFill="1" applyBorder="1" applyAlignment="1">
      <alignment horizontal="right" vertical="center" indent="1"/>
    </xf>
    <xf numFmtId="164" fontId="50" fillId="3" borderId="27" xfId="0" applyNumberFormat="1" applyFont="1" applyFill="1" applyBorder="1" applyAlignment="1">
      <alignment horizontal="right" vertical="center" indent="1"/>
    </xf>
    <xf numFmtId="165" fontId="50" fillId="3" borderId="28" xfId="1" applyNumberFormat="1" applyFont="1" applyFill="1" applyBorder="1" applyAlignment="1">
      <alignment horizontal="right" vertical="center" indent="1"/>
    </xf>
    <xf numFmtId="3" fontId="50" fillId="3" borderId="0" xfId="0" applyNumberFormat="1" applyFont="1" applyFill="1" applyAlignment="1">
      <alignment horizontal="right" indent="1"/>
    </xf>
    <xf numFmtId="169" fontId="2" fillId="12" borderId="0" xfId="0" applyNumberFormat="1" applyFont="1" applyFill="1" applyAlignment="1">
      <alignment horizontal="right" vertical="center" wrapText="1" indent="1"/>
    </xf>
    <xf numFmtId="165" fontId="50" fillId="13" borderId="0" xfId="0" applyNumberFormat="1" applyFont="1" applyFill="1" applyAlignment="1">
      <alignment horizontal="right" vertical="center" indent="1"/>
    </xf>
    <xf numFmtId="3" fontId="59" fillId="2" borderId="4" xfId="0" applyNumberFormat="1" applyFont="1" applyFill="1" applyBorder="1" applyAlignment="1">
      <alignment horizontal="right" vertical="center" indent="1"/>
    </xf>
    <xf numFmtId="0" fontId="57" fillId="4" borderId="0" xfId="0" applyFont="1" applyFill="1" applyAlignment="1">
      <alignment horizontal="left" vertical="center" indent="1"/>
    </xf>
    <xf numFmtId="0" fontId="72" fillId="4" borderId="0" xfId="0" applyFont="1" applyFill="1" applyAlignment="1">
      <alignment horizontal="right" vertical="center"/>
    </xf>
    <xf numFmtId="0" fontId="57" fillId="0" borderId="0" xfId="0" applyFont="1" applyAlignment="1">
      <alignment vertical="center"/>
    </xf>
    <xf numFmtId="0" fontId="59" fillId="2" borderId="0" xfId="0" applyFont="1" applyFill="1" applyAlignment="1">
      <alignment horizontal="center" vertical="center"/>
    </xf>
    <xf numFmtId="0" fontId="59" fillId="0" borderId="0" xfId="0" applyFont="1" applyAlignment="1">
      <alignment horizontal="center" vertical="center"/>
    </xf>
    <xf numFmtId="1" fontId="74" fillId="0" borderId="0" xfId="0" applyNumberFormat="1" applyFont="1" applyAlignment="1">
      <alignment horizontal="center" vertical="center"/>
    </xf>
    <xf numFmtId="0" fontId="74" fillId="0" borderId="0" xfId="0" applyFont="1" applyAlignment="1">
      <alignment horizontal="center" vertical="center"/>
    </xf>
    <xf numFmtId="0" fontId="74" fillId="0" borderId="0" xfId="0" applyFont="1" applyAlignment="1">
      <alignment vertical="center"/>
    </xf>
    <xf numFmtId="0" fontId="75" fillId="5" borderId="9" xfId="0" applyFont="1" applyFill="1" applyBorder="1" applyAlignment="1">
      <alignment horizontal="left" vertical="center" indent="1"/>
    </xf>
    <xf numFmtId="0" fontId="57" fillId="5" borderId="10" xfId="0" applyFont="1" applyFill="1" applyBorder="1" applyAlignment="1">
      <alignment vertical="center"/>
    </xf>
    <xf numFmtId="0" fontId="76" fillId="5" borderId="10" xfId="0" applyFont="1" applyFill="1" applyBorder="1" applyAlignment="1">
      <alignment vertical="center"/>
    </xf>
    <xf numFmtId="0" fontId="57" fillId="5" borderId="10" xfId="0" applyFont="1" applyFill="1" applyBorder="1" applyAlignment="1">
      <alignment horizontal="left" vertical="center" indent="1"/>
    </xf>
    <xf numFmtId="0" fontId="76" fillId="5" borderId="10" xfId="0" applyFont="1" applyFill="1" applyBorder="1" applyAlignment="1">
      <alignment horizontal="left" vertical="center" indent="1"/>
    </xf>
    <xf numFmtId="166" fontId="75" fillId="5" borderId="11" xfId="0" applyNumberFormat="1" applyFont="1" applyFill="1" applyBorder="1" applyAlignment="1">
      <alignment horizontal="left" vertical="center"/>
    </xf>
    <xf numFmtId="0" fontId="75" fillId="5" borderId="9" xfId="0" applyFont="1" applyFill="1" applyBorder="1" applyAlignment="1">
      <alignment horizontal="left" vertical="center"/>
    </xf>
    <xf numFmtId="0" fontId="74" fillId="5" borderId="10" xfId="0" applyFont="1" applyFill="1" applyBorder="1" applyAlignment="1">
      <alignment horizontal="center" vertical="center"/>
    </xf>
    <xf numFmtId="0" fontId="76" fillId="7" borderId="12" xfId="0" applyFont="1" applyFill="1" applyBorder="1" applyAlignment="1">
      <alignment horizontal="left" vertical="center" indent="1"/>
    </xf>
    <xf numFmtId="0" fontId="76" fillId="7" borderId="0" xfId="0" applyFont="1" applyFill="1" applyAlignment="1">
      <alignment horizontal="left" vertical="center" indent="1"/>
    </xf>
    <xf numFmtId="0" fontId="76" fillId="7" borderId="4" xfId="0" applyFont="1" applyFill="1" applyBorder="1" applyAlignment="1">
      <alignment horizontal="left" vertical="center" indent="1"/>
    </xf>
    <xf numFmtId="0" fontId="57" fillId="7" borderId="0" xfId="0" applyFont="1" applyFill="1" applyAlignment="1">
      <alignment vertical="center"/>
    </xf>
    <xf numFmtId="0" fontId="57" fillId="7" borderId="0" xfId="0" applyFont="1" applyFill="1" applyAlignment="1">
      <alignment horizontal="right" vertical="center" indent="1"/>
    </xf>
    <xf numFmtId="0" fontId="76" fillId="7" borderId="0" xfId="0" applyFont="1" applyFill="1" applyAlignment="1">
      <alignment horizontal="center" vertical="center"/>
    </xf>
    <xf numFmtId="166" fontId="59" fillId="7" borderId="11" xfId="0" applyNumberFormat="1" applyFont="1" applyFill="1" applyBorder="1" applyAlignment="1">
      <alignment horizontal="center" vertical="center"/>
    </xf>
    <xf numFmtId="166" fontId="59" fillId="7" borderId="11" xfId="0" applyNumberFormat="1" applyFont="1" applyFill="1" applyBorder="1" applyAlignment="1">
      <alignment horizontal="right" vertical="center" indent="1"/>
    </xf>
    <xf numFmtId="0" fontId="57" fillId="0" borderId="12" xfId="0" applyFont="1" applyBorder="1" applyAlignment="1">
      <alignment horizontal="left" vertical="center" indent="1"/>
    </xf>
    <xf numFmtId="0" fontId="57" fillId="0" borderId="4" xfId="0" applyFont="1" applyBorder="1" applyAlignment="1">
      <alignment horizontal="right" vertical="center" indent="1"/>
    </xf>
    <xf numFmtId="0" fontId="57" fillId="0" borderId="12" xfId="0" applyFont="1" applyBorder="1" applyAlignment="1">
      <alignment horizontal="right" vertical="center" indent="1"/>
    </xf>
    <xf numFmtId="0" fontId="57" fillId="0" borderId="0" xfId="0" applyFont="1" applyAlignment="1">
      <alignment horizontal="right" vertical="center" indent="1"/>
    </xf>
    <xf numFmtId="0" fontId="57" fillId="2" borderId="12" xfId="0" applyFont="1" applyFill="1" applyBorder="1" applyAlignment="1">
      <alignment horizontal="left" vertical="center" indent="1"/>
    </xf>
    <xf numFmtId="0" fontId="57" fillId="2" borderId="0" xfId="0" applyFont="1" applyFill="1" applyAlignment="1">
      <alignment vertical="center"/>
    </xf>
    <xf numFmtId="4" fontId="57" fillId="2" borderId="4" xfId="0" applyNumberFormat="1" applyFont="1" applyFill="1" applyBorder="1" applyAlignment="1">
      <alignment horizontal="right" vertical="center" indent="1"/>
    </xf>
    <xf numFmtId="0" fontId="65" fillId="0" borderId="0" xfId="0" applyFont="1" applyAlignment="1">
      <alignment horizontal="right" vertical="center" indent="1"/>
    </xf>
    <xf numFmtId="4" fontId="59" fillId="0" borderId="46" xfId="0" applyNumberFormat="1" applyFont="1" applyBorder="1" applyAlignment="1">
      <alignment horizontal="right" vertical="center" indent="1"/>
    </xf>
    <xf numFmtId="167" fontId="59" fillId="0" borderId="0" xfId="0" applyNumberFormat="1" applyFont="1" applyAlignment="1">
      <alignment horizontal="right" vertical="center" indent="1"/>
    </xf>
    <xf numFmtId="164" fontId="57" fillId="2" borderId="4" xfId="0" applyNumberFormat="1" applyFont="1" applyFill="1" applyBorder="1" applyAlignment="1">
      <alignment horizontal="right" vertical="center" indent="1"/>
    </xf>
    <xf numFmtId="166" fontId="59" fillId="2" borderId="4" xfId="0" applyNumberFormat="1" applyFont="1" applyFill="1" applyBorder="1" applyAlignment="1">
      <alignment horizontal="right" vertical="center" indent="1"/>
    </xf>
    <xf numFmtId="4" fontId="65" fillId="2" borderId="0" xfId="0" applyNumberFormat="1" applyFont="1" applyFill="1" applyAlignment="1">
      <alignment horizontal="right" vertical="center" indent="1"/>
    </xf>
    <xf numFmtId="2" fontId="59" fillId="0" borderId="0" xfId="0" applyNumberFormat="1" applyFont="1" applyAlignment="1">
      <alignment horizontal="right" vertical="center" indent="1"/>
    </xf>
    <xf numFmtId="0" fontId="57" fillId="2" borderId="13" xfId="0" applyFont="1" applyFill="1" applyBorder="1" applyAlignment="1">
      <alignment horizontal="left" vertical="center" indent="1"/>
    </xf>
    <xf numFmtId="0" fontId="57" fillId="2" borderId="14" xfId="0" applyFont="1" applyFill="1" applyBorder="1" applyAlignment="1">
      <alignment vertical="center"/>
    </xf>
    <xf numFmtId="9" fontId="57" fillId="2" borderId="15" xfId="1" applyFont="1" applyFill="1" applyBorder="1" applyAlignment="1">
      <alignment horizontal="right" vertical="center" indent="1"/>
    </xf>
    <xf numFmtId="0" fontId="77" fillId="0" borderId="0" xfId="0" applyFont="1" applyAlignment="1">
      <alignment horizontal="right" vertical="center" indent="1"/>
    </xf>
    <xf numFmtId="9" fontId="59" fillId="2" borderId="4" xfId="1" applyFont="1" applyFill="1" applyBorder="1" applyAlignment="1">
      <alignment horizontal="right" vertical="center" indent="1"/>
    </xf>
    <xf numFmtId="9" fontId="57" fillId="2" borderId="4" xfId="1" applyFont="1" applyFill="1" applyBorder="1" applyAlignment="1">
      <alignment horizontal="right" vertical="center" indent="1"/>
    </xf>
    <xf numFmtId="164" fontId="59" fillId="2" borderId="4" xfId="0" applyNumberFormat="1" applyFont="1" applyFill="1" applyBorder="1" applyAlignment="1">
      <alignment horizontal="right" vertical="center" indent="1"/>
    </xf>
    <xf numFmtId="0" fontId="57" fillId="2" borderId="9" xfId="0" applyFont="1" applyFill="1" applyBorder="1" applyAlignment="1">
      <alignment horizontal="left" vertical="center" indent="1"/>
    </xf>
    <xf numFmtId="0" fontId="57" fillId="2" borderId="10" xfId="0" applyFont="1" applyFill="1" applyBorder="1" applyAlignment="1">
      <alignment vertical="center"/>
    </xf>
    <xf numFmtId="4" fontId="57" fillId="2" borderId="11" xfId="0" applyNumberFormat="1" applyFont="1" applyFill="1" applyBorder="1" applyAlignment="1">
      <alignment horizontal="right" vertical="center" indent="1"/>
    </xf>
    <xf numFmtId="2" fontId="57" fillId="0" borderId="0" xfId="0" applyNumberFormat="1" applyFont="1" applyAlignment="1">
      <alignment horizontal="right" vertical="center" indent="1"/>
    </xf>
    <xf numFmtId="4" fontId="57" fillId="2" borderId="15" xfId="0" applyNumberFormat="1" applyFont="1" applyFill="1" applyBorder="1" applyAlignment="1">
      <alignment horizontal="right" vertical="center" indent="1"/>
    </xf>
    <xf numFmtId="167" fontId="57" fillId="0" borderId="0" xfId="0" applyNumberFormat="1" applyFont="1" applyAlignment="1">
      <alignment horizontal="right" vertical="center" indent="1"/>
    </xf>
    <xf numFmtId="0" fontId="57" fillId="0" borderId="9" xfId="0" applyFont="1" applyBorder="1" applyAlignment="1">
      <alignment horizontal="left" vertical="center" indent="1"/>
    </xf>
    <xf numFmtId="0" fontId="57" fillId="0" borderId="10" xfId="0" applyFont="1" applyBorder="1" applyAlignment="1">
      <alignment vertical="center"/>
    </xf>
    <xf numFmtId="9" fontId="57" fillId="2" borderId="11" xfId="1" applyFont="1" applyFill="1" applyBorder="1" applyAlignment="1">
      <alignment horizontal="right" vertical="center" indent="1"/>
    </xf>
    <xf numFmtId="164" fontId="59" fillId="2" borderId="4" xfId="1" applyNumberFormat="1" applyFont="1" applyFill="1" applyBorder="1" applyAlignment="1">
      <alignment horizontal="right" vertical="center" indent="1"/>
    </xf>
    <xf numFmtId="0" fontId="59" fillId="0" borderId="0" xfId="0" applyFont="1" applyAlignment="1">
      <alignment horizontal="left" vertical="center"/>
    </xf>
    <xf numFmtId="0" fontId="76" fillId="0" borderId="13" xfId="0" applyFont="1" applyBorder="1" applyAlignment="1">
      <alignment horizontal="left" vertical="center" indent="1"/>
    </xf>
    <xf numFmtId="4" fontId="59" fillId="2" borderId="14" xfId="0" applyNumberFormat="1" applyFont="1" applyFill="1" applyBorder="1" applyAlignment="1">
      <alignment vertical="center"/>
    </xf>
    <xf numFmtId="0" fontId="57" fillId="0" borderId="15" xfId="0" applyFont="1" applyBorder="1" applyAlignment="1">
      <alignment horizontal="right" vertical="center" indent="1"/>
    </xf>
    <xf numFmtId="0" fontId="74" fillId="0" borderId="14" xfId="0" applyFont="1" applyBorder="1" applyAlignment="1">
      <alignment horizontal="center" vertical="center"/>
    </xf>
    <xf numFmtId="165" fontId="57" fillId="2" borderId="15" xfId="1" applyNumberFormat="1" applyFont="1" applyFill="1" applyBorder="1" applyAlignment="1">
      <alignment horizontal="right" vertical="center" indent="1"/>
    </xf>
    <xf numFmtId="165" fontId="57" fillId="2" borderId="4" xfId="1" applyNumberFormat="1" applyFont="1" applyFill="1" applyBorder="1" applyAlignment="1">
      <alignment horizontal="right" vertical="center" indent="1"/>
    </xf>
    <xf numFmtId="0" fontId="76" fillId="7" borderId="9" xfId="0" applyFont="1" applyFill="1" applyBorder="1" applyAlignment="1">
      <alignment horizontal="left" vertical="center" indent="1"/>
    </xf>
    <xf numFmtId="0" fontId="76" fillId="7" borderId="10" xfId="0" applyFont="1" applyFill="1" applyBorder="1" applyAlignment="1">
      <alignment horizontal="right" vertical="center" indent="1"/>
    </xf>
    <xf numFmtId="0" fontId="76" fillId="7" borderId="11" xfId="0" applyFont="1" applyFill="1" applyBorder="1" applyAlignment="1">
      <alignment horizontal="right" vertical="center" indent="1"/>
    </xf>
    <xf numFmtId="0" fontId="76" fillId="7" borderId="9" xfId="0" applyFont="1" applyFill="1" applyBorder="1" applyAlignment="1">
      <alignment horizontal="right" vertical="center" indent="1"/>
    </xf>
    <xf numFmtId="3" fontId="59" fillId="2" borderId="0" xfId="0" applyNumberFormat="1" applyFont="1" applyFill="1" applyAlignment="1">
      <alignment horizontal="right" vertical="center" indent="1"/>
    </xf>
    <xf numFmtId="3" fontId="59" fillId="2" borderId="12" xfId="0" applyNumberFormat="1" applyFont="1" applyFill="1" applyBorder="1" applyAlignment="1">
      <alignment horizontal="right" vertical="center" indent="1"/>
    </xf>
    <xf numFmtId="9" fontId="57" fillId="0" borderId="0" xfId="1" applyFont="1" applyAlignment="1">
      <alignment horizontal="right" vertical="center" indent="1"/>
    </xf>
    <xf numFmtId="0" fontId="58" fillId="0" borderId="0" xfId="0" applyFont="1" applyAlignment="1">
      <alignment vertical="top"/>
    </xf>
    <xf numFmtId="0" fontId="78" fillId="2" borderId="12" xfId="0" applyFont="1" applyFill="1" applyBorder="1" applyAlignment="1">
      <alignment horizontal="left" vertical="center" indent="1"/>
    </xf>
    <xf numFmtId="165" fontId="78" fillId="2" borderId="0" xfId="1" applyNumberFormat="1" applyFont="1" applyFill="1" applyBorder="1" applyAlignment="1">
      <alignment horizontal="right" vertical="center" indent="1"/>
    </xf>
    <xf numFmtId="165" fontId="78" fillId="2" borderId="4" xfId="1" applyNumberFormat="1" applyFont="1" applyFill="1" applyBorder="1" applyAlignment="1">
      <alignment horizontal="right" vertical="center" indent="1"/>
    </xf>
    <xf numFmtId="165" fontId="78" fillId="2" borderId="0" xfId="1" applyNumberFormat="1" applyFont="1" applyFill="1" applyBorder="1" applyAlignment="1">
      <alignment horizontal="right" vertical="top" indent="1"/>
    </xf>
    <xf numFmtId="0" fontId="59" fillId="3" borderId="12" xfId="0" applyFont="1" applyFill="1" applyBorder="1" applyAlignment="1">
      <alignment horizontal="left" vertical="center" indent="1"/>
    </xf>
    <xf numFmtId="3" fontId="59" fillId="3" borderId="0" xfId="0" applyNumberFormat="1" applyFont="1" applyFill="1" applyAlignment="1">
      <alignment horizontal="right" vertical="center" indent="1"/>
    </xf>
    <xf numFmtId="3" fontId="59" fillId="3" borderId="4" xfId="0" applyNumberFormat="1" applyFont="1" applyFill="1" applyBorder="1" applyAlignment="1">
      <alignment horizontal="right" vertical="center" indent="1"/>
    </xf>
    <xf numFmtId="3" fontId="59" fillId="3" borderId="12" xfId="0" applyNumberFormat="1" applyFont="1" applyFill="1" applyBorder="1" applyAlignment="1">
      <alignment horizontal="right" vertical="center" indent="1"/>
    </xf>
    <xf numFmtId="0" fontId="78" fillId="3" borderId="12" xfId="0" applyFont="1" applyFill="1" applyBorder="1" applyAlignment="1">
      <alignment horizontal="left" vertical="center" indent="1"/>
    </xf>
    <xf numFmtId="165" fontId="78" fillId="3" borderId="0" xfId="1" applyNumberFormat="1" applyFont="1" applyFill="1" applyBorder="1" applyAlignment="1">
      <alignment horizontal="right" vertical="center" indent="1"/>
    </xf>
    <xf numFmtId="165" fontId="78" fillId="3" borderId="4" xfId="1" applyNumberFormat="1" applyFont="1" applyFill="1" applyBorder="1" applyAlignment="1">
      <alignment horizontal="right" vertical="center" indent="1"/>
    </xf>
    <xf numFmtId="0" fontId="59" fillId="7" borderId="9" xfId="0" applyFont="1" applyFill="1" applyBorder="1" applyAlignment="1">
      <alignment horizontal="left" vertical="center"/>
    </xf>
    <xf numFmtId="0" fontId="59" fillId="7" borderId="0" xfId="0" applyFont="1" applyFill="1" applyAlignment="1">
      <alignment horizontal="right" vertical="center" indent="1"/>
    </xf>
    <xf numFmtId="0" fontId="59" fillId="7" borderId="4" xfId="0" applyFont="1" applyFill="1" applyBorder="1" applyAlignment="1">
      <alignment horizontal="center" vertical="center"/>
    </xf>
    <xf numFmtId="0" fontId="57" fillId="7" borderId="4" xfId="0" applyFont="1" applyFill="1" applyBorder="1" applyAlignment="1">
      <alignment horizontal="right" vertical="center" indent="1"/>
    </xf>
    <xf numFmtId="0" fontId="57" fillId="7" borderId="3" xfId="0" applyFont="1" applyFill="1" applyBorder="1" applyAlignment="1">
      <alignment horizontal="center" vertical="center"/>
    </xf>
    <xf numFmtId="0" fontId="65" fillId="0" borderId="12" xfId="0" applyFont="1" applyBorder="1" applyAlignment="1">
      <alignment horizontal="left" vertical="center" indent="1"/>
    </xf>
    <xf numFmtId="3" fontId="59" fillId="2" borderId="3" xfId="0" applyNumberFormat="1" applyFont="1" applyFill="1" applyBorder="1" applyAlignment="1">
      <alignment horizontal="right" vertical="center" indent="1"/>
    </xf>
    <xf numFmtId="165" fontId="78" fillId="4" borderId="0" xfId="1" applyNumberFormat="1" applyFont="1" applyFill="1" applyBorder="1" applyAlignment="1">
      <alignment horizontal="right" vertical="center" indent="1"/>
    </xf>
    <xf numFmtId="165" fontId="79" fillId="4" borderId="0" xfId="1" applyNumberFormat="1" applyFont="1" applyFill="1" applyBorder="1" applyAlignment="1">
      <alignment horizontal="right" vertical="center" indent="1"/>
    </xf>
    <xf numFmtId="165" fontId="79" fillId="4" borderId="3" xfId="1" applyNumberFormat="1" applyFont="1" applyFill="1" applyBorder="1" applyAlignment="1">
      <alignment horizontal="right" vertical="center" indent="1"/>
    </xf>
    <xf numFmtId="165" fontId="79" fillId="2" borderId="3" xfId="1" applyNumberFormat="1" applyFont="1" applyFill="1" applyBorder="1" applyAlignment="1">
      <alignment horizontal="right" vertical="center" indent="1"/>
    </xf>
    <xf numFmtId="0" fontId="57" fillId="3" borderId="12" xfId="0" applyFont="1" applyFill="1" applyBorder="1" applyAlignment="1">
      <alignment horizontal="left" vertical="center" indent="1"/>
    </xf>
    <xf numFmtId="0" fontId="59" fillId="7" borderId="12" xfId="0" applyFont="1" applyFill="1" applyBorder="1" applyAlignment="1">
      <alignment horizontal="left" vertical="center" indent="1"/>
    </xf>
    <xf numFmtId="3" fontId="59" fillId="3" borderId="3" xfId="0" applyNumberFormat="1" applyFont="1" applyFill="1" applyBorder="1" applyAlignment="1">
      <alignment horizontal="right" vertical="center" indent="1"/>
    </xf>
    <xf numFmtId="165" fontId="78" fillId="4" borderId="3" xfId="1" applyNumberFormat="1" applyFont="1" applyFill="1" applyBorder="1" applyAlignment="1">
      <alignment horizontal="right" vertical="center" indent="1"/>
    </xf>
    <xf numFmtId="165" fontId="78" fillId="3" borderId="3" xfId="1" applyNumberFormat="1" applyFont="1" applyFill="1" applyBorder="1" applyAlignment="1">
      <alignment horizontal="right" vertical="center" indent="1"/>
    </xf>
    <xf numFmtId="3" fontId="59" fillId="4" borderId="0" xfId="0" applyNumberFormat="1" applyFont="1" applyFill="1" applyAlignment="1">
      <alignment horizontal="right" vertical="center" indent="1"/>
    </xf>
    <xf numFmtId="3" fontId="59" fillId="4" borderId="3" xfId="0" applyNumberFormat="1" applyFont="1" applyFill="1" applyBorder="1" applyAlignment="1">
      <alignment horizontal="right" vertical="center" indent="1"/>
    </xf>
    <xf numFmtId="3" fontId="59" fillId="2" borderId="3" xfId="1" applyNumberFormat="1" applyFont="1" applyFill="1" applyBorder="1" applyAlignment="1">
      <alignment horizontal="right" vertical="center" indent="1"/>
    </xf>
    <xf numFmtId="165" fontId="78" fillId="2" borderId="3" xfId="1" applyNumberFormat="1" applyFont="1" applyFill="1" applyBorder="1" applyAlignment="1">
      <alignment horizontal="right" vertical="center" indent="1"/>
    </xf>
    <xf numFmtId="165" fontId="79" fillId="2" borderId="0" xfId="1" applyNumberFormat="1" applyFont="1" applyFill="1" applyBorder="1" applyAlignment="1">
      <alignment horizontal="right" vertical="center" indent="1"/>
    </xf>
    <xf numFmtId="0" fontId="59" fillId="2" borderId="12" xfId="0" applyFont="1" applyFill="1" applyBorder="1" applyAlignment="1">
      <alignment horizontal="left" vertical="center" indent="1"/>
    </xf>
    <xf numFmtId="164" fontId="78" fillId="2" borderId="0" xfId="1" applyNumberFormat="1" applyFont="1" applyFill="1" applyBorder="1" applyAlignment="1">
      <alignment horizontal="right" vertical="center" indent="1"/>
    </xf>
    <xf numFmtId="164" fontId="78" fillId="2" borderId="3" xfId="1" applyNumberFormat="1" applyFont="1" applyFill="1" applyBorder="1" applyAlignment="1">
      <alignment horizontal="right" vertical="center" indent="1"/>
    </xf>
    <xf numFmtId="0" fontId="81" fillId="2" borderId="12" xfId="0" applyFont="1" applyFill="1" applyBorder="1" applyAlignment="1">
      <alignment horizontal="left" vertical="center" indent="1"/>
    </xf>
    <xf numFmtId="165" fontId="78" fillId="4" borderId="16" xfId="1" applyNumberFormat="1" applyFont="1" applyFill="1" applyBorder="1" applyAlignment="1">
      <alignment horizontal="right" vertical="center" indent="1"/>
    </xf>
    <xf numFmtId="165" fontId="78" fillId="2" borderId="16" xfId="1" applyNumberFormat="1" applyFont="1" applyFill="1" applyBorder="1" applyAlignment="1">
      <alignment horizontal="right" vertical="center" indent="1"/>
    </xf>
    <xf numFmtId="3" fontId="59" fillId="7" borderId="0" xfId="0" applyNumberFormat="1" applyFont="1" applyFill="1" applyAlignment="1">
      <alignment horizontal="right" vertical="center" indent="1"/>
    </xf>
    <xf numFmtId="167" fontId="59" fillId="7" borderId="9" xfId="0" quotePrefix="1" applyNumberFormat="1" applyFont="1" applyFill="1" applyBorder="1" applyAlignment="1">
      <alignment horizontal="left" vertical="center"/>
    </xf>
    <xf numFmtId="167" fontId="59" fillId="7" borderId="11" xfId="0" applyNumberFormat="1" applyFont="1" applyFill="1" applyBorder="1" applyAlignment="1">
      <alignment horizontal="left" vertical="center"/>
    </xf>
    <xf numFmtId="165" fontId="65" fillId="0" borderId="0" xfId="0" applyNumberFormat="1" applyFont="1" applyAlignment="1">
      <alignment vertical="center"/>
    </xf>
    <xf numFmtId="165" fontId="65" fillId="2" borderId="4" xfId="1" applyNumberFormat="1" applyFont="1" applyFill="1" applyBorder="1" applyAlignment="1">
      <alignment horizontal="right" vertical="center" indent="1"/>
    </xf>
    <xf numFmtId="164" fontId="59" fillId="3" borderId="4" xfId="0" applyNumberFormat="1" applyFont="1" applyFill="1" applyBorder="1" applyAlignment="1">
      <alignment horizontal="right" vertical="center" indent="1"/>
    </xf>
    <xf numFmtId="164" fontId="59" fillId="3" borderId="0" xfId="0" applyNumberFormat="1" applyFont="1" applyFill="1" applyAlignment="1">
      <alignment horizontal="right" vertical="center" indent="1"/>
    </xf>
    <xf numFmtId="167" fontId="65" fillId="0" borderId="0" xfId="0" applyNumberFormat="1" applyFont="1" applyAlignment="1">
      <alignment horizontal="left" vertical="center"/>
    </xf>
    <xf numFmtId="167" fontId="65" fillId="0" borderId="4" xfId="0" applyNumberFormat="1" applyFont="1" applyBorder="1" applyAlignment="1">
      <alignment horizontal="left" vertical="center"/>
    </xf>
    <xf numFmtId="0" fontId="57" fillId="7" borderId="12" xfId="0" applyFont="1" applyFill="1" applyBorder="1" applyAlignment="1">
      <alignment horizontal="left" vertical="center" indent="1"/>
    </xf>
    <xf numFmtId="165" fontId="78" fillId="7" borderId="0" xfId="1" applyNumberFormat="1" applyFont="1" applyFill="1" applyBorder="1" applyAlignment="1">
      <alignment horizontal="right" vertical="top" indent="1"/>
    </xf>
    <xf numFmtId="0" fontId="57" fillId="7" borderId="4" xfId="0" applyFont="1" applyFill="1" applyBorder="1" applyAlignment="1">
      <alignment horizontal="center" vertical="center"/>
    </xf>
    <xf numFmtId="0" fontId="57" fillId="7" borderId="4" xfId="0" applyFont="1" applyFill="1" applyBorder="1" applyAlignment="1">
      <alignment vertical="center"/>
    </xf>
    <xf numFmtId="167" fontId="82" fillId="0" borderId="0" xfId="0" applyNumberFormat="1" applyFont="1" applyAlignment="1">
      <alignment horizontal="right" vertical="center"/>
    </xf>
    <xf numFmtId="165" fontId="59" fillId="2" borderId="4" xfId="1" applyNumberFormat="1" applyFont="1" applyFill="1" applyBorder="1" applyAlignment="1">
      <alignment horizontal="right" vertical="center" indent="1"/>
    </xf>
    <xf numFmtId="4" fontId="59" fillId="2" borderId="4" xfId="0" applyNumberFormat="1" applyFont="1" applyFill="1" applyBorder="1" applyAlignment="1">
      <alignment horizontal="right" vertical="center" indent="1"/>
    </xf>
    <xf numFmtId="165" fontId="78" fillId="3" borderId="0" xfId="1" applyNumberFormat="1" applyFont="1" applyFill="1" applyBorder="1" applyAlignment="1">
      <alignment horizontal="right" vertical="top" indent="1"/>
    </xf>
    <xf numFmtId="165" fontId="59" fillId="3" borderId="4" xfId="1" applyNumberFormat="1" applyFont="1" applyFill="1" applyBorder="1" applyAlignment="1">
      <alignment horizontal="right" vertical="center" indent="1"/>
    </xf>
    <xf numFmtId="167" fontId="59" fillId="7" borderId="12" xfId="0" applyNumberFormat="1" applyFont="1" applyFill="1" applyBorder="1" applyAlignment="1">
      <alignment horizontal="left" vertical="center" indent="1"/>
    </xf>
    <xf numFmtId="167" fontId="75" fillId="7" borderId="0" xfId="0" applyNumberFormat="1" applyFont="1" applyFill="1" applyAlignment="1">
      <alignment horizontal="left" vertical="center"/>
    </xf>
    <xf numFmtId="0" fontId="74" fillId="7" borderId="4" xfId="0" applyFont="1" applyFill="1" applyBorder="1" applyAlignment="1">
      <alignment horizontal="center" vertical="center"/>
    </xf>
    <xf numFmtId="0" fontId="83" fillId="7" borderId="0" xfId="0" applyFont="1" applyFill="1" applyAlignment="1">
      <alignment horizontal="center" vertical="center"/>
    </xf>
    <xf numFmtId="0" fontId="57" fillId="7" borderId="6" xfId="0" applyFont="1" applyFill="1" applyBorder="1" applyAlignment="1">
      <alignment vertical="center"/>
    </xf>
    <xf numFmtId="0" fontId="57" fillId="7" borderId="5" xfId="0" applyFont="1" applyFill="1" applyBorder="1" applyAlignment="1">
      <alignment vertical="center"/>
    </xf>
    <xf numFmtId="165" fontId="78" fillId="7" borderId="0" xfId="1" applyNumberFormat="1" applyFont="1" applyFill="1" applyBorder="1" applyAlignment="1">
      <alignment vertical="top"/>
    </xf>
    <xf numFmtId="167" fontId="59" fillId="7" borderId="0" xfId="0" applyNumberFormat="1" applyFont="1" applyFill="1" applyAlignment="1">
      <alignment horizontal="left" vertical="center" indent="1"/>
    </xf>
    <xf numFmtId="167" fontId="57" fillId="7" borderId="0" xfId="0" applyNumberFormat="1" applyFont="1" applyFill="1" applyAlignment="1">
      <alignment horizontal="right" vertical="center" indent="1"/>
    </xf>
    <xf numFmtId="167" fontId="59" fillId="0" borderId="12" xfId="0" applyNumberFormat="1" applyFont="1" applyBorder="1" applyAlignment="1">
      <alignment horizontal="left" vertical="center" indent="1"/>
    </xf>
    <xf numFmtId="9" fontId="84" fillId="2" borderId="4" xfId="1" applyFont="1" applyFill="1" applyBorder="1" applyAlignment="1">
      <alignment horizontal="right" vertical="center" indent="1"/>
    </xf>
    <xf numFmtId="167" fontId="59" fillId="0" borderId="13" xfId="0" applyNumberFormat="1" applyFont="1" applyBorder="1" applyAlignment="1">
      <alignment horizontal="left" vertical="center" indent="1"/>
    </xf>
    <xf numFmtId="0" fontId="57" fillId="0" borderId="14" xfId="0" applyFont="1" applyBorder="1" applyAlignment="1">
      <alignment horizontal="center" vertical="center"/>
    </xf>
    <xf numFmtId="9" fontId="84" fillId="2" borderId="15" xfId="1" applyFont="1" applyFill="1" applyBorder="1" applyAlignment="1">
      <alignment horizontal="right" vertical="top" indent="1"/>
    </xf>
    <xf numFmtId="9" fontId="84" fillId="2" borderId="17" xfId="1" applyFont="1" applyFill="1" applyBorder="1" applyAlignment="1">
      <alignment horizontal="right" vertical="center" indent="1"/>
    </xf>
    <xf numFmtId="0" fontId="57" fillId="0" borderId="18" xfId="0" applyFont="1" applyBorder="1" applyAlignment="1">
      <alignment horizontal="left" vertical="center"/>
    </xf>
    <xf numFmtId="0" fontId="57" fillId="0" borderId="14" xfId="0" applyFont="1" applyBorder="1" applyAlignment="1">
      <alignment vertical="center"/>
    </xf>
    <xf numFmtId="0" fontId="57" fillId="0" borderId="15" xfId="0" applyFont="1" applyBorder="1" applyAlignment="1">
      <alignment vertical="center"/>
    </xf>
    <xf numFmtId="0" fontId="76" fillId="7" borderId="20" xfId="0" applyFont="1" applyFill="1" applyBorder="1" applyAlignment="1">
      <alignment horizontal="left" vertical="center" indent="1"/>
    </xf>
    <xf numFmtId="0" fontId="57" fillId="7" borderId="22" xfId="0" applyFont="1" applyFill="1" applyBorder="1" applyAlignment="1">
      <alignment horizontal="right" vertical="center" indent="1"/>
    </xf>
    <xf numFmtId="0" fontId="57" fillId="7" borderId="31" xfId="0" applyFont="1" applyFill="1" applyBorder="1" applyAlignment="1">
      <alignment horizontal="right" vertical="center" indent="1"/>
    </xf>
    <xf numFmtId="0" fontId="57" fillId="7" borderId="21" xfId="0" applyFont="1" applyFill="1" applyBorder="1" applyAlignment="1">
      <alignment horizontal="right" vertical="center" indent="1"/>
    </xf>
    <xf numFmtId="0" fontId="57" fillId="7" borderId="23" xfId="0" applyFont="1" applyFill="1" applyBorder="1" applyAlignment="1">
      <alignment horizontal="center" vertical="center"/>
    </xf>
    <xf numFmtId="0" fontId="57" fillId="2" borderId="24" xfId="0" applyFont="1" applyFill="1" applyBorder="1" applyAlignment="1">
      <alignment horizontal="left" vertical="center" indent="1"/>
    </xf>
    <xf numFmtId="3" fontId="59" fillId="2" borderId="0" xfId="0" applyNumberFormat="1" applyFont="1" applyFill="1" applyAlignment="1">
      <alignment horizontal="right" indent="1"/>
    </xf>
    <xf numFmtId="0" fontId="57" fillId="2" borderId="25" xfId="0" applyFont="1" applyFill="1" applyBorder="1" applyAlignment="1">
      <alignment horizontal="left" vertical="center" indent="1"/>
    </xf>
    <xf numFmtId="164" fontId="59" fillId="2" borderId="26" xfId="0" applyNumberFormat="1" applyFont="1" applyFill="1" applyBorder="1" applyAlignment="1">
      <alignment horizontal="right" indent="1"/>
    </xf>
    <xf numFmtId="0" fontId="57" fillId="7" borderId="3" xfId="0" applyFont="1" applyFill="1" applyBorder="1" applyAlignment="1">
      <alignment horizontal="right" vertical="center" indent="1"/>
    </xf>
    <xf numFmtId="0" fontId="57" fillId="7" borderId="4" xfId="0" applyFont="1" applyFill="1" applyBorder="1" applyAlignment="1">
      <alignment horizontal="left" vertical="center" indent="1"/>
    </xf>
    <xf numFmtId="0" fontId="57" fillId="3" borderId="0" xfId="0" applyFont="1" applyFill="1" applyAlignment="1">
      <alignment horizontal="left" vertical="center" indent="1"/>
    </xf>
    <xf numFmtId="165" fontId="59" fillId="3" borderId="3" xfId="1" applyNumberFormat="1" applyFont="1" applyFill="1" applyBorder="1" applyAlignment="1">
      <alignment horizontal="right" vertical="center" indent="1"/>
    </xf>
    <xf numFmtId="165" fontId="59" fillId="3" borderId="0" xfId="1" applyNumberFormat="1" applyFont="1" applyFill="1" applyBorder="1" applyAlignment="1">
      <alignment horizontal="right" vertical="center" indent="1"/>
    </xf>
    <xf numFmtId="165" fontId="59" fillId="3" borderId="2" xfId="1" applyNumberFormat="1" applyFont="1" applyFill="1" applyBorder="1" applyAlignment="1">
      <alignment horizontal="right" vertical="center" indent="1"/>
    </xf>
    <xf numFmtId="165" fontId="59" fillId="3" borderId="1" xfId="1" applyNumberFormat="1" applyFont="1" applyFill="1" applyBorder="1" applyAlignment="1">
      <alignment horizontal="right" vertical="center" indent="1"/>
    </xf>
    <xf numFmtId="165" fontId="57" fillId="0" borderId="0" xfId="0" applyNumberFormat="1" applyFont="1" applyAlignment="1">
      <alignment vertical="center"/>
    </xf>
    <xf numFmtId="4" fontId="59" fillId="3" borderId="3" xfId="1" applyNumberFormat="1" applyFont="1" applyFill="1" applyBorder="1" applyAlignment="1">
      <alignment horizontal="right" vertical="center" indent="1"/>
    </xf>
    <xf numFmtId="4" fontId="59" fillId="3" borderId="0" xfId="1" applyNumberFormat="1" applyFont="1" applyFill="1" applyBorder="1" applyAlignment="1">
      <alignment horizontal="right" vertical="center" indent="1"/>
    </xf>
    <xf numFmtId="10" fontId="57" fillId="0" borderId="0" xfId="0" applyNumberFormat="1" applyFont="1" applyAlignment="1">
      <alignment vertical="center"/>
    </xf>
    <xf numFmtId="4" fontId="59" fillId="3" borderId="2" xfId="1" applyNumberFormat="1" applyFont="1" applyFill="1" applyBorder="1" applyAlignment="1">
      <alignment horizontal="right" vertical="center" indent="1"/>
    </xf>
    <xf numFmtId="4" fontId="59" fillId="3" borderId="1" xfId="1" applyNumberFormat="1" applyFont="1" applyFill="1" applyBorder="1" applyAlignment="1">
      <alignment horizontal="right" vertical="center" indent="1"/>
    </xf>
    <xf numFmtId="4" fontId="75" fillId="4" borderId="0" xfId="1" applyNumberFormat="1" applyFont="1" applyFill="1" applyBorder="1" applyAlignment="1">
      <alignment horizontal="right" vertical="center" indent="1"/>
    </xf>
    <xf numFmtId="4" fontId="59" fillId="3" borderId="31" xfId="1" applyNumberFormat="1" applyFont="1" applyFill="1" applyBorder="1" applyAlignment="1">
      <alignment horizontal="right" vertical="center" indent="1"/>
    </xf>
    <xf numFmtId="165" fontId="59" fillId="6" borderId="3" xfId="1" applyNumberFormat="1" applyFont="1" applyFill="1" applyBorder="1" applyAlignment="1">
      <alignment horizontal="right" vertical="center" indent="1"/>
    </xf>
    <xf numFmtId="165" fontId="59" fillId="6" borderId="0" xfId="1" applyNumberFormat="1" applyFont="1" applyFill="1" applyBorder="1" applyAlignment="1">
      <alignment horizontal="right" vertical="center" indent="1"/>
    </xf>
    <xf numFmtId="165" fontId="59" fillId="6" borderId="2" xfId="1" applyNumberFormat="1" applyFont="1" applyFill="1" applyBorder="1" applyAlignment="1">
      <alignment horizontal="right" vertical="center" indent="1"/>
    </xf>
    <xf numFmtId="165" fontId="59" fillId="6" borderId="1" xfId="1" applyNumberFormat="1" applyFont="1" applyFill="1" applyBorder="1" applyAlignment="1">
      <alignment horizontal="right" vertical="center" indent="1"/>
    </xf>
    <xf numFmtId="0" fontId="59" fillId="3" borderId="0" xfId="0" applyFont="1" applyFill="1" applyAlignment="1">
      <alignment horizontal="left" vertical="center" indent="1"/>
    </xf>
    <xf numFmtId="0" fontId="57" fillId="3" borderId="0" xfId="0" applyFont="1" applyFill="1" applyAlignment="1">
      <alignment vertical="center"/>
    </xf>
    <xf numFmtId="0" fontId="57" fillId="3" borderId="3" xfId="0" applyFont="1" applyFill="1" applyBorder="1" applyAlignment="1">
      <alignment vertical="center"/>
    </xf>
    <xf numFmtId="3" fontId="59" fillId="3" borderId="2" xfId="0" applyNumberFormat="1" applyFont="1" applyFill="1" applyBorder="1" applyAlignment="1">
      <alignment horizontal="right" vertical="center" indent="1"/>
    </xf>
    <xf numFmtId="165" fontId="75" fillId="4" borderId="0" xfId="1" applyNumberFormat="1" applyFont="1" applyFill="1" applyBorder="1" applyAlignment="1">
      <alignment horizontal="right" vertical="center" indent="1"/>
    </xf>
    <xf numFmtId="165" fontId="75" fillId="4" borderId="3" xfId="1" applyNumberFormat="1" applyFont="1" applyFill="1" applyBorder="1" applyAlignment="1">
      <alignment horizontal="right" vertical="center" indent="1"/>
    </xf>
    <xf numFmtId="0" fontId="74" fillId="0" borderId="0" xfId="0" applyFont="1" applyAlignment="1">
      <alignment horizontal="left" vertical="center" indent="1"/>
    </xf>
    <xf numFmtId="165" fontId="74" fillId="0" borderId="0" xfId="0" applyNumberFormat="1" applyFont="1" applyAlignment="1">
      <alignment horizontal="right" vertical="center" indent="1"/>
    </xf>
    <xf numFmtId="0" fontId="76" fillId="6" borderId="0" xfId="0" applyFont="1" applyFill="1" applyAlignment="1">
      <alignment horizontal="left" vertical="center" indent="1"/>
    </xf>
    <xf numFmtId="0" fontId="59" fillId="6" borderId="0" xfId="0" applyFont="1" applyFill="1" applyAlignment="1">
      <alignment horizontal="left" vertical="center" indent="1"/>
    </xf>
    <xf numFmtId="164" fontId="59" fillId="3" borderId="27" xfId="0" applyNumberFormat="1" applyFont="1" applyFill="1" applyBorder="1" applyAlignment="1">
      <alignment horizontal="right" vertical="center" indent="1"/>
    </xf>
    <xf numFmtId="9" fontId="84" fillId="3" borderId="28" xfId="1" applyFont="1" applyFill="1" applyBorder="1" applyAlignment="1">
      <alignment horizontal="right" vertical="center" indent="1"/>
    </xf>
    <xf numFmtId="166" fontId="57" fillId="3" borderId="0" xfId="0" applyNumberFormat="1" applyFont="1" applyFill="1" applyAlignment="1">
      <alignment horizontal="right" vertical="center" indent="1"/>
    </xf>
    <xf numFmtId="4" fontId="59" fillId="3" borderId="0" xfId="0" applyNumberFormat="1" applyFont="1" applyFill="1" applyAlignment="1">
      <alignment horizontal="right" vertical="center" indent="1"/>
    </xf>
    <xf numFmtId="4" fontId="85" fillId="3" borderId="0" xfId="0" applyNumberFormat="1" applyFont="1" applyFill="1" applyAlignment="1">
      <alignment horizontal="right" vertical="center" indent="1"/>
    </xf>
    <xf numFmtId="3" fontId="57" fillId="3" borderId="0" xfId="0" applyNumberFormat="1" applyFont="1" applyFill="1" applyAlignment="1">
      <alignment horizontal="right" vertical="center" indent="1"/>
    </xf>
    <xf numFmtId="165" fontId="59" fillId="3" borderId="0" xfId="1" applyNumberFormat="1" applyFont="1" applyFill="1" applyAlignment="1">
      <alignment horizontal="right" vertical="center" indent="1"/>
    </xf>
    <xf numFmtId="165" fontId="59" fillId="3" borderId="27" xfId="1" applyNumberFormat="1" applyFont="1" applyFill="1" applyBorder="1" applyAlignment="1">
      <alignment horizontal="right" vertical="center" indent="1"/>
    </xf>
    <xf numFmtId="0" fontId="74" fillId="6" borderId="0" xfId="0" applyFont="1" applyFill="1" applyAlignment="1">
      <alignment vertical="center"/>
    </xf>
    <xf numFmtId="0" fontId="76" fillId="6" borderId="0" xfId="0" applyFont="1" applyFill="1" applyAlignment="1">
      <alignment horizontal="right" vertical="center" indent="1"/>
    </xf>
    <xf numFmtId="0" fontId="57" fillId="3" borderId="38" xfId="0" applyFont="1" applyFill="1" applyBorder="1" applyAlignment="1">
      <alignment vertical="center"/>
    </xf>
    <xf numFmtId="0" fontId="57" fillId="3" borderId="39" xfId="0" applyFont="1" applyFill="1" applyBorder="1" applyAlignment="1">
      <alignment vertical="center"/>
    </xf>
    <xf numFmtId="0" fontId="74" fillId="3" borderId="0" xfId="0" applyFont="1" applyFill="1" applyAlignment="1">
      <alignment vertical="center"/>
    </xf>
    <xf numFmtId="0" fontId="57" fillId="3" borderId="0" xfId="0" applyFont="1" applyFill="1" applyAlignment="1">
      <alignment horizontal="right" vertical="center" indent="1"/>
    </xf>
    <xf numFmtId="0" fontId="57" fillId="3" borderId="38" xfId="0" applyFont="1" applyFill="1" applyBorder="1" applyAlignment="1">
      <alignment horizontal="left" vertical="center" indent="1"/>
    </xf>
    <xf numFmtId="0" fontId="57" fillId="3" borderId="39" xfId="0" applyFont="1" applyFill="1" applyBorder="1" applyAlignment="1">
      <alignment horizontal="left" vertical="center" indent="1"/>
    </xf>
    <xf numFmtId="0" fontId="76" fillId="3" borderId="0" xfId="0" applyFont="1" applyFill="1" applyAlignment="1">
      <alignment horizontal="left" vertical="center" indent="1"/>
    </xf>
    <xf numFmtId="0" fontId="59" fillId="3" borderId="0" xfId="0" applyFont="1" applyFill="1" applyAlignment="1">
      <alignment vertical="center"/>
    </xf>
    <xf numFmtId="165" fontId="59" fillId="3" borderId="40" xfId="1" applyNumberFormat="1" applyFont="1" applyFill="1" applyBorder="1" applyAlignment="1">
      <alignment horizontal="right" vertical="center" indent="1"/>
    </xf>
    <xf numFmtId="165" fontId="59" fillId="3" borderId="41" xfId="1" applyNumberFormat="1" applyFont="1" applyFill="1" applyBorder="1" applyAlignment="1">
      <alignment horizontal="right" vertical="center" indent="1"/>
    </xf>
    <xf numFmtId="0" fontId="57" fillId="3" borderId="41" xfId="0" applyFont="1" applyFill="1" applyBorder="1" applyAlignment="1">
      <alignment horizontal="right" vertical="center" indent="1"/>
    </xf>
    <xf numFmtId="165" fontId="59" fillId="3" borderId="42" xfId="1" applyNumberFormat="1" applyFont="1" applyFill="1" applyBorder="1" applyAlignment="1">
      <alignment horizontal="right" vertical="center" indent="1"/>
    </xf>
    <xf numFmtId="0" fontId="74" fillId="3" borderId="0" xfId="0" applyFont="1" applyFill="1" applyAlignment="1">
      <alignment horizontal="left" vertical="center" indent="1"/>
    </xf>
    <xf numFmtId="165" fontId="65" fillId="3" borderId="0" xfId="1" applyNumberFormat="1" applyFont="1" applyFill="1" applyAlignment="1">
      <alignment horizontal="right" vertical="center" indent="1"/>
    </xf>
    <xf numFmtId="0" fontId="74" fillId="3" borderId="0" xfId="0" quotePrefix="1" applyFont="1" applyFill="1" applyAlignment="1">
      <alignment horizontal="right" vertical="center" indent="1"/>
    </xf>
    <xf numFmtId="0" fontId="76" fillId="3" borderId="33" xfId="0" applyFont="1" applyFill="1" applyBorder="1" applyAlignment="1">
      <alignment horizontal="right" vertical="center" indent="1"/>
    </xf>
    <xf numFmtId="0" fontId="76" fillId="3" borderId="0" xfId="0" applyFont="1" applyFill="1" applyAlignment="1">
      <alignment horizontal="right" vertical="center" indent="1"/>
    </xf>
    <xf numFmtId="0" fontId="57" fillId="3" borderId="34" xfId="0" applyFont="1" applyFill="1" applyBorder="1" applyAlignment="1">
      <alignment horizontal="right" vertical="center" indent="1"/>
    </xf>
    <xf numFmtId="0" fontId="57" fillId="3" borderId="33" xfId="0" applyFont="1" applyFill="1" applyBorder="1" applyAlignment="1">
      <alignment horizontal="right" vertical="center" indent="1"/>
    </xf>
    <xf numFmtId="165" fontId="59" fillId="3" borderId="33" xfId="1" applyNumberFormat="1" applyFont="1" applyFill="1" applyBorder="1" applyAlignment="1">
      <alignment horizontal="right" vertical="center" indent="1"/>
    </xf>
    <xf numFmtId="165" fontId="59" fillId="3" borderId="34" xfId="1" applyNumberFormat="1" applyFont="1" applyFill="1" applyBorder="1" applyAlignment="1">
      <alignment horizontal="right" vertical="center" indent="1"/>
    </xf>
    <xf numFmtId="165" fontId="59" fillId="3" borderId="36" xfId="1" applyNumberFormat="1" applyFont="1" applyFill="1" applyBorder="1" applyAlignment="1">
      <alignment horizontal="right" vertical="center" indent="1"/>
    </xf>
    <xf numFmtId="165" fontId="59" fillId="3" borderId="37" xfId="1" applyNumberFormat="1" applyFont="1" applyFill="1" applyBorder="1" applyAlignment="1">
      <alignment horizontal="right" vertical="center" indent="1"/>
    </xf>
    <xf numFmtId="165" fontId="82" fillId="3" borderId="0" xfId="0" applyNumberFormat="1" applyFont="1" applyFill="1" applyAlignment="1">
      <alignment horizontal="right" vertical="center" indent="1"/>
    </xf>
    <xf numFmtId="165" fontId="74" fillId="3" borderId="0" xfId="1" applyNumberFormat="1" applyFont="1" applyFill="1" applyAlignment="1">
      <alignment horizontal="right" vertical="center" indent="1"/>
    </xf>
    <xf numFmtId="165" fontId="82" fillId="3" borderId="0" xfId="0" applyNumberFormat="1" applyFont="1" applyFill="1" applyAlignment="1">
      <alignment horizontal="left" vertical="center" indent="1"/>
    </xf>
    <xf numFmtId="0" fontId="76" fillId="3" borderId="28" xfId="0" applyFont="1" applyFill="1" applyBorder="1" applyAlignment="1">
      <alignment horizontal="right" vertical="center" indent="1"/>
    </xf>
    <xf numFmtId="0" fontId="76" fillId="3" borderId="34" xfId="0" applyFont="1" applyFill="1" applyBorder="1" applyAlignment="1">
      <alignment horizontal="left" vertical="center"/>
    </xf>
    <xf numFmtId="165" fontId="59" fillId="3" borderId="28" xfId="1" applyNumberFormat="1" applyFont="1" applyFill="1" applyBorder="1" applyAlignment="1">
      <alignment horizontal="right" vertical="center" indent="1"/>
    </xf>
    <xf numFmtId="0" fontId="57" fillId="3" borderId="28" xfId="0" applyFont="1" applyFill="1" applyBorder="1" applyAlignment="1">
      <alignment vertical="center"/>
    </xf>
    <xf numFmtId="0" fontId="57" fillId="3" borderId="33" xfId="0" applyFont="1" applyFill="1" applyBorder="1" applyAlignment="1">
      <alignment horizontal="center" vertical="center"/>
    </xf>
    <xf numFmtId="0" fontId="57" fillId="3" borderId="0" xfId="0" applyFont="1" applyFill="1" applyAlignment="1">
      <alignment horizontal="center" vertical="center"/>
    </xf>
    <xf numFmtId="0" fontId="57" fillId="3" borderId="34" xfId="0" applyFont="1" applyFill="1" applyBorder="1" applyAlignment="1">
      <alignment horizontal="center" vertical="center"/>
    </xf>
    <xf numFmtId="0" fontId="76" fillId="3" borderId="33" xfId="0" applyFont="1" applyFill="1" applyBorder="1" applyAlignment="1">
      <alignment horizontal="center" vertical="center"/>
    </xf>
    <xf numFmtId="0" fontId="76" fillId="3" borderId="0" xfId="0" applyFont="1" applyFill="1" applyAlignment="1">
      <alignment horizontal="center" vertical="center"/>
    </xf>
    <xf numFmtId="0" fontId="76" fillId="3" borderId="34" xfId="0" applyFont="1" applyFill="1" applyBorder="1" applyAlignment="1">
      <alignment horizontal="center" vertical="center"/>
    </xf>
    <xf numFmtId="165" fontId="59" fillId="3" borderId="35" xfId="1" applyNumberFormat="1" applyFont="1" applyFill="1" applyBorder="1" applyAlignment="1">
      <alignment horizontal="right" vertical="center" indent="1"/>
    </xf>
    <xf numFmtId="0" fontId="65" fillId="6" borderId="0" xfId="0" applyFont="1" applyFill="1" applyAlignment="1">
      <alignment horizontal="right" vertical="center" indent="1"/>
    </xf>
    <xf numFmtId="0" fontId="76" fillId="6" borderId="0" xfId="0" applyFont="1" applyFill="1" applyAlignment="1">
      <alignment horizontal="left" vertical="center" indent="2"/>
    </xf>
    <xf numFmtId="0" fontId="76" fillId="6" borderId="0" xfId="0" applyFont="1" applyFill="1" applyAlignment="1">
      <alignment vertical="center"/>
    </xf>
    <xf numFmtId="3" fontId="59" fillId="3" borderId="0" xfId="0" applyNumberFormat="1" applyFont="1" applyFill="1" applyAlignment="1">
      <alignment horizontal="left" vertical="center" indent="2"/>
    </xf>
    <xf numFmtId="3" fontId="59" fillId="3" borderId="0" xfId="0" applyNumberFormat="1" applyFont="1" applyFill="1" applyAlignment="1">
      <alignment vertical="center"/>
    </xf>
    <xf numFmtId="0" fontId="57" fillId="3" borderId="29" xfId="0" applyFont="1" applyFill="1" applyBorder="1" applyAlignment="1">
      <alignment horizontal="left" vertical="center" indent="1"/>
    </xf>
    <xf numFmtId="0" fontId="57" fillId="3" borderId="29" xfId="0" applyFont="1" applyFill="1" applyBorder="1" applyAlignment="1">
      <alignment vertical="center"/>
    </xf>
    <xf numFmtId="165" fontId="59" fillId="3" borderId="29" xfId="1" applyNumberFormat="1" applyFont="1" applyFill="1" applyBorder="1" applyAlignment="1">
      <alignment horizontal="right" vertical="center" indent="1"/>
    </xf>
    <xf numFmtId="165" fontId="65" fillId="3" borderId="29" xfId="1" applyNumberFormat="1" applyFont="1" applyFill="1" applyBorder="1" applyAlignment="1">
      <alignment horizontal="right" vertical="center" indent="1"/>
    </xf>
    <xf numFmtId="0" fontId="57" fillId="3" borderId="30" xfId="0" applyFont="1" applyFill="1" applyBorder="1" applyAlignment="1">
      <alignment horizontal="left" vertical="center" indent="1"/>
    </xf>
    <xf numFmtId="0" fontId="57" fillId="3" borderId="30" xfId="0" applyFont="1" applyFill="1" applyBorder="1" applyAlignment="1">
      <alignment vertical="center"/>
    </xf>
    <xf numFmtId="165" fontId="59" fillId="3" borderId="30" xfId="1" applyNumberFormat="1" applyFont="1" applyFill="1" applyBorder="1" applyAlignment="1">
      <alignment horizontal="right" vertical="center" indent="1"/>
    </xf>
    <xf numFmtId="165" fontId="65" fillId="3" borderId="30" xfId="1" applyNumberFormat="1" applyFont="1" applyFill="1" applyBorder="1" applyAlignment="1">
      <alignment horizontal="right" vertical="center" indent="1"/>
    </xf>
    <xf numFmtId="165" fontId="65" fillId="3" borderId="0" xfId="1" applyNumberFormat="1" applyFont="1" applyFill="1" applyBorder="1" applyAlignment="1">
      <alignment horizontal="right" vertical="center" indent="1"/>
    </xf>
    <xf numFmtId="3" fontId="86" fillId="6" borderId="0" xfId="0" applyNumberFormat="1" applyFont="1" applyFill="1" applyAlignment="1">
      <alignment vertical="center"/>
    </xf>
    <xf numFmtId="3" fontId="75" fillId="6" borderId="0" xfId="0" applyNumberFormat="1" applyFont="1" applyFill="1" applyAlignment="1">
      <alignment horizontal="left" vertical="center" indent="1"/>
    </xf>
    <xf numFmtId="3" fontId="59" fillId="3" borderId="0" xfId="0" applyNumberFormat="1" applyFont="1" applyFill="1" applyAlignment="1">
      <alignment horizontal="left" vertical="center" indent="1"/>
    </xf>
    <xf numFmtId="3" fontId="84" fillId="3" borderId="0" xfId="0" applyNumberFormat="1" applyFont="1" applyFill="1" applyAlignment="1">
      <alignment horizontal="left" vertical="center" indent="1"/>
    </xf>
    <xf numFmtId="167" fontId="57" fillId="3" borderId="0" xfId="0" applyNumberFormat="1" applyFont="1" applyFill="1" applyAlignment="1">
      <alignment horizontal="center" vertical="center"/>
    </xf>
    <xf numFmtId="3" fontId="75" fillId="3" borderId="0" xfId="0" applyNumberFormat="1" applyFont="1" applyFill="1" applyAlignment="1">
      <alignment horizontal="left" vertical="center" indent="1"/>
    </xf>
    <xf numFmtId="0" fontId="76" fillId="3" borderId="0" xfId="0" applyFont="1" applyFill="1" applyAlignment="1">
      <alignment vertical="center"/>
    </xf>
    <xf numFmtId="170" fontId="59" fillId="3" borderId="0" xfId="1" applyNumberFormat="1" applyFont="1" applyFill="1" applyBorder="1" applyAlignment="1">
      <alignment horizontal="right" vertical="center" indent="1"/>
    </xf>
    <xf numFmtId="0" fontId="65" fillId="3" borderId="0" xfId="0" applyFont="1" applyFill="1" applyAlignment="1">
      <alignment horizontal="right" vertical="center" indent="1"/>
    </xf>
    <xf numFmtId="167" fontId="59" fillId="3" borderId="0" xfId="1" applyNumberFormat="1" applyFont="1" applyFill="1" applyBorder="1" applyAlignment="1">
      <alignment horizontal="right" vertical="center" indent="1"/>
    </xf>
    <xf numFmtId="0" fontId="65" fillId="3" borderId="0" xfId="0" applyFont="1" applyFill="1" applyAlignment="1">
      <alignment vertical="center"/>
    </xf>
    <xf numFmtId="0" fontId="57" fillId="2" borderId="0" xfId="0" quotePrefix="1" applyFont="1" applyFill="1" applyAlignment="1">
      <alignment horizontal="right" vertical="center" indent="1"/>
    </xf>
    <xf numFmtId="165" fontId="59" fillId="3" borderId="0" xfId="1" applyNumberFormat="1" applyFont="1" applyFill="1" applyBorder="1" applyAlignment="1">
      <alignment vertical="center"/>
    </xf>
    <xf numFmtId="167" fontId="65" fillId="3" borderId="0" xfId="1" applyNumberFormat="1" applyFont="1" applyFill="1" applyBorder="1" applyAlignment="1">
      <alignment horizontal="right" vertical="center" indent="1"/>
    </xf>
    <xf numFmtId="165" fontId="59" fillId="2" borderId="0" xfId="1" applyNumberFormat="1" applyFont="1" applyFill="1" applyBorder="1" applyAlignment="1">
      <alignment horizontal="right" vertical="center" indent="1"/>
    </xf>
    <xf numFmtId="3" fontId="86" fillId="3" borderId="0" xfId="0" applyNumberFormat="1" applyFont="1" applyFill="1" applyAlignment="1">
      <alignment horizontal="left" vertical="center" indent="1"/>
    </xf>
    <xf numFmtId="0" fontId="87" fillId="3" borderId="0" xfId="0" applyFont="1" applyFill="1" applyAlignment="1">
      <alignment vertical="center"/>
    </xf>
    <xf numFmtId="0" fontId="87" fillId="3" borderId="0" xfId="0" applyFont="1" applyFill="1" applyAlignment="1">
      <alignment horizontal="right" vertical="center"/>
    </xf>
    <xf numFmtId="0" fontId="88" fillId="3" borderId="0" xfId="0" applyFont="1" applyFill="1" applyAlignment="1">
      <alignment horizontal="left" vertical="center" indent="1"/>
    </xf>
    <xf numFmtId="0" fontId="87" fillId="3" borderId="0" xfId="0" applyFont="1" applyFill="1" applyAlignment="1">
      <alignment horizontal="left" vertical="center" indent="1"/>
    </xf>
    <xf numFmtId="167" fontId="87" fillId="3" borderId="0" xfId="1" applyNumberFormat="1" applyFont="1" applyFill="1" applyBorder="1" applyAlignment="1">
      <alignment horizontal="right" vertical="center" indent="1"/>
    </xf>
    <xf numFmtId="9" fontId="87" fillId="3" borderId="0" xfId="1" applyFont="1" applyFill="1" applyAlignment="1">
      <alignment vertical="center"/>
    </xf>
    <xf numFmtId="164" fontId="87" fillId="3" borderId="0" xfId="1" applyNumberFormat="1" applyFont="1" applyFill="1" applyBorder="1" applyAlignment="1">
      <alignment horizontal="left" vertical="center"/>
    </xf>
    <xf numFmtId="164" fontId="87" fillId="3" borderId="0" xfId="1" applyNumberFormat="1" applyFont="1" applyFill="1" applyBorder="1" applyAlignment="1">
      <alignment horizontal="right" vertical="center" indent="1"/>
    </xf>
    <xf numFmtId="9" fontId="59" fillId="3" borderId="0" xfId="1" applyFont="1" applyFill="1" applyBorder="1" applyAlignment="1">
      <alignment horizontal="right" vertical="center" indent="1"/>
    </xf>
    <xf numFmtId="3" fontId="65" fillId="3" borderId="0" xfId="1" applyNumberFormat="1" applyFont="1" applyFill="1" applyAlignment="1">
      <alignment horizontal="right" vertical="center" indent="1"/>
    </xf>
    <xf numFmtId="3" fontId="59" fillId="3" borderId="0" xfId="1" applyNumberFormat="1" applyFont="1" applyFill="1" applyAlignment="1">
      <alignment horizontal="right" vertical="center" indent="1"/>
    </xf>
    <xf numFmtId="3" fontId="65" fillId="6" borderId="0" xfId="1" applyNumberFormat="1" applyFont="1" applyFill="1" applyAlignment="1">
      <alignment horizontal="right" vertical="center" indent="1"/>
    </xf>
    <xf numFmtId="0" fontId="65" fillId="3" borderId="0" xfId="0" applyFont="1" applyFill="1" applyAlignment="1">
      <alignment horizontal="right" vertical="center"/>
    </xf>
    <xf numFmtId="165" fontId="57" fillId="3" borderId="0" xfId="0" applyNumberFormat="1" applyFont="1" applyFill="1" applyAlignment="1">
      <alignment vertical="center"/>
    </xf>
    <xf numFmtId="3" fontId="59" fillId="6" borderId="0" xfId="0" applyNumberFormat="1" applyFont="1" applyFill="1" applyAlignment="1">
      <alignment horizontal="left" vertical="center" indent="1"/>
    </xf>
    <xf numFmtId="165" fontId="59" fillId="6" borderId="0" xfId="1" applyNumberFormat="1" applyFont="1" applyFill="1" applyAlignment="1">
      <alignment horizontal="right" vertical="center" indent="1"/>
    </xf>
    <xf numFmtId="3" fontId="75" fillId="3" borderId="0" xfId="0" applyNumberFormat="1" applyFont="1" applyFill="1" applyAlignment="1">
      <alignment horizontal="right" vertical="center" indent="1"/>
    </xf>
    <xf numFmtId="3" fontId="65" fillId="3" borderId="0" xfId="0" applyNumberFormat="1" applyFont="1" applyFill="1" applyAlignment="1">
      <alignment horizontal="right" vertical="center" indent="1"/>
    </xf>
    <xf numFmtId="9" fontId="59" fillId="3" borderId="0" xfId="1" applyFont="1" applyFill="1" applyAlignment="1">
      <alignment horizontal="right" vertical="center" indent="1"/>
    </xf>
    <xf numFmtId="0" fontId="75" fillId="3" borderId="29" xfId="0" applyFont="1" applyFill="1" applyBorder="1" applyAlignment="1">
      <alignment horizontal="left" vertical="center" indent="1"/>
    </xf>
    <xf numFmtId="0" fontId="78" fillId="3" borderId="30" xfId="0" applyFont="1" applyFill="1" applyBorder="1" applyAlignment="1">
      <alignment horizontal="left" vertical="center" indent="1"/>
    </xf>
    <xf numFmtId="165" fontId="78" fillId="3" borderId="30" xfId="1" applyNumberFormat="1" applyFont="1" applyFill="1" applyBorder="1" applyAlignment="1">
      <alignment horizontal="right" vertical="center" indent="1"/>
    </xf>
    <xf numFmtId="164" fontId="78" fillId="3" borderId="30" xfId="1" applyNumberFormat="1" applyFont="1" applyFill="1" applyBorder="1" applyAlignment="1">
      <alignment horizontal="right" vertical="center" indent="1"/>
    </xf>
    <xf numFmtId="3" fontId="59" fillId="6" borderId="0" xfId="0" applyNumberFormat="1" applyFont="1" applyFill="1" applyAlignment="1">
      <alignment horizontal="right" vertical="center" indent="1"/>
    </xf>
    <xf numFmtId="0" fontId="57" fillId="13" borderId="0" xfId="0" applyFont="1" applyFill="1" applyAlignment="1">
      <alignment vertical="center"/>
    </xf>
    <xf numFmtId="0" fontId="57" fillId="13" borderId="0" xfId="0" applyFont="1" applyFill="1" applyAlignment="1">
      <alignment horizontal="left" vertical="center" indent="1"/>
    </xf>
    <xf numFmtId="0" fontId="76" fillId="12" borderId="0" xfId="0" applyFont="1" applyFill="1" applyAlignment="1">
      <alignment horizontal="left" vertical="center" indent="1"/>
    </xf>
    <xf numFmtId="0" fontId="57" fillId="12" borderId="0" xfId="0" applyFont="1" applyFill="1" applyAlignment="1">
      <alignment vertical="center"/>
    </xf>
    <xf numFmtId="166" fontId="75" fillId="5" borderId="11" xfId="0" applyNumberFormat="1" applyFont="1" applyFill="1" applyBorder="1" applyAlignment="1">
      <alignment horizontal="right" vertical="center" indent="1"/>
    </xf>
    <xf numFmtId="0" fontId="76" fillId="19" borderId="0" xfId="0" applyFont="1" applyFill="1" applyAlignment="1">
      <alignment horizontal="left" vertical="center" indent="1"/>
    </xf>
    <xf numFmtId="0" fontId="57" fillId="19" borderId="0" xfId="0" applyFont="1" applyFill="1" applyAlignment="1">
      <alignment vertical="center"/>
    </xf>
    <xf numFmtId="165" fontId="79" fillId="2" borderId="12" xfId="1" applyNumberFormat="1" applyFont="1" applyFill="1" applyBorder="1" applyAlignment="1">
      <alignment horizontal="right" vertical="center" indent="1"/>
    </xf>
    <xf numFmtId="165" fontId="78" fillId="3" borderId="13" xfId="1" applyNumberFormat="1" applyFont="1" applyFill="1" applyBorder="1" applyAlignment="1">
      <alignment horizontal="right" vertical="center" indent="1"/>
    </xf>
    <xf numFmtId="165" fontId="78" fillId="3" borderId="14" xfId="1" applyNumberFormat="1" applyFont="1" applyFill="1" applyBorder="1" applyAlignment="1">
      <alignment horizontal="right" vertical="center" indent="1"/>
    </xf>
    <xf numFmtId="165" fontId="78" fillId="3" borderId="15" xfId="1" applyNumberFormat="1" applyFont="1" applyFill="1" applyBorder="1" applyAlignment="1">
      <alignment horizontal="right" vertical="center" indent="1"/>
    </xf>
    <xf numFmtId="0" fontId="89" fillId="13" borderId="0" xfId="0" applyFont="1" applyFill="1" applyAlignment="1">
      <alignment horizontal="left" vertical="center" indent="1"/>
    </xf>
    <xf numFmtId="3" fontId="70" fillId="0" borderId="0" xfId="0" applyNumberFormat="1" applyFont="1" applyAlignment="1">
      <alignment horizontal="right" vertical="center" indent="1"/>
    </xf>
    <xf numFmtId="1" fontId="68" fillId="6" borderId="0" xfId="0" applyNumberFormat="1" applyFont="1" applyFill="1" applyAlignment="1">
      <alignment horizontal="right" vertical="center" indent="1"/>
    </xf>
    <xf numFmtId="165" fontId="71" fillId="0" borderId="0" xfId="0" applyNumberFormat="1" applyFont="1" applyAlignment="1">
      <alignment horizontal="right" vertical="center" indent="1"/>
    </xf>
    <xf numFmtId="165" fontId="71" fillId="16" borderId="0" xfId="0" applyNumberFormat="1" applyFont="1" applyFill="1" applyAlignment="1">
      <alignment horizontal="right" vertical="center" indent="1"/>
    </xf>
    <xf numFmtId="4" fontId="50" fillId="15" borderId="0" xfId="0" applyNumberFormat="1" applyFont="1" applyFill="1" applyAlignment="1">
      <alignment horizontal="right" vertical="center" indent="1"/>
    </xf>
    <xf numFmtId="165" fontId="50" fillId="3" borderId="0" xfId="0" applyNumberFormat="1" applyFont="1" applyFill="1" applyAlignment="1">
      <alignment horizontal="left" vertical="center" wrapText="1" indent="1"/>
    </xf>
    <xf numFmtId="165" fontId="50" fillId="3" borderId="27" xfId="1" applyNumberFormat="1" applyFont="1" applyFill="1" applyBorder="1" applyAlignment="1">
      <alignment horizontal="right" vertical="center" indent="1"/>
    </xf>
    <xf numFmtId="3" fontId="50" fillId="3" borderId="51" xfId="1" applyNumberFormat="1" applyFont="1" applyFill="1" applyBorder="1" applyAlignment="1">
      <alignment horizontal="right" vertical="center" indent="1"/>
    </xf>
    <xf numFmtId="0" fontId="65" fillId="3" borderId="0" xfId="0" applyFont="1" applyFill="1" applyAlignment="1">
      <alignment horizontal="left" vertical="center" indent="1"/>
    </xf>
    <xf numFmtId="0" fontId="82" fillId="0" borderId="0" xfId="0" applyFont="1" applyAlignment="1">
      <alignment vertical="center"/>
    </xf>
    <xf numFmtId="165" fontId="57" fillId="13" borderId="0" xfId="1" applyNumberFormat="1" applyFont="1" applyFill="1" applyAlignment="1">
      <alignment vertical="center"/>
    </xf>
    <xf numFmtId="10" fontId="57" fillId="13" borderId="0" xfId="1" applyNumberFormat="1" applyFont="1" applyFill="1" applyAlignment="1">
      <alignment vertical="center"/>
    </xf>
    <xf numFmtId="3" fontId="59" fillId="3" borderId="0" xfId="1" applyNumberFormat="1" applyFont="1" applyFill="1" applyBorder="1" applyAlignment="1">
      <alignment horizontal="right" vertical="center" indent="1"/>
    </xf>
    <xf numFmtId="3" fontId="65" fillId="3" borderId="0" xfId="1" applyNumberFormat="1" applyFont="1" applyFill="1" applyBorder="1" applyAlignment="1">
      <alignment horizontal="right" vertical="center" indent="1"/>
    </xf>
    <xf numFmtId="0" fontId="2" fillId="3" borderId="0" xfId="0" applyFont="1" applyFill="1" applyAlignment="1">
      <alignment horizontal="left" vertical="center" indent="1"/>
    </xf>
    <xf numFmtId="0" fontId="55" fillId="6" borderId="0" xfId="0" applyFont="1" applyFill="1" applyAlignment="1">
      <alignment horizontal="right" vertical="center" indent="1"/>
    </xf>
    <xf numFmtId="3" fontId="0" fillId="2" borderId="0" xfId="0" applyNumberFormat="1" applyFill="1" applyAlignment="1">
      <alignment horizontal="center" vertical="center"/>
    </xf>
    <xf numFmtId="3" fontId="0" fillId="2" borderId="0" xfId="0" applyNumberFormat="1" applyFill="1" applyAlignment="1">
      <alignment horizontal="center"/>
    </xf>
    <xf numFmtId="3" fontId="91" fillId="0" borderId="0" xfId="0" applyNumberFormat="1" applyFont="1" applyAlignment="1">
      <alignment horizontal="center" vertical="center"/>
    </xf>
    <xf numFmtId="0" fontId="0" fillId="0" borderId="0" xfId="0" applyAlignment="1">
      <alignment horizontal="center"/>
    </xf>
    <xf numFmtId="0" fontId="56" fillId="20" borderId="0" xfId="0" applyFont="1" applyFill="1" applyAlignment="1">
      <alignment horizontal="left" vertical="center" indent="1"/>
    </xf>
    <xf numFmtId="165" fontId="78" fillId="2" borderId="12" xfId="1" applyNumberFormat="1" applyFont="1" applyFill="1" applyBorder="1" applyAlignment="1">
      <alignment horizontal="right" vertical="center" indent="1"/>
    </xf>
    <xf numFmtId="165" fontId="43" fillId="2" borderId="12" xfId="1" applyNumberFormat="1" applyFont="1" applyFill="1" applyBorder="1" applyAlignment="1">
      <alignment horizontal="right" vertical="center" indent="1"/>
    </xf>
    <xf numFmtId="0" fontId="92" fillId="3" borderId="0" xfId="0" applyFont="1" applyFill="1" applyAlignment="1">
      <alignment horizontal="right" vertical="center" indent="1"/>
    </xf>
    <xf numFmtId="165" fontId="59" fillId="3" borderId="55" xfId="1" applyNumberFormat="1" applyFont="1" applyFill="1" applyBorder="1" applyAlignment="1">
      <alignment horizontal="right" vertical="center" indent="1"/>
    </xf>
    <xf numFmtId="165" fontId="59" fillId="3" borderId="54" xfId="1" applyNumberFormat="1" applyFont="1" applyFill="1" applyBorder="1" applyAlignment="1">
      <alignment horizontal="right" vertical="center" indent="1"/>
    </xf>
    <xf numFmtId="165" fontId="65" fillId="3" borderId="36" xfId="1" applyNumberFormat="1" applyFont="1" applyFill="1" applyBorder="1" applyAlignment="1">
      <alignment horizontal="right" vertical="center" indent="1"/>
    </xf>
    <xf numFmtId="165" fontId="65" fillId="3" borderId="37" xfId="1" applyNumberFormat="1" applyFont="1" applyFill="1" applyBorder="1" applyAlignment="1">
      <alignment horizontal="right" vertical="center" indent="1"/>
    </xf>
    <xf numFmtId="167" fontId="59" fillId="3" borderId="0" xfId="0" applyNumberFormat="1" applyFont="1" applyFill="1" applyAlignment="1">
      <alignment horizontal="center" vertical="center"/>
    </xf>
    <xf numFmtId="165" fontId="42" fillId="0" borderId="0" xfId="0" applyNumberFormat="1" applyFont="1" applyAlignment="1">
      <alignment horizontal="left" vertical="center" indent="1"/>
    </xf>
    <xf numFmtId="167" fontId="42" fillId="0" borderId="0" xfId="0" applyNumberFormat="1" applyFont="1" applyAlignment="1">
      <alignment horizontal="left" vertical="center" indent="1"/>
    </xf>
    <xf numFmtId="0" fontId="2" fillId="5" borderId="22" xfId="0" applyFont="1" applyFill="1" applyBorder="1" applyAlignment="1">
      <alignment vertical="center"/>
    </xf>
    <xf numFmtId="0" fontId="51" fillId="5" borderId="22" xfId="0" applyFont="1" applyFill="1" applyBorder="1" applyAlignment="1">
      <alignment vertical="center"/>
    </xf>
    <xf numFmtId="0" fontId="2" fillId="5" borderId="22" xfId="0" applyFont="1" applyFill="1" applyBorder="1" applyAlignment="1">
      <alignment horizontal="left" vertical="center" indent="1"/>
    </xf>
    <xf numFmtId="0" fontId="38" fillId="5" borderId="22" xfId="0" applyFont="1" applyFill="1" applyBorder="1" applyAlignment="1">
      <alignment horizontal="center" vertical="center"/>
    </xf>
    <xf numFmtId="166" fontId="3" fillId="5" borderId="56" xfId="0" applyNumberFormat="1" applyFont="1" applyFill="1" applyBorder="1" applyAlignment="1">
      <alignment horizontal="left" vertical="center"/>
    </xf>
    <xf numFmtId="0" fontId="21" fillId="0" borderId="24" xfId="0" applyFont="1" applyBorder="1" applyAlignment="1">
      <alignment horizontal="left" vertical="center" indent="1"/>
    </xf>
    <xf numFmtId="4" fontId="21" fillId="2" borderId="57" xfId="0" applyNumberFormat="1" applyFont="1" applyFill="1" applyBorder="1" applyAlignment="1">
      <alignment horizontal="right" vertical="center" indent="1"/>
    </xf>
    <xf numFmtId="9" fontId="21" fillId="2" borderId="58" xfId="1" applyFont="1" applyFill="1" applyBorder="1" applyAlignment="1">
      <alignment horizontal="right" vertical="center" indent="1"/>
    </xf>
    <xf numFmtId="4" fontId="21" fillId="2" borderId="59" xfId="0" applyNumberFormat="1" applyFont="1" applyFill="1" applyBorder="1" applyAlignment="1">
      <alignment horizontal="right" vertical="center" indent="1"/>
    </xf>
    <xf numFmtId="4" fontId="21" fillId="2" borderId="58" xfId="0" applyNumberFormat="1" applyFont="1" applyFill="1" applyBorder="1" applyAlignment="1">
      <alignment horizontal="right" vertical="center" indent="1"/>
    </xf>
    <xf numFmtId="9" fontId="21" fillId="2" borderId="59" xfId="1" applyFont="1" applyFill="1" applyBorder="1" applyAlignment="1">
      <alignment horizontal="right" vertical="center" indent="1"/>
    </xf>
    <xf numFmtId="0" fontId="39" fillId="0" borderId="25" xfId="0" applyFont="1" applyBorder="1" applyAlignment="1">
      <alignment horizontal="left" vertical="center" indent="1"/>
    </xf>
    <xf numFmtId="4" fontId="5" fillId="2" borderId="26" xfId="0" applyNumberFormat="1" applyFont="1" applyFill="1" applyBorder="1" applyAlignment="1">
      <alignment vertical="center"/>
    </xf>
    <xf numFmtId="0" fontId="21" fillId="0" borderId="60" xfId="0" applyFont="1" applyBorder="1" applyAlignment="1">
      <alignment horizontal="right" vertical="center" indent="1"/>
    </xf>
    <xf numFmtId="0" fontId="21" fillId="0" borderId="61" xfId="0" applyFont="1" applyBorder="1" applyAlignment="1">
      <alignment horizontal="right" vertical="center" indent="1"/>
    </xf>
    <xf numFmtId="0" fontId="21" fillId="0" borderId="26" xfId="0" applyFont="1" applyBorder="1" applyAlignment="1">
      <alignment horizontal="right" vertical="center" indent="1"/>
    </xf>
    <xf numFmtId="0" fontId="21" fillId="2" borderId="61" xfId="0" applyFont="1" applyFill="1" applyBorder="1" applyAlignment="1">
      <alignment horizontal="left" vertical="center" indent="1"/>
    </xf>
    <xf numFmtId="0" fontId="41" fillId="0" borderId="26" xfId="0" applyFont="1" applyBorder="1" applyAlignment="1">
      <alignment horizontal="center" vertical="center"/>
    </xf>
    <xf numFmtId="165" fontId="21" fillId="2" borderId="62" xfId="1" applyNumberFormat="1" applyFont="1" applyFill="1" applyBorder="1" applyAlignment="1">
      <alignment horizontal="right" vertical="center" indent="1"/>
    </xf>
    <xf numFmtId="164" fontId="93" fillId="6" borderId="0" xfId="0" applyNumberFormat="1" applyFont="1" applyFill="1" applyAlignment="1">
      <alignment vertical="center"/>
    </xf>
    <xf numFmtId="0" fontId="21" fillId="6" borderId="0" xfId="0" applyFont="1" applyFill="1" applyAlignment="1">
      <alignment horizontal="center" vertical="center"/>
    </xf>
    <xf numFmtId="0" fontId="3" fillId="5" borderId="20" xfId="0" applyFont="1" applyFill="1" applyBorder="1" applyAlignment="1">
      <alignment horizontal="left" vertical="center" indent="1"/>
    </xf>
    <xf numFmtId="0" fontId="57" fillId="2" borderId="0" xfId="0" applyFont="1" applyFill="1" applyAlignment="1">
      <alignment horizontal="left" vertical="center" indent="1"/>
    </xf>
    <xf numFmtId="167" fontId="57" fillId="2" borderId="12" xfId="0" applyNumberFormat="1" applyFont="1" applyFill="1" applyBorder="1" applyAlignment="1">
      <alignment horizontal="left" vertical="center" indent="1"/>
    </xf>
    <xf numFmtId="164" fontId="5" fillId="3" borderId="64" xfId="0" applyNumberFormat="1" applyFont="1" applyFill="1" applyBorder="1" applyAlignment="1">
      <alignment horizontal="right" vertical="center" indent="1"/>
    </xf>
    <xf numFmtId="164" fontId="93" fillId="6" borderId="64" xfId="0" applyNumberFormat="1" applyFont="1" applyFill="1" applyBorder="1" applyAlignment="1">
      <alignment vertical="center"/>
    </xf>
    <xf numFmtId="0" fontId="21" fillId="6" borderId="64" xfId="0" applyFont="1" applyFill="1" applyBorder="1" applyAlignment="1">
      <alignment vertical="center"/>
    </xf>
    <xf numFmtId="164" fontId="5" fillId="3" borderId="65" xfId="0" applyNumberFormat="1" applyFont="1" applyFill="1" applyBorder="1" applyAlignment="1">
      <alignment horizontal="right" vertical="center" indent="1"/>
    </xf>
    <xf numFmtId="165" fontId="5" fillId="3" borderId="64" xfId="1" applyNumberFormat="1" applyFont="1" applyFill="1" applyBorder="1" applyAlignment="1">
      <alignment horizontal="right" vertical="center" indent="1"/>
    </xf>
    <xf numFmtId="165" fontId="5" fillId="3" borderId="65" xfId="1" applyNumberFormat="1" applyFont="1" applyFill="1" applyBorder="1" applyAlignment="1">
      <alignment horizontal="right" vertical="center" indent="1"/>
    </xf>
    <xf numFmtId="0" fontId="42" fillId="0" borderId="0" xfId="0" applyFont="1" applyAlignment="1">
      <alignment horizontal="center" vertical="center"/>
    </xf>
    <xf numFmtId="0" fontId="21" fillId="2" borderId="0" xfId="0" applyFont="1" applyFill="1" applyAlignment="1">
      <alignment horizontal="left" vertical="center" indent="1"/>
    </xf>
    <xf numFmtId="0" fontId="39" fillId="7" borderId="0" xfId="0" applyFont="1" applyFill="1" applyAlignment="1">
      <alignment horizontal="left" vertical="center" indent="1"/>
    </xf>
    <xf numFmtId="0" fontId="39" fillId="7" borderId="0" xfId="0" applyFont="1" applyFill="1" applyAlignment="1">
      <alignment horizontal="right" vertical="center" indent="1"/>
    </xf>
    <xf numFmtId="0" fontId="43" fillId="3" borderId="0" xfId="0" applyFont="1" applyFill="1" applyAlignment="1">
      <alignment horizontal="left" vertical="center" indent="1"/>
    </xf>
    <xf numFmtId="14" fontId="63" fillId="13" borderId="0" xfId="0" applyNumberFormat="1" applyFont="1" applyFill="1" applyAlignment="1">
      <alignment horizontal="left" vertical="center" indent="1"/>
    </xf>
    <xf numFmtId="0" fontId="57" fillId="0" borderId="60" xfId="0" applyFont="1" applyBorder="1" applyAlignment="1">
      <alignment horizontal="right" vertical="center" indent="1"/>
    </xf>
    <xf numFmtId="4" fontId="57" fillId="2" borderId="57" xfId="0" applyNumberFormat="1" applyFont="1" applyFill="1" applyBorder="1" applyAlignment="1">
      <alignment horizontal="right" vertical="center" indent="1"/>
    </xf>
    <xf numFmtId="9" fontId="57" fillId="2" borderId="58" xfId="1" applyFont="1" applyFill="1" applyBorder="1" applyAlignment="1">
      <alignment horizontal="right" vertical="center" indent="1"/>
    </xf>
    <xf numFmtId="4" fontId="57" fillId="2" borderId="59" xfId="0" applyNumberFormat="1" applyFont="1" applyFill="1" applyBorder="1" applyAlignment="1">
      <alignment horizontal="right" vertical="center" indent="1"/>
    </xf>
    <xf numFmtId="4" fontId="57" fillId="2" borderId="58" xfId="0" applyNumberFormat="1" applyFont="1" applyFill="1" applyBorder="1" applyAlignment="1">
      <alignment horizontal="right" vertical="center" indent="1"/>
    </xf>
    <xf numFmtId="9" fontId="57" fillId="2" borderId="59" xfId="1" applyFont="1" applyFill="1" applyBorder="1" applyAlignment="1">
      <alignment horizontal="right" vertical="center" indent="1"/>
    </xf>
    <xf numFmtId="165" fontId="57" fillId="2" borderId="62" xfId="1" applyNumberFormat="1" applyFont="1" applyFill="1" applyBorder="1" applyAlignment="1">
      <alignment horizontal="right" vertical="center" indent="1"/>
    </xf>
    <xf numFmtId="3" fontId="57" fillId="2" borderId="0" xfId="0" applyNumberFormat="1" applyFont="1" applyFill="1" applyAlignment="1">
      <alignment horizontal="right" vertical="center" indent="1"/>
    </xf>
    <xf numFmtId="3" fontId="57" fillId="2" borderId="4" xfId="0" applyNumberFormat="1" applyFont="1" applyFill="1" applyBorder="1" applyAlignment="1">
      <alignment horizontal="right" vertical="center" indent="1"/>
    </xf>
    <xf numFmtId="3" fontId="57" fillId="2" borderId="12" xfId="0" applyNumberFormat="1" applyFont="1" applyFill="1" applyBorder="1" applyAlignment="1">
      <alignment horizontal="right" vertical="center" indent="1"/>
    </xf>
    <xf numFmtId="165" fontId="58" fillId="2" borderId="0" xfId="1" applyNumberFormat="1" applyFont="1" applyFill="1" applyBorder="1" applyAlignment="1">
      <alignment horizontal="right" vertical="center" indent="1"/>
    </xf>
    <xf numFmtId="165" fontId="58" fillId="2" borderId="4" xfId="1" applyNumberFormat="1" applyFont="1" applyFill="1" applyBorder="1" applyAlignment="1">
      <alignment horizontal="right" vertical="center" indent="1"/>
    </xf>
    <xf numFmtId="165" fontId="58" fillId="2" borderId="12" xfId="1" applyNumberFormat="1" applyFont="1" applyFill="1" applyBorder="1" applyAlignment="1">
      <alignment horizontal="right" vertical="center" indent="1"/>
    </xf>
    <xf numFmtId="3" fontId="57" fillId="3" borderId="4" xfId="0" applyNumberFormat="1" applyFont="1" applyFill="1" applyBorder="1" applyAlignment="1">
      <alignment horizontal="right" vertical="center" indent="1"/>
    </xf>
    <xf numFmtId="3" fontId="57" fillId="3" borderId="12" xfId="0" applyNumberFormat="1" applyFont="1" applyFill="1" applyBorder="1" applyAlignment="1">
      <alignment horizontal="right" vertical="center" indent="1"/>
    </xf>
    <xf numFmtId="165" fontId="58" fillId="3" borderId="0" xfId="1" applyNumberFormat="1" applyFont="1" applyFill="1" applyBorder="1" applyAlignment="1">
      <alignment horizontal="right" vertical="center" indent="1"/>
    </xf>
    <xf numFmtId="165" fontId="58" fillId="3" borderId="4" xfId="1" applyNumberFormat="1" applyFont="1" applyFill="1" applyBorder="1" applyAlignment="1">
      <alignment horizontal="right" vertical="center" indent="1"/>
    </xf>
    <xf numFmtId="165" fontId="58" fillId="3" borderId="13" xfId="1" applyNumberFormat="1" applyFont="1" applyFill="1" applyBorder="1" applyAlignment="1">
      <alignment horizontal="right" vertical="top" indent="1"/>
    </xf>
    <xf numFmtId="165" fontId="58" fillId="3" borderId="14" xfId="1" applyNumberFormat="1" applyFont="1" applyFill="1" applyBorder="1" applyAlignment="1">
      <alignment horizontal="right" vertical="top" indent="1"/>
    </xf>
    <xf numFmtId="165" fontId="58" fillId="3" borderId="15" xfId="1" applyNumberFormat="1" applyFont="1" applyFill="1" applyBorder="1" applyAlignment="1">
      <alignment horizontal="right" vertical="top" indent="1"/>
    </xf>
    <xf numFmtId="3" fontId="57" fillId="2" borderId="3" xfId="0" applyNumberFormat="1" applyFont="1" applyFill="1" applyBorder="1" applyAlignment="1">
      <alignment horizontal="right" vertical="center" indent="1"/>
    </xf>
    <xf numFmtId="165" fontId="58" fillId="2" borderId="3" xfId="1" applyNumberFormat="1" applyFont="1" applyFill="1" applyBorder="1" applyAlignment="1">
      <alignment horizontal="right" vertical="center" indent="1"/>
    </xf>
    <xf numFmtId="3" fontId="57" fillId="3" borderId="3" xfId="0" applyNumberFormat="1" applyFont="1" applyFill="1" applyBorder="1" applyAlignment="1">
      <alignment horizontal="right" vertical="center" indent="1"/>
    </xf>
    <xf numFmtId="165" fontId="58" fillId="3" borderId="3" xfId="1" applyNumberFormat="1" applyFont="1" applyFill="1" applyBorder="1" applyAlignment="1">
      <alignment horizontal="right" vertical="center" indent="1"/>
    </xf>
    <xf numFmtId="3" fontId="57" fillId="2" borderId="3" xfId="1" applyNumberFormat="1" applyFont="1" applyFill="1" applyBorder="1" applyAlignment="1">
      <alignment horizontal="right" vertical="center" indent="1"/>
    </xf>
    <xf numFmtId="164" fontId="58" fillId="2" borderId="0" xfId="1" applyNumberFormat="1" applyFont="1" applyFill="1" applyBorder="1" applyAlignment="1">
      <alignment horizontal="right" vertical="center" indent="1"/>
    </xf>
    <xf numFmtId="164" fontId="58" fillId="2" borderId="3" xfId="1" applyNumberFormat="1" applyFont="1" applyFill="1" applyBorder="1" applyAlignment="1">
      <alignment horizontal="right" vertical="center" indent="1"/>
    </xf>
    <xf numFmtId="165" fontId="58" fillId="2" borderId="16" xfId="1" applyNumberFormat="1" applyFont="1" applyFill="1" applyBorder="1" applyAlignment="1">
      <alignment horizontal="right" vertical="center" indent="1"/>
    </xf>
    <xf numFmtId="3" fontId="57" fillId="7" borderId="0" xfId="0" applyNumberFormat="1" applyFont="1" applyFill="1" applyAlignment="1">
      <alignment horizontal="right" vertical="center" indent="1"/>
    </xf>
    <xf numFmtId="164" fontId="57" fillId="3" borderId="4" xfId="0" applyNumberFormat="1" applyFont="1" applyFill="1" applyBorder="1" applyAlignment="1">
      <alignment horizontal="right" vertical="center" indent="1"/>
    </xf>
    <xf numFmtId="164" fontId="57" fillId="3" borderId="0" xfId="0" applyNumberFormat="1" applyFont="1" applyFill="1" applyAlignment="1">
      <alignment horizontal="right" vertical="center" indent="1"/>
    </xf>
    <xf numFmtId="165" fontId="57" fillId="3" borderId="4" xfId="1" applyNumberFormat="1" applyFont="1" applyFill="1" applyBorder="1" applyAlignment="1">
      <alignment horizontal="right" vertical="center" indent="1"/>
    </xf>
    <xf numFmtId="9" fontId="58" fillId="2" borderId="4" xfId="1" applyFont="1" applyFill="1" applyBorder="1" applyAlignment="1">
      <alignment horizontal="right" vertical="center" indent="1"/>
    </xf>
    <xf numFmtId="9" fontId="58" fillId="2" borderId="15" xfId="1" applyFont="1" applyFill="1" applyBorder="1" applyAlignment="1">
      <alignment horizontal="right" vertical="top" indent="1"/>
    </xf>
    <xf numFmtId="9" fontId="58" fillId="2" borderId="17" xfId="1" applyFont="1" applyFill="1" applyBorder="1" applyAlignment="1">
      <alignment horizontal="right" vertical="center" indent="1"/>
    </xf>
    <xf numFmtId="3" fontId="57" fillId="2" borderId="31" xfId="0" applyNumberFormat="1" applyFont="1" applyFill="1" applyBorder="1" applyAlignment="1">
      <alignment horizontal="right" vertical="center" indent="1"/>
    </xf>
    <xf numFmtId="164" fontId="57" fillId="2" borderId="26" xfId="0" applyNumberFormat="1" applyFont="1" applyFill="1" applyBorder="1" applyAlignment="1">
      <alignment horizontal="right" vertical="center" indent="1"/>
    </xf>
    <xf numFmtId="164" fontId="57" fillId="2" borderId="32" xfId="0" applyNumberFormat="1" applyFont="1" applyFill="1" applyBorder="1" applyAlignment="1">
      <alignment horizontal="right" vertical="center" indent="1"/>
    </xf>
    <xf numFmtId="0" fontId="57" fillId="5" borderId="10" xfId="0" applyFont="1" applyFill="1" applyBorder="1" applyAlignment="1">
      <alignment horizontal="right" vertical="center" indent="1"/>
    </xf>
    <xf numFmtId="3" fontId="59" fillId="2" borderId="0" xfId="1" applyNumberFormat="1" applyFont="1" applyFill="1" applyBorder="1" applyAlignment="1">
      <alignment horizontal="right" vertical="center" indent="1"/>
    </xf>
    <xf numFmtId="3" fontId="59" fillId="2" borderId="4" xfId="1" applyNumberFormat="1" applyFont="1" applyFill="1" applyBorder="1" applyAlignment="1">
      <alignment horizontal="right" vertical="center" indent="1"/>
    </xf>
    <xf numFmtId="9" fontId="84" fillId="2" borderId="6" xfId="1" applyFont="1" applyFill="1" applyBorder="1" applyAlignment="1">
      <alignment horizontal="right" vertical="center" indent="1"/>
    </xf>
    <xf numFmtId="9" fontId="84" fillId="2" borderId="4" xfId="1" applyFont="1" applyFill="1" applyBorder="1" applyAlignment="1">
      <alignment horizontal="right" vertical="top" indent="1"/>
    </xf>
    <xf numFmtId="9" fontId="84" fillId="2" borderId="6" xfId="1" applyFont="1" applyFill="1" applyBorder="1" applyAlignment="1">
      <alignment horizontal="right" vertical="top" indent="1"/>
    </xf>
    <xf numFmtId="0" fontId="57" fillId="7" borderId="7" xfId="0" applyFont="1" applyFill="1" applyBorder="1" applyAlignment="1">
      <alignment vertical="center"/>
    </xf>
    <xf numFmtId="0" fontId="57" fillId="7" borderId="8" xfId="0" applyFont="1" applyFill="1" applyBorder="1" applyAlignment="1">
      <alignment vertical="center"/>
    </xf>
    <xf numFmtId="0" fontId="57" fillId="7" borderId="19" xfId="0" applyFont="1" applyFill="1" applyBorder="1" applyAlignment="1">
      <alignment vertical="center"/>
    </xf>
    <xf numFmtId="9" fontId="84" fillId="2" borderId="17" xfId="1" applyFont="1" applyFill="1" applyBorder="1" applyAlignment="1">
      <alignment horizontal="right" vertical="top" indent="1"/>
    </xf>
    <xf numFmtId="0" fontId="57" fillId="7" borderId="18" xfId="0" applyFont="1" applyFill="1" applyBorder="1" applyAlignment="1">
      <alignment vertical="center"/>
    </xf>
    <xf numFmtId="0" fontId="57" fillId="7" borderId="14" xfId="0" applyFont="1" applyFill="1" applyBorder="1" applyAlignment="1">
      <alignment vertical="center"/>
    </xf>
    <xf numFmtId="0" fontId="57" fillId="7" borderId="15" xfId="0" applyFont="1" applyFill="1" applyBorder="1" applyAlignment="1">
      <alignment vertical="center"/>
    </xf>
    <xf numFmtId="0" fontId="57" fillId="0" borderId="0" xfId="0" applyFont="1" applyAlignment="1">
      <alignment horizontal="left" vertical="center" indent="1"/>
    </xf>
    <xf numFmtId="165" fontId="82" fillId="0" borderId="0" xfId="0" applyNumberFormat="1" applyFont="1" applyAlignment="1">
      <alignment horizontal="right" vertical="center" indent="1"/>
    </xf>
    <xf numFmtId="167" fontId="75" fillId="7" borderId="12" xfId="0" applyNumberFormat="1" applyFont="1" applyFill="1" applyBorder="1" applyAlignment="1">
      <alignment horizontal="left" vertical="center" indent="1"/>
    </xf>
    <xf numFmtId="167" fontId="59" fillId="6" borderId="0" xfId="0" applyNumberFormat="1" applyFont="1" applyFill="1" applyAlignment="1">
      <alignment horizontal="center" vertical="center"/>
    </xf>
    <xf numFmtId="0" fontId="57" fillId="3" borderId="24" xfId="0" applyFont="1" applyFill="1" applyBorder="1" applyAlignment="1">
      <alignment horizontal="left" vertical="center" indent="1"/>
    </xf>
    <xf numFmtId="165" fontId="57" fillId="3" borderId="0" xfId="1" applyNumberFormat="1" applyFont="1" applyFill="1" applyAlignment="1">
      <alignment horizontal="right" vertical="center" indent="1"/>
    </xf>
    <xf numFmtId="165" fontId="57" fillId="6" borderId="0" xfId="1" applyNumberFormat="1" applyFont="1" applyFill="1" applyAlignment="1">
      <alignment horizontal="right" vertical="center" indent="1"/>
    </xf>
    <xf numFmtId="165" fontId="57" fillId="3" borderId="49" xfId="1" applyNumberFormat="1" applyFont="1" applyFill="1" applyBorder="1" applyAlignment="1">
      <alignment horizontal="right" vertical="center" indent="1"/>
    </xf>
    <xf numFmtId="165" fontId="74" fillId="2" borderId="0" xfId="1" applyNumberFormat="1" applyFont="1" applyFill="1" applyAlignment="1">
      <alignment horizontal="left" vertical="top" indent="1"/>
    </xf>
    <xf numFmtId="165" fontId="74" fillId="2" borderId="0" xfId="1" applyNumberFormat="1" applyFont="1" applyFill="1" applyAlignment="1">
      <alignment horizontal="right" vertical="top" indent="1"/>
    </xf>
    <xf numFmtId="167" fontId="37" fillId="7" borderId="12" xfId="0" applyNumberFormat="1" applyFont="1" applyFill="1" applyBorder="1" applyAlignment="1">
      <alignment horizontal="left" vertical="center" indent="1"/>
    </xf>
    <xf numFmtId="0" fontId="21" fillId="3" borderId="24" xfId="0" applyFont="1" applyFill="1" applyBorder="1" applyAlignment="1">
      <alignment horizontal="left" vertical="center" indent="1"/>
    </xf>
    <xf numFmtId="165" fontId="41" fillId="2" borderId="0" xfId="1" applyNumberFormat="1" applyFont="1" applyFill="1" applyAlignment="1">
      <alignment horizontal="left" vertical="top" indent="1"/>
    </xf>
    <xf numFmtId="167" fontId="5" fillId="6" borderId="0" xfId="0" applyNumberFormat="1" applyFont="1" applyFill="1" applyAlignment="1">
      <alignment horizontal="center" vertical="center"/>
    </xf>
    <xf numFmtId="165" fontId="21" fillId="3" borderId="0" xfId="1" applyNumberFormat="1" applyFont="1" applyFill="1" applyAlignment="1">
      <alignment horizontal="right" vertical="center" indent="1"/>
    </xf>
    <xf numFmtId="165" fontId="21" fillId="6" borderId="0" xfId="1" applyNumberFormat="1" applyFont="1" applyFill="1" applyAlignment="1">
      <alignment horizontal="right" vertical="center" indent="1"/>
    </xf>
    <xf numFmtId="165" fontId="21" fillId="3" borderId="49" xfId="1" applyNumberFormat="1" applyFont="1" applyFill="1" applyBorder="1" applyAlignment="1">
      <alignment horizontal="right" vertical="center" indent="1"/>
    </xf>
    <xf numFmtId="165" fontId="41" fillId="2" borderId="0" xfId="1" applyNumberFormat="1" applyFont="1" applyFill="1" applyAlignment="1">
      <alignment horizontal="right" vertical="top" indent="1"/>
    </xf>
    <xf numFmtId="167" fontId="5" fillId="7" borderId="0" xfId="0" applyNumberFormat="1" applyFont="1" applyFill="1" applyAlignment="1">
      <alignment horizontal="left" vertical="center" indent="1"/>
    </xf>
    <xf numFmtId="167" fontId="59" fillId="7" borderId="0" xfId="0" applyNumberFormat="1" applyFont="1" applyFill="1" applyAlignment="1">
      <alignment horizontal="left" vertical="top" wrapText="1" indent="1"/>
    </xf>
    <xf numFmtId="167" fontId="95" fillId="7" borderId="0" xfId="0" applyNumberFormat="1" applyFont="1" applyFill="1" applyAlignment="1">
      <alignment horizontal="left" vertical="center" wrapText="1" indent="1"/>
    </xf>
    <xf numFmtId="3" fontId="59" fillId="2" borderId="31" xfId="0" applyNumberFormat="1" applyFont="1" applyFill="1" applyBorder="1" applyAlignment="1">
      <alignment horizontal="right" vertical="center" indent="1"/>
    </xf>
    <xf numFmtId="164" fontId="59" fillId="2" borderId="32" xfId="0" applyNumberFormat="1" applyFont="1" applyFill="1" applyBorder="1" applyAlignment="1">
      <alignment horizontal="right" vertical="center" indent="1"/>
    </xf>
    <xf numFmtId="164" fontId="59" fillId="2" borderId="26" xfId="0" applyNumberFormat="1" applyFont="1" applyFill="1" applyBorder="1" applyAlignment="1">
      <alignment horizontal="right" vertical="center" indent="1"/>
    </xf>
    <xf numFmtId="165" fontId="57" fillId="13" borderId="0" xfId="0" applyNumberFormat="1" applyFont="1" applyFill="1" applyAlignment="1">
      <alignment vertical="center"/>
    </xf>
    <xf numFmtId="0" fontId="52" fillId="0" borderId="0" xfId="0" applyFont="1" applyAlignment="1">
      <alignment vertical="center"/>
    </xf>
    <xf numFmtId="165" fontId="97" fillId="3" borderId="0" xfId="1" applyNumberFormat="1" applyFont="1" applyFill="1" applyBorder="1" applyAlignment="1">
      <alignment horizontal="right" vertical="center" indent="1"/>
    </xf>
    <xf numFmtId="165" fontId="96" fillId="3" borderId="0" xfId="1" applyNumberFormat="1" applyFont="1" applyFill="1" applyBorder="1" applyAlignment="1">
      <alignment horizontal="right" vertical="center" indent="1"/>
    </xf>
    <xf numFmtId="165" fontId="97" fillId="6" borderId="0" xfId="1" applyNumberFormat="1" applyFont="1" applyFill="1" applyBorder="1" applyAlignment="1">
      <alignment horizontal="right" vertical="center" indent="1"/>
    </xf>
    <xf numFmtId="165" fontId="98" fillId="3" borderId="0" xfId="1" applyNumberFormat="1" applyFont="1" applyFill="1" applyBorder="1" applyAlignment="1">
      <alignment horizontal="right" vertical="top" indent="1"/>
    </xf>
    <xf numFmtId="173" fontId="55" fillId="3" borderId="0" xfId="1" applyNumberFormat="1" applyFont="1" applyFill="1" applyBorder="1" applyAlignment="1">
      <alignment horizontal="left" vertical="center"/>
    </xf>
    <xf numFmtId="0" fontId="55" fillId="6" borderId="0" xfId="0" applyFont="1" applyFill="1" applyAlignment="1">
      <alignment vertical="center"/>
    </xf>
    <xf numFmtId="0" fontId="54" fillId="6" borderId="0" xfId="0" applyFont="1" applyFill="1" applyAlignment="1">
      <alignment vertical="center"/>
    </xf>
    <xf numFmtId="0" fontId="54" fillId="6" borderId="0" xfId="0" applyFont="1" applyFill="1" applyAlignment="1">
      <alignment horizontal="center" vertical="center"/>
    </xf>
    <xf numFmtId="0" fontId="55" fillId="3" borderId="0" xfId="0" applyFont="1" applyFill="1" applyAlignment="1">
      <alignment vertical="center"/>
    </xf>
    <xf numFmtId="2" fontId="55" fillId="3" borderId="0" xfId="0" applyNumberFormat="1" applyFont="1" applyFill="1" applyAlignment="1">
      <alignment horizontal="right" vertical="center" indent="1"/>
    </xf>
    <xf numFmtId="0" fontId="55" fillId="3" borderId="0" xfId="0" applyFont="1" applyFill="1" applyAlignment="1">
      <alignment horizontal="right" vertical="center" indent="1"/>
    </xf>
    <xf numFmtId="167" fontId="97" fillId="3" borderId="0" xfId="0" applyNumberFormat="1" applyFont="1" applyFill="1" applyAlignment="1">
      <alignment horizontal="right" vertical="center" indent="1"/>
    </xf>
    <xf numFmtId="167" fontId="55" fillId="3" borderId="0" xfId="0" applyNumberFormat="1" applyFont="1" applyFill="1" applyAlignment="1">
      <alignment horizontal="right" vertical="center" indent="1"/>
    </xf>
    <xf numFmtId="0" fontId="54" fillId="6" borderId="66" xfId="0" applyFont="1" applyFill="1" applyBorder="1" applyAlignment="1">
      <alignment horizontal="left" vertical="center" indent="1"/>
    </xf>
    <xf numFmtId="0" fontId="54" fillId="6" borderId="67" xfId="0" applyFont="1" applyFill="1" applyBorder="1" applyAlignment="1">
      <alignment vertical="center"/>
    </xf>
    <xf numFmtId="4" fontId="54" fillId="6" borderId="68" xfId="0" applyNumberFormat="1" applyFont="1" applyFill="1" applyBorder="1" applyAlignment="1">
      <alignment horizontal="right" vertical="center" indent="1"/>
    </xf>
    <xf numFmtId="0" fontId="55" fillId="3" borderId="69" xfId="0" applyFont="1" applyFill="1" applyBorder="1" applyAlignment="1">
      <alignment horizontal="left" vertical="center" indent="1"/>
    </xf>
    <xf numFmtId="164" fontId="55" fillId="3" borderId="70" xfId="0" applyNumberFormat="1" applyFont="1" applyFill="1" applyBorder="1" applyAlignment="1">
      <alignment horizontal="right" vertical="center" indent="1"/>
    </xf>
    <xf numFmtId="4" fontId="55" fillId="3" borderId="70" xfId="0" applyNumberFormat="1" applyFont="1" applyFill="1" applyBorder="1" applyAlignment="1">
      <alignment horizontal="right" vertical="center" indent="1"/>
    </xf>
    <xf numFmtId="0" fontId="55" fillId="3" borderId="71" xfId="0" applyFont="1" applyFill="1" applyBorder="1" applyAlignment="1">
      <alignment horizontal="left" vertical="center" indent="1"/>
    </xf>
    <xf numFmtId="0" fontId="55" fillId="3" borderId="72" xfId="0" applyFont="1" applyFill="1" applyBorder="1" applyAlignment="1">
      <alignment vertical="center"/>
    </xf>
    <xf numFmtId="165" fontId="55" fillId="3" borderId="73" xfId="1" applyNumberFormat="1" applyFont="1" applyFill="1" applyBorder="1" applyAlignment="1">
      <alignment horizontal="right" vertical="center" indent="1"/>
    </xf>
    <xf numFmtId="0" fontId="56" fillId="7" borderId="66" xfId="0" applyFont="1" applyFill="1" applyBorder="1" applyAlignment="1">
      <alignment horizontal="left" vertical="center" indent="1"/>
    </xf>
    <xf numFmtId="0" fontId="39" fillId="7" borderId="67" xfId="0" applyFont="1" applyFill="1" applyBorder="1" applyAlignment="1">
      <alignment vertical="center"/>
    </xf>
    <xf numFmtId="4" fontId="39" fillId="7" borderId="68" xfId="0" applyNumberFormat="1" applyFont="1" applyFill="1" applyBorder="1" applyAlignment="1">
      <alignment horizontal="right" vertical="center" indent="1"/>
    </xf>
    <xf numFmtId="0" fontId="5" fillId="7" borderId="71" xfId="0" applyFont="1" applyFill="1" applyBorder="1" applyAlignment="1">
      <alignment horizontal="left" vertical="center" indent="1"/>
    </xf>
    <xf numFmtId="0" fontId="21" fillId="7" borderId="72" xfId="0" applyFont="1" applyFill="1" applyBorder="1" applyAlignment="1">
      <alignment vertical="center"/>
    </xf>
    <xf numFmtId="165" fontId="5" fillId="7" borderId="73" xfId="1" applyNumberFormat="1" applyFont="1" applyFill="1" applyBorder="1" applyAlignment="1">
      <alignment horizontal="right" vertical="center" indent="1"/>
    </xf>
    <xf numFmtId="0" fontId="96" fillId="21" borderId="66" xfId="0" applyFont="1" applyFill="1" applyBorder="1" applyAlignment="1">
      <alignment horizontal="left" vertical="center" indent="1"/>
    </xf>
    <xf numFmtId="0" fontId="55" fillId="21" borderId="67" xfId="0" applyFont="1" applyFill="1" applyBorder="1" applyAlignment="1">
      <alignment horizontal="left" vertical="center" indent="1"/>
    </xf>
    <xf numFmtId="0" fontId="54" fillId="21" borderId="67" xfId="0" applyFont="1" applyFill="1" applyBorder="1" applyAlignment="1">
      <alignment horizontal="left" vertical="center" indent="1"/>
    </xf>
    <xf numFmtId="0" fontId="54" fillId="21" borderId="68" xfId="0" applyFont="1" applyFill="1" applyBorder="1" applyAlignment="1">
      <alignment horizontal="left" vertical="center" indent="1"/>
    </xf>
    <xf numFmtId="0" fontId="96" fillId="6" borderId="69" xfId="0" applyFont="1" applyFill="1" applyBorder="1" applyAlignment="1">
      <alignment horizontal="left" vertical="center" indent="1"/>
    </xf>
    <xf numFmtId="166" fontId="96" fillId="6" borderId="70" xfId="0" applyNumberFormat="1" applyFont="1" applyFill="1" applyBorder="1" applyAlignment="1">
      <alignment horizontal="right" vertical="center" indent="1"/>
    </xf>
    <xf numFmtId="0" fontId="55" fillId="3" borderId="70" xfId="0" applyFont="1" applyFill="1" applyBorder="1" applyAlignment="1">
      <alignment horizontal="right" vertical="center" indent="1"/>
    </xf>
    <xf numFmtId="0" fontId="54" fillId="6" borderId="69" xfId="0" applyFont="1" applyFill="1" applyBorder="1" applyAlignment="1">
      <alignment horizontal="left" vertical="center" indent="1"/>
    </xf>
    <xf numFmtId="4" fontId="54" fillId="6" borderId="70" xfId="0" applyNumberFormat="1" applyFont="1" applyFill="1" applyBorder="1" applyAlignment="1">
      <alignment horizontal="right" vertical="center" indent="1"/>
    </xf>
    <xf numFmtId="0" fontId="55" fillId="6" borderId="69" xfId="0" applyFont="1" applyFill="1" applyBorder="1" applyAlignment="1">
      <alignment horizontal="left" vertical="center" indent="1"/>
    </xf>
    <xf numFmtId="9" fontId="55" fillId="6" borderId="70" xfId="1" applyFont="1" applyFill="1" applyBorder="1" applyAlignment="1">
      <alignment horizontal="right" vertical="center" indent="1"/>
    </xf>
    <xf numFmtId="164" fontId="97" fillId="3" borderId="70" xfId="0" applyNumberFormat="1" applyFont="1" applyFill="1" applyBorder="1" applyAlignment="1">
      <alignment horizontal="right" vertical="center" indent="1"/>
    </xf>
    <xf numFmtId="165" fontId="97" fillId="3" borderId="70" xfId="1" applyNumberFormat="1" applyFont="1" applyFill="1" applyBorder="1" applyAlignment="1">
      <alignment horizontal="right" vertical="center" indent="1"/>
    </xf>
    <xf numFmtId="3" fontId="97" fillId="3" borderId="70" xfId="0" applyNumberFormat="1" applyFont="1" applyFill="1" applyBorder="1" applyAlignment="1">
      <alignment horizontal="right" vertical="center" indent="1"/>
    </xf>
    <xf numFmtId="0" fontId="97" fillId="3" borderId="69" xfId="0" applyFont="1" applyFill="1" applyBorder="1" applyAlignment="1">
      <alignment horizontal="left" vertical="center" indent="1"/>
    </xf>
    <xf numFmtId="0" fontId="97" fillId="3" borderId="71" xfId="0" applyFont="1" applyFill="1" applyBorder="1" applyAlignment="1">
      <alignment horizontal="left" vertical="center" indent="1"/>
    </xf>
    <xf numFmtId="165" fontId="97" fillId="3" borderId="73" xfId="1" applyNumberFormat="1" applyFont="1" applyFill="1" applyBorder="1" applyAlignment="1">
      <alignment horizontal="right" vertical="center" indent="1"/>
    </xf>
    <xf numFmtId="0" fontId="55" fillId="3" borderId="0" xfId="0" applyFont="1" applyFill="1" applyAlignment="1">
      <alignment horizontal="right" vertical="center"/>
    </xf>
    <xf numFmtId="165" fontId="55" fillId="3" borderId="70" xfId="1" applyNumberFormat="1" applyFont="1" applyFill="1" applyBorder="1" applyAlignment="1">
      <alignment horizontal="right" vertical="center" indent="1"/>
    </xf>
    <xf numFmtId="4" fontId="97" fillId="3" borderId="70" xfId="0" applyNumberFormat="1" applyFont="1" applyFill="1" applyBorder="1" applyAlignment="1">
      <alignment horizontal="right" vertical="center" indent="1"/>
    </xf>
    <xf numFmtId="0" fontId="54" fillId="3" borderId="69" xfId="0" applyFont="1" applyFill="1" applyBorder="1" applyAlignment="1">
      <alignment horizontal="left" vertical="center" indent="1"/>
    </xf>
    <xf numFmtId="0" fontId="54" fillId="3" borderId="0" xfId="0" applyFont="1" applyFill="1" applyAlignment="1">
      <alignment vertical="center"/>
    </xf>
    <xf numFmtId="165" fontId="54" fillId="3" borderId="70" xfId="1" applyNumberFormat="1" applyFont="1" applyFill="1" applyBorder="1" applyAlignment="1">
      <alignment horizontal="right" vertical="center" indent="1"/>
    </xf>
    <xf numFmtId="165" fontId="96" fillId="3" borderId="70" xfId="1" applyNumberFormat="1" applyFont="1" applyFill="1" applyBorder="1" applyAlignment="1">
      <alignment horizontal="right" vertical="center" indent="1"/>
    </xf>
    <xf numFmtId="165" fontId="97" fillId="3" borderId="72" xfId="1" applyNumberFormat="1" applyFont="1" applyFill="1" applyBorder="1" applyAlignment="1">
      <alignment horizontal="right" vertical="center" indent="1"/>
    </xf>
    <xf numFmtId="3" fontId="97" fillId="6" borderId="70" xfId="0" applyNumberFormat="1" applyFont="1" applyFill="1" applyBorder="1" applyAlignment="1">
      <alignment horizontal="right" vertical="center" indent="1"/>
    </xf>
    <xf numFmtId="0" fontId="54" fillId="6" borderId="71" xfId="0" applyFont="1" applyFill="1" applyBorder="1" applyAlignment="1">
      <alignment horizontal="left" vertical="center" indent="1"/>
    </xf>
    <xf numFmtId="165" fontId="96" fillId="6" borderId="72" xfId="1" applyNumberFormat="1" applyFont="1" applyFill="1" applyBorder="1" applyAlignment="1">
      <alignment horizontal="right" vertical="center" indent="1"/>
    </xf>
    <xf numFmtId="0" fontId="54" fillId="6" borderId="72" xfId="0" applyFont="1" applyFill="1" applyBorder="1" applyAlignment="1">
      <alignment vertical="center"/>
    </xf>
    <xf numFmtId="4" fontId="54" fillId="6" borderId="73" xfId="0" applyNumberFormat="1" applyFont="1" applyFill="1" applyBorder="1" applyAlignment="1">
      <alignment horizontal="right" vertical="center" indent="1"/>
    </xf>
    <xf numFmtId="0" fontId="56" fillId="7" borderId="67" xfId="0" applyFont="1" applyFill="1" applyBorder="1" applyAlignment="1">
      <alignment vertical="center"/>
    </xf>
    <xf numFmtId="4" fontId="56" fillId="7" borderId="68" xfId="0" applyNumberFormat="1" applyFont="1" applyFill="1" applyBorder="1" applyAlignment="1">
      <alignment horizontal="right" vertical="center" indent="1"/>
    </xf>
    <xf numFmtId="0" fontId="21" fillId="7" borderId="71" xfId="0" applyFont="1" applyFill="1" applyBorder="1" applyAlignment="1">
      <alignment horizontal="left" vertical="center" indent="1"/>
    </xf>
    <xf numFmtId="165" fontId="21" fillId="7" borderId="73" xfId="1" applyNumberFormat="1" applyFont="1" applyFill="1" applyBorder="1" applyAlignment="1">
      <alignment horizontal="right" vertical="center" indent="1"/>
    </xf>
    <xf numFmtId="0" fontId="54" fillId="21" borderId="66" xfId="0" applyFont="1" applyFill="1" applyBorder="1" applyAlignment="1">
      <alignment horizontal="left" vertical="center" indent="1"/>
    </xf>
    <xf numFmtId="0" fontId="54" fillId="21" borderId="67" xfId="0" applyFont="1" applyFill="1" applyBorder="1" applyAlignment="1">
      <alignment vertical="center"/>
    </xf>
    <xf numFmtId="4" fontId="54" fillId="6" borderId="0" xfId="0" applyNumberFormat="1" applyFont="1" applyFill="1" applyAlignment="1">
      <alignment horizontal="center" vertical="center"/>
    </xf>
    <xf numFmtId="4" fontId="54" fillId="3" borderId="70" xfId="0" applyNumberFormat="1" applyFont="1" applyFill="1" applyBorder="1" applyAlignment="1">
      <alignment horizontal="center" vertical="center"/>
    </xf>
    <xf numFmtId="0" fontId="54" fillId="3" borderId="70" xfId="0" applyFont="1" applyFill="1" applyBorder="1" applyAlignment="1">
      <alignment horizontal="center" vertical="center"/>
    </xf>
    <xf numFmtId="164" fontId="97" fillId="6" borderId="0" xfId="0" applyNumberFormat="1" applyFont="1" applyFill="1" applyAlignment="1">
      <alignment horizontal="right" vertical="center" indent="1"/>
    </xf>
    <xf numFmtId="164" fontId="97" fillId="6" borderId="72" xfId="0" applyNumberFormat="1" applyFont="1" applyFill="1" applyBorder="1" applyAlignment="1">
      <alignment horizontal="right" vertical="center" indent="1"/>
    </xf>
    <xf numFmtId="164" fontId="97" fillId="3" borderId="73" xfId="0" applyNumberFormat="1" applyFont="1" applyFill="1" applyBorder="1" applyAlignment="1">
      <alignment horizontal="right" vertical="center" indent="1"/>
    </xf>
    <xf numFmtId="4" fontId="55" fillId="3" borderId="0" xfId="0" applyNumberFormat="1" applyFont="1" applyFill="1" applyAlignment="1">
      <alignment horizontal="right" vertical="center" indent="1"/>
    </xf>
    <xf numFmtId="165" fontId="55" fillId="3" borderId="0" xfId="1" applyNumberFormat="1" applyFont="1" applyFill="1" applyBorder="1" applyAlignment="1">
      <alignment horizontal="right" vertical="center" indent="1"/>
    </xf>
    <xf numFmtId="0" fontId="55" fillId="13" borderId="69" xfId="0" applyFont="1" applyFill="1" applyBorder="1" applyAlignment="1">
      <alignment horizontal="left" vertical="center" indent="1"/>
    </xf>
    <xf numFmtId="165" fontId="97" fillId="13" borderId="0" xfId="1" applyNumberFormat="1" applyFont="1" applyFill="1" applyBorder="1" applyAlignment="1">
      <alignment horizontal="right" vertical="center" indent="1"/>
    </xf>
    <xf numFmtId="164" fontId="97" fillId="13" borderId="0" xfId="0" applyNumberFormat="1" applyFont="1" applyFill="1" applyAlignment="1">
      <alignment horizontal="right" vertical="center" indent="1"/>
    </xf>
    <xf numFmtId="164" fontId="97" fillId="13" borderId="70" xfId="0" applyNumberFormat="1" applyFont="1" applyFill="1" applyBorder="1" applyAlignment="1">
      <alignment horizontal="right" vertical="center" indent="1"/>
    </xf>
    <xf numFmtId="0" fontId="100" fillId="0" borderId="74" xfId="0" applyFont="1" applyBorder="1" applyAlignment="1">
      <alignment vertical="center"/>
    </xf>
    <xf numFmtId="0" fontId="101" fillId="3" borderId="0" xfId="0" applyFont="1" applyFill="1" applyAlignment="1">
      <alignment horizontal="right" vertical="center" indent="1"/>
    </xf>
    <xf numFmtId="164" fontId="101" fillId="13" borderId="0" xfId="0" applyNumberFormat="1" applyFont="1" applyFill="1" applyAlignment="1">
      <alignment horizontal="right" vertical="center" indent="1"/>
    </xf>
    <xf numFmtId="164" fontId="101" fillId="3" borderId="0" xfId="0" applyNumberFormat="1" applyFont="1" applyFill="1" applyAlignment="1">
      <alignment horizontal="right" vertical="center" indent="1"/>
    </xf>
    <xf numFmtId="164" fontId="101" fillId="3" borderId="72" xfId="0" applyNumberFormat="1" applyFont="1" applyFill="1" applyBorder="1" applyAlignment="1">
      <alignment horizontal="right" vertical="center" indent="1"/>
    </xf>
    <xf numFmtId="0" fontId="57" fillId="12" borderId="0" xfId="0" applyFont="1" applyFill="1" applyAlignment="1">
      <alignment horizontal="right" vertical="center"/>
    </xf>
    <xf numFmtId="4" fontId="57" fillId="12" borderId="4" xfId="0" applyNumberFormat="1" applyFont="1" applyFill="1" applyBorder="1" applyAlignment="1">
      <alignment horizontal="right" vertical="center" indent="1"/>
    </xf>
    <xf numFmtId="4" fontId="57" fillId="13" borderId="4" xfId="0" applyNumberFormat="1" applyFont="1" applyFill="1" applyBorder="1" applyAlignment="1">
      <alignment horizontal="right" vertical="center" indent="1"/>
    </xf>
    <xf numFmtId="4" fontId="76" fillId="13" borderId="4" xfId="0" applyNumberFormat="1" applyFont="1" applyFill="1" applyBorder="1" applyAlignment="1">
      <alignment horizontal="right" vertical="center" indent="1"/>
    </xf>
    <xf numFmtId="0" fontId="21" fillId="0" borderId="0" xfId="0" applyFont="1" applyAlignment="1">
      <alignment horizontal="left" vertical="center"/>
    </xf>
    <xf numFmtId="174" fontId="2" fillId="3" borderId="0" xfId="0" applyNumberFormat="1" applyFont="1" applyFill="1" applyAlignment="1">
      <alignment horizontal="right" vertical="center" indent="1"/>
    </xf>
    <xf numFmtId="14" fontId="102" fillId="3" borderId="0" xfId="0" applyNumberFormat="1" applyFont="1" applyFill="1" applyAlignment="1">
      <alignment horizontal="right" vertical="center" indent="1"/>
    </xf>
    <xf numFmtId="165" fontId="74" fillId="6" borderId="0" xfId="0" applyNumberFormat="1" applyFont="1" applyFill="1" applyAlignment="1">
      <alignment horizontal="right" vertical="center" indent="1"/>
    </xf>
    <xf numFmtId="0" fontId="57" fillId="6" borderId="0" xfId="0" applyFont="1" applyFill="1" applyAlignment="1">
      <alignment horizontal="center" vertical="center"/>
    </xf>
    <xf numFmtId="0" fontId="57" fillId="13" borderId="0" xfId="0" applyFont="1" applyFill="1" applyAlignment="1">
      <alignment horizontal="right" vertical="center"/>
    </xf>
    <xf numFmtId="0" fontId="21" fillId="12" borderId="75" xfId="0" applyFont="1" applyFill="1" applyBorder="1" applyAlignment="1">
      <alignment horizontal="left" vertical="center" indent="1"/>
    </xf>
    <xf numFmtId="0" fontId="21" fillId="12" borderId="76" xfId="0" applyFont="1" applyFill="1" applyBorder="1" applyAlignment="1">
      <alignment horizontal="left" vertical="center" indent="1"/>
    </xf>
    <xf numFmtId="165" fontId="21" fillId="12" borderId="77" xfId="0" applyNumberFormat="1" applyFont="1" applyFill="1" applyBorder="1" applyAlignment="1">
      <alignment horizontal="center" vertical="center"/>
    </xf>
    <xf numFmtId="165" fontId="21" fillId="12" borderId="78" xfId="0" applyNumberFormat="1" applyFont="1" applyFill="1" applyBorder="1" applyAlignment="1">
      <alignment horizontal="center" vertical="center"/>
    </xf>
    <xf numFmtId="165" fontId="21" fillId="12" borderId="79" xfId="0" applyNumberFormat="1" applyFont="1" applyFill="1" applyBorder="1" applyAlignment="1">
      <alignment horizontal="center" vertical="center"/>
    </xf>
    <xf numFmtId="0" fontId="21" fillId="13" borderId="0" xfId="0" applyFont="1" applyFill="1" applyAlignment="1">
      <alignment vertical="center"/>
    </xf>
    <xf numFmtId="165" fontId="21" fillId="12" borderId="80" xfId="0" applyNumberFormat="1" applyFont="1" applyFill="1" applyBorder="1" applyAlignment="1">
      <alignment horizontal="center" vertical="center"/>
    </xf>
    <xf numFmtId="0" fontId="21" fillId="12" borderId="81" xfId="0" applyFont="1" applyFill="1" applyBorder="1" applyAlignment="1">
      <alignment horizontal="left" vertical="center" indent="1"/>
    </xf>
    <xf numFmtId="165" fontId="21" fillId="12" borderId="82" xfId="0" applyNumberFormat="1" applyFont="1" applyFill="1" applyBorder="1" applyAlignment="1">
      <alignment horizontal="center" vertical="center"/>
    </xf>
    <xf numFmtId="165" fontId="21" fillId="12" borderId="83" xfId="0" applyNumberFormat="1" applyFont="1" applyFill="1" applyBorder="1" applyAlignment="1">
      <alignment horizontal="center" vertical="center"/>
    </xf>
    <xf numFmtId="165" fontId="21" fillId="12" borderId="84" xfId="0" applyNumberFormat="1" applyFont="1" applyFill="1" applyBorder="1" applyAlignment="1">
      <alignment horizontal="center" vertical="center"/>
    </xf>
    <xf numFmtId="165" fontId="21" fillId="12" borderId="80" xfId="0" applyNumberFormat="1" applyFont="1" applyFill="1" applyBorder="1" applyAlignment="1">
      <alignment horizontal="left" vertical="center" indent="1"/>
    </xf>
    <xf numFmtId="165" fontId="21" fillId="12" borderId="85" xfId="0" applyNumberFormat="1" applyFont="1" applyFill="1" applyBorder="1" applyAlignment="1">
      <alignment horizontal="center" vertical="center"/>
    </xf>
    <xf numFmtId="4" fontId="21" fillId="12" borderId="86" xfId="0" applyNumberFormat="1" applyFont="1" applyFill="1" applyBorder="1" applyAlignment="1">
      <alignment horizontal="right" vertical="center" indent="1"/>
    </xf>
    <xf numFmtId="4" fontId="21" fillId="12" borderId="87" xfId="0" applyNumberFormat="1" applyFont="1" applyFill="1" applyBorder="1" applyAlignment="1">
      <alignment horizontal="right" vertical="center" indent="1"/>
    </xf>
    <xf numFmtId="4" fontId="21" fillId="12" borderId="88" xfId="0" applyNumberFormat="1" applyFont="1" applyFill="1" applyBorder="1" applyAlignment="1">
      <alignment horizontal="right" vertical="center" indent="1"/>
    </xf>
    <xf numFmtId="0" fontId="21" fillId="12" borderId="1" xfId="0" applyFont="1" applyFill="1" applyBorder="1" applyAlignment="1">
      <alignment horizontal="left" vertical="center" indent="1"/>
    </xf>
    <xf numFmtId="165" fontId="21" fillId="12" borderId="89" xfId="0" applyNumberFormat="1" applyFont="1" applyFill="1" applyBorder="1" applyAlignment="1">
      <alignment horizontal="center" vertical="center"/>
    </xf>
    <xf numFmtId="4" fontId="21" fillId="12" borderId="90" xfId="0" applyNumberFormat="1" applyFont="1" applyFill="1" applyBorder="1" applyAlignment="1">
      <alignment horizontal="right" vertical="center" indent="1"/>
    </xf>
    <xf numFmtId="4" fontId="21" fillId="12" borderId="91" xfId="0" applyNumberFormat="1" applyFont="1" applyFill="1" applyBorder="1" applyAlignment="1">
      <alignment horizontal="right" vertical="center" indent="1"/>
    </xf>
    <xf numFmtId="4" fontId="21" fillId="12" borderId="92" xfId="0" applyNumberFormat="1" applyFont="1" applyFill="1" applyBorder="1" applyAlignment="1">
      <alignment horizontal="right" vertical="center" indent="1"/>
    </xf>
    <xf numFmtId="165" fontId="21" fillId="12" borderId="93" xfId="0" applyNumberFormat="1" applyFont="1" applyFill="1" applyBorder="1" applyAlignment="1">
      <alignment horizontal="center" vertical="center"/>
    </xf>
    <xf numFmtId="4" fontId="21" fillId="12" borderId="94" xfId="0" applyNumberFormat="1" applyFont="1" applyFill="1" applyBorder="1" applyAlignment="1">
      <alignment horizontal="right" vertical="center" indent="1"/>
    </xf>
    <xf numFmtId="4" fontId="21" fillId="12" borderId="95" xfId="0" applyNumberFormat="1" applyFont="1" applyFill="1" applyBorder="1" applyAlignment="1">
      <alignment horizontal="right" vertical="center" indent="1"/>
    </xf>
    <xf numFmtId="4" fontId="21" fillId="12" borderId="96" xfId="0" applyNumberFormat="1" applyFont="1" applyFill="1" applyBorder="1" applyAlignment="1">
      <alignment horizontal="right" vertical="center" indent="1"/>
    </xf>
    <xf numFmtId="0" fontId="92" fillId="3" borderId="0" xfId="0" applyFont="1" applyFill="1" applyAlignment="1">
      <alignment horizontal="center" vertical="center"/>
    </xf>
    <xf numFmtId="14" fontId="50" fillId="3" borderId="0" xfId="0" applyNumberFormat="1" applyFont="1" applyFill="1" applyAlignment="1">
      <alignment horizontal="left" vertical="center" indent="1"/>
    </xf>
    <xf numFmtId="164" fontId="50" fillId="13" borderId="0" xfId="0" applyNumberFormat="1" applyFont="1" applyFill="1" applyAlignment="1">
      <alignment horizontal="right" vertical="center" indent="1"/>
    </xf>
    <xf numFmtId="164" fontId="50" fillId="13" borderId="28" xfId="0" applyNumberFormat="1" applyFont="1" applyFill="1" applyBorder="1" applyAlignment="1">
      <alignment horizontal="right" vertical="center" indent="1"/>
    </xf>
    <xf numFmtId="164" fontId="50" fillId="13" borderId="27" xfId="0" applyNumberFormat="1" applyFont="1" applyFill="1" applyBorder="1" applyAlignment="1">
      <alignment horizontal="right" vertical="center" indent="1"/>
    </xf>
    <xf numFmtId="170" fontId="92" fillId="3" borderId="0" xfId="0" applyNumberFormat="1" applyFont="1" applyFill="1" applyAlignment="1">
      <alignment horizontal="right" vertical="center" indent="1"/>
    </xf>
    <xf numFmtId="164" fontId="92" fillId="3" borderId="28" xfId="0" applyNumberFormat="1" applyFont="1" applyFill="1" applyBorder="1" applyAlignment="1">
      <alignment horizontal="right" vertical="center" indent="1"/>
    </xf>
    <xf numFmtId="164" fontId="92" fillId="3" borderId="0" xfId="0" applyNumberFormat="1" applyFont="1" applyFill="1" applyAlignment="1">
      <alignment horizontal="right" vertical="center" indent="1"/>
    </xf>
    <xf numFmtId="165" fontId="50" fillId="13" borderId="0" xfId="1" applyNumberFormat="1" applyFont="1" applyFill="1" applyBorder="1" applyAlignment="1">
      <alignment horizontal="right" vertical="center" indent="1"/>
    </xf>
    <xf numFmtId="165" fontId="50" fillId="13" borderId="28" xfId="1" applyNumberFormat="1" applyFont="1" applyFill="1" applyBorder="1" applyAlignment="1">
      <alignment horizontal="right" vertical="center" indent="1"/>
    </xf>
    <xf numFmtId="3" fontId="2" fillId="3" borderId="0" xfId="1" applyNumberFormat="1" applyFont="1" applyFill="1" applyAlignment="1">
      <alignment horizontal="right" vertical="center" indent="1"/>
    </xf>
    <xf numFmtId="167" fontId="2" fillId="3" borderId="0" xfId="1" applyNumberFormat="1" applyFont="1" applyFill="1" applyAlignment="1">
      <alignment horizontal="right" vertical="center" indent="1"/>
    </xf>
    <xf numFmtId="164" fontId="2" fillId="3" borderId="1" xfId="1" applyNumberFormat="1" applyFont="1" applyFill="1" applyBorder="1" applyAlignment="1">
      <alignment horizontal="right" vertical="center" indent="1"/>
    </xf>
    <xf numFmtId="165" fontId="2" fillId="3" borderId="0" xfId="1" applyNumberFormat="1" applyFont="1" applyFill="1" applyBorder="1" applyAlignment="1">
      <alignment horizontal="right" vertical="center" indent="1"/>
    </xf>
    <xf numFmtId="164" fontId="2" fillId="3" borderId="50" xfId="1" applyNumberFormat="1" applyFont="1" applyFill="1" applyBorder="1" applyAlignment="1">
      <alignment horizontal="right" vertical="center" indent="1"/>
    </xf>
    <xf numFmtId="164" fontId="2" fillId="3" borderId="0" xfId="1" applyNumberFormat="1" applyFont="1" applyFill="1" applyAlignment="1">
      <alignment horizontal="right" vertical="center" indent="1"/>
    </xf>
    <xf numFmtId="9" fontId="2" fillId="3" borderId="1" xfId="1" applyFont="1" applyFill="1" applyBorder="1" applyAlignment="1">
      <alignment horizontal="right" vertical="center" indent="1"/>
    </xf>
    <xf numFmtId="9" fontId="2" fillId="3" borderId="0" xfId="1" applyFont="1" applyFill="1" applyBorder="1" applyAlignment="1">
      <alignment horizontal="right" vertical="center" indent="1"/>
    </xf>
    <xf numFmtId="9" fontId="2" fillId="3" borderId="50" xfId="1" applyFont="1" applyFill="1" applyBorder="1" applyAlignment="1">
      <alignment horizontal="right" vertical="center" indent="1"/>
    </xf>
    <xf numFmtId="165" fontId="2" fillId="3" borderId="0" xfId="1" applyNumberFormat="1" applyFont="1" applyFill="1" applyAlignment="1">
      <alignment horizontal="right" vertical="center" indent="1"/>
    </xf>
    <xf numFmtId="0" fontId="103" fillId="0" borderId="0" xfId="0" applyFont="1" applyAlignment="1">
      <alignment horizontal="center"/>
    </xf>
    <xf numFmtId="166" fontId="5" fillId="3" borderId="0" xfId="0" applyNumberFormat="1" applyFont="1" applyFill="1" applyAlignment="1">
      <alignment horizontal="right" vertical="center" indent="1"/>
    </xf>
    <xf numFmtId="0" fontId="5" fillId="0" borderId="0" xfId="0" applyFont="1" applyAlignment="1">
      <alignment vertical="center"/>
    </xf>
    <xf numFmtId="14" fontId="50" fillId="6" borderId="0" xfId="0" applyNumberFormat="1" applyFont="1" applyFill="1" applyAlignment="1">
      <alignment horizontal="left" vertical="center" indent="1"/>
    </xf>
    <xf numFmtId="165" fontId="50" fillId="6" borderId="0" xfId="1" applyNumberFormat="1" applyFont="1" applyFill="1" applyAlignment="1">
      <alignment horizontal="right" vertical="center" indent="1"/>
    </xf>
    <xf numFmtId="165" fontId="68" fillId="3" borderId="0" xfId="1" applyNumberFormat="1" applyFont="1" applyFill="1" applyAlignment="1">
      <alignment horizontal="right" vertical="center" indent="1"/>
    </xf>
    <xf numFmtId="0" fontId="68" fillId="6" borderId="0" xfId="0" applyFont="1" applyFill="1" applyAlignment="1">
      <alignment horizontal="left" vertical="center" indent="1"/>
    </xf>
    <xf numFmtId="0" fontId="68" fillId="3" borderId="0" xfId="0" applyFont="1" applyFill="1" applyAlignment="1">
      <alignment horizontal="center" vertical="center"/>
    </xf>
    <xf numFmtId="0" fontId="105" fillId="2" borderId="0" xfId="0" applyFont="1" applyFill="1" applyAlignment="1">
      <alignment vertical="center"/>
    </xf>
    <xf numFmtId="176" fontId="68" fillId="3" borderId="0" xfId="0" applyNumberFormat="1" applyFont="1" applyFill="1" applyAlignment="1">
      <alignment horizontal="right" vertical="center" indent="1"/>
    </xf>
    <xf numFmtId="175" fontId="68" fillId="3" borderId="0" xfId="1" applyNumberFormat="1" applyFont="1" applyFill="1" applyAlignment="1">
      <alignment horizontal="right" vertical="center" indent="1"/>
    </xf>
    <xf numFmtId="3" fontId="106" fillId="0" borderId="0" xfId="0" applyNumberFormat="1" applyFont="1" applyAlignment="1">
      <alignment vertical="center"/>
    </xf>
    <xf numFmtId="3" fontId="106" fillId="0" borderId="0" xfId="0" applyNumberFormat="1" applyFont="1" applyAlignment="1">
      <alignment horizontal="right" vertical="center" indent="1"/>
    </xf>
    <xf numFmtId="165" fontId="106" fillId="0" borderId="0" xfId="0" applyNumberFormat="1" applyFont="1" applyAlignment="1">
      <alignment horizontal="right" vertical="center" indent="1"/>
    </xf>
    <xf numFmtId="0" fontId="105" fillId="0" borderId="0" xfId="0" applyFont="1"/>
    <xf numFmtId="10" fontId="68" fillId="3" borderId="0" xfId="1" applyNumberFormat="1" applyFont="1" applyFill="1" applyAlignment="1">
      <alignment horizontal="right" vertical="center" indent="1"/>
    </xf>
    <xf numFmtId="10" fontId="68" fillId="3" borderId="0" xfId="0" applyNumberFormat="1" applyFont="1" applyFill="1" applyAlignment="1">
      <alignment horizontal="right" vertical="center" indent="1"/>
    </xf>
    <xf numFmtId="165" fontId="68" fillId="2" borderId="0" xfId="1" applyNumberFormat="1" applyFont="1" applyFill="1" applyBorder="1" applyAlignment="1">
      <alignment horizontal="right" vertical="center" indent="1"/>
    </xf>
    <xf numFmtId="0" fontId="106" fillId="0" borderId="0" xfId="0" applyFont="1" applyAlignment="1">
      <alignment horizontal="right" vertical="center" indent="1"/>
    </xf>
    <xf numFmtId="0" fontId="107" fillId="3" borderId="0" xfId="0" applyFont="1" applyFill="1" applyAlignment="1">
      <alignment horizontal="center" vertical="center"/>
    </xf>
    <xf numFmtId="3" fontId="59" fillId="3" borderId="29" xfId="0" applyNumberFormat="1" applyFont="1" applyFill="1" applyBorder="1" applyAlignment="1">
      <alignment horizontal="right" vertical="center" indent="1"/>
    </xf>
    <xf numFmtId="165" fontId="76" fillId="3" borderId="29" xfId="1" applyNumberFormat="1" applyFont="1" applyFill="1" applyBorder="1" applyAlignment="1">
      <alignment horizontal="left" vertical="center"/>
    </xf>
    <xf numFmtId="3" fontId="73" fillId="3" borderId="0" xfId="0" applyNumberFormat="1" applyFont="1" applyFill="1" applyAlignment="1">
      <alignment vertical="center"/>
    </xf>
    <xf numFmtId="0" fontId="72" fillId="3" borderId="0" xfId="0" applyFont="1" applyFill="1" applyAlignment="1">
      <alignment horizontal="right" vertical="center" indent="1"/>
    </xf>
    <xf numFmtId="165" fontId="86" fillId="6" borderId="0" xfId="1" applyNumberFormat="1" applyFont="1" applyFill="1" applyBorder="1" applyAlignment="1">
      <alignment horizontal="right" vertical="center" indent="1"/>
    </xf>
    <xf numFmtId="3" fontId="86" fillId="6" borderId="0" xfId="0" applyNumberFormat="1" applyFont="1" applyFill="1" applyAlignment="1">
      <alignment horizontal="right" vertical="center" indent="1"/>
    </xf>
    <xf numFmtId="0" fontId="55" fillId="3" borderId="0" xfId="0" applyFont="1" applyFill="1" applyAlignment="1">
      <alignment horizontal="left" vertical="top" wrapText="1" indent="1"/>
    </xf>
    <xf numFmtId="0" fontId="52" fillId="3" borderId="0" xfId="0" applyFont="1" applyFill="1" applyAlignment="1">
      <alignment vertical="top" wrapText="1"/>
    </xf>
    <xf numFmtId="0" fontId="97" fillId="3" borderId="0" xfId="0" applyFont="1" applyFill="1" applyAlignment="1">
      <alignment horizontal="left" vertical="center" indent="1"/>
    </xf>
    <xf numFmtId="0" fontId="21" fillId="2" borderId="12" xfId="0" applyFont="1" applyFill="1" applyBorder="1" applyAlignment="1">
      <alignment vertical="center"/>
    </xf>
    <xf numFmtId="0" fontId="21" fillId="3" borderId="12" xfId="0" applyFont="1" applyFill="1" applyBorder="1" applyAlignment="1">
      <alignment vertical="center"/>
    </xf>
    <xf numFmtId="0" fontId="3" fillId="5" borderId="97" xfId="0" applyFont="1" applyFill="1" applyBorder="1" applyAlignment="1">
      <alignment horizontal="left" vertical="center" indent="1"/>
    </xf>
    <xf numFmtId="0" fontId="2" fillId="5" borderId="98" xfId="0" applyFont="1" applyFill="1" applyBorder="1" applyAlignment="1">
      <alignment vertical="center"/>
    </xf>
    <xf numFmtId="0" fontId="51" fillId="5" borderId="98" xfId="0" applyFont="1" applyFill="1" applyBorder="1" applyAlignment="1">
      <alignment vertical="center"/>
    </xf>
    <xf numFmtId="0" fontId="2" fillId="5" borderId="98" xfId="0" applyFont="1" applyFill="1" applyBorder="1" applyAlignment="1">
      <alignment horizontal="left" vertical="center" indent="1"/>
    </xf>
    <xf numFmtId="0" fontId="38" fillId="5" borderId="98" xfId="0" applyFont="1" applyFill="1" applyBorder="1" applyAlignment="1">
      <alignment horizontal="center" vertical="center"/>
    </xf>
    <xf numFmtId="166" fontId="3" fillId="5" borderId="99" xfId="0" applyNumberFormat="1" applyFont="1" applyFill="1" applyBorder="1" applyAlignment="1">
      <alignment horizontal="left" vertical="center"/>
    </xf>
    <xf numFmtId="0" fontId="21" fillId="0" borderId="100" xfId="0" applyFont="1" applyBorder="1" applyAlignment="1">
      <alignment horizontal="left" vertical="center" indent="1"/>
    </xf>
    <xf numFmtId="4" fontId="21" fillId="2" borderId="101" xfId="0" applyNumberFormat="1" applyFont="1" applyFill="1" applyBorder="1" applyAlignment="1">
      <alignment horizontal="right" vertical="center" indent="1"/>
    </xf>
    <xf numFmtId="9" fontId="21" fillId="2" borderId="102" xfId="1" applyFont="1" applyFill="1" applyBorder="1" applyAlignment="1">
      <alignment horizontal="right" vertical="center" indent="1"/>
    </xf>
    <xf numFmtId="4" fontId="21" fillId="2" borderId="103" xfId="0" applyNumberFormat="1" applyFont="1" applyFill="1" applyBorder="1" applyAlignment="1">
      <alignment horizontal="right" vertical="center" indent="1"/>
    </xf>
    <xf numFmtId="4" fontId="21" fillId="2" borderId="102" xfId="0" applyNumberFormat="1" applyFont="1" applyFill="1" applyBorder="1" applyAlignment="1">
      <alignment horizontal="right" vertical="center" indent="1"/>
    </xf>
    <xf numFmtId="0" fontId="21" fillId="2" borderId="100" xfId="0" applyFont="1" applyFill="1" applyBorder="1" applyAlignment="1">
      <alignment horizontal="left" vertical="center" indent="1"/>
    </xf>
    <xf numFmtId="9" fontId="21" fillId="2" borderId="103" xfId="1" applyFont="1" applyFill="1" applyBorder="1" applyAlignment="1">
      <alignment horizontal="right" vertical="center" indent="1"/>
    </xf>
    <xf numFmtId="0" fontId="39" fillId="0" borderId="104" xfId="0" applyFont="1" applyBorder="1" applyAlignment="1">
      <alignment horizontal="left" vertical="center" indent="1"/>
    </xf>
    <xf numFmtId="165" fontId="21" fillId="2" borderId="105" xfId="1" applyNumberFormat="1" applyFont="1" applyFill="1" applyBorder="1" applyAlignment="1">
      <alignment horizontal="right" vertical="center" indent="1"/>
    </xf>
    <xf numFmtId="0" fontId="21" fillId="7" borderId="100" xfId="0" applyFont="1" applyFill="1" applyBorder="1" applyAlignment="1">
      <alignment vertical="center"/>
    </xf>
    <xf numFmtId="0" fontId="21" fillId="7" borderId="101" xfId="0" applyFont="1" applyFill="1" applyBorder="1" applyAlignment="1">
      <alignment vertical="center"/>
    </xf>
    <xf numFmtId="0" fontId="39" fillId="7" borderId="106" xfId="0" applyFont="1" applyFill="1" applyBorder="1" applyAlignment="1">
      <alignment horizontal="left" vertical="center" indent="1"/>
    </xf>
    <xf numFmtId="0" fontId="39" fillId="7" borderId="103" xfId="0" applyFont="1" applyFill="1" applyBorder="1" applyAlignment="1">
      <alignment horizontal="right" vertical="center" indent="1"/>
    </xf>
    <xf numFmtId="3" fontId="5" fillId="2" borderId="101" xfId="0" applyNumberFormat="1" applyFont="1" applyFill="1" applyBorder="1" applyAlignment="1">
      <alignment horizontal="right" vertical="center" indent="1"/>
    </xf>
    <xf numFmtId="0" fontId="43" fillId="2" borderId="100" xfId="0" applyFont="1" applyFill="1" applyBorder="1" applyAlignment="1">
      <alignment horizontal="left" vertical="center" indent="1"/>
    </xf>
    <xf numFmtId="165" fontId="43" fillId="2" borderId="101" xfId="1" applyNumberFormat="1" applyFont="1" applyFill="1" applyBorder="1" applyAlignment="1">
      <alignment horizontal="right" vertical="center" indent="1"/>
    </xf>
    <xf numFmtId="0" fontId="5" fillId="3" borderId="100" xfId="0" applyFont="1" applyFill="1" applyBorder="1" applyAlignment="1">
      <alignment horizontal="left" vertical="center" indent="1"/>
    </xf>
    <xf numFmtId="3" fontId="5" fillId="3" borderId="101" xfId="0" applyNumberFormat="1" applyFont="1" applyFill="1" applyBorder="1" applyAlignment="1">
      <alignment horizontal="right" vertical="center" indent="1"/>
    </xf>
    <xf numFmtId="0" fontId="43" fillId="3" borderId="100" xfId="0" applyFont="1" applyFill="1" applyBorder="1" applyAlignment="1">
      <alignment horizontal="left" vertical="center" indent="1"/>
    </xf>
    <xf numFmtId="165" fontId="43" fillId="3" borderId="102" xfId="1" applyNumberFormat="1" applyFont="1" applyFill="1" applyBorder="1" applyAlignment="1">
      <alignment horizontal="right" vertical="top" indent="1"/>
    </xf>
    <xf numFmtId="0" fontId="39" fillId="7" borderId="100" xfId="0" applyFont="1" applyFill="1" applyBorder="1" applyAlignment="1">
      <alignment horizontal="left" vertical="center" indent="1"/>
    </xf>
    <xf numFmtId="0" fontId="21" fillId="7" borderId="107" xfId="0" applyFont="1" applyFill="1" applyBorder="1" applyAlignment="1">
      <alignment horizontal="center" vertical="center"/>
    </xf>
    <xf numFmtId="3" fontId="5" fillId="2" borderId="107" xfId="0" applyNumberFormat="1" applyFont="1" applyFill="1" applyBorder="1" applyAlignment="1">
      <alignment horizontal="right" vertical="center" indent="1"/>
    </xf>
    <xf numFmtId="165" fontId="44" fillId="2" borderId="107" xfId="1" applyNumberFormat="1" applyFont="1" applyFill="1" applyBorder="1" applyAlignment="1">
      <alignment horizontal="right" vertical="center" indent="1"/>
    </xf>
    <xf numFmtId="3" fontId="5" fillId="3" borderId="107" xfId="0" applyNumberFormat="1" applyFont="1" applyFill="1" applyBorder="1" applyAlignment="1">
      <alignment horizontal="right" vertical="center" indent="1"/>
    </xf>
    <xf numFmtId="165" fontId="43" fillId="3" borderId="107" xfId="1" applyNumberFormat="1" applyFont="1" applyFill="1" applyBorder="1" applyAlignment="1">
      <alignment horizontal="right" vertical="center" indent="1"/>
    </xf>
    <xf numFmtId="3" fontId="5" fillId="2" borderId="107" xfId="1" applyNumberFormat="1" applyFont="1" applyFill="1" applyBorder="1" applyAlignment="1">
      <alignment horizontal="right" vertical="center" indent="1"/>
    </xf>
    <xf numFmtId="165" fontId="43" fillId="2" borderId="107" xfId="1" applyNumberFormat="1" applyFont="1" applyFill="1" applyBorder="1" applyAlignment="1">
      <alignment horizontal="right" vertical="center" indent="1"/>
    </xf>
    <xf numFmtId="0" fontId="21" fillId="3" borderId="100" xfId="0" applyFont="1" applyFill="1" applyBorder="1" applyAlignment="1">
      <alignment horizontal="left" vertical="center" indent="1"/>
    </xf>
    <xf numFmtId="0" fontId="5" fillId="2" borderId="100" xfId="0" applyFont="1" applyFill="1" applyBorder="1" applyAlignment="1">
      <alignment horizontal="left" vertical="center" indent="1"/>
    </xf>
    <xf numFmtId="164" fontId="43" fillId="2" borderId="107" xfId="1" applyNumberFormat="1" applyFont="1" applyFill="1" applyBorder="1" applyAlignment="1">
      <alignment horizontal="right" vertical="center" indent="1"/>
    </xf>
    <xf numFmtId="0" fontId="46" fillId="2" borderId="100" xfId="0" applyFont="1" applyFill="1" applyBorder="1" applyAlignment="1">
      <alignment horizontal="left" vertical="center" indent="1"/>
    </xf>
    <xf numFmtId="165" fontId="43" fillId="2" borderId="108" xfId="1" applyNumberFormat="1" applyFont="1" applyFill="1" applyBorder="1" applyAlignment="1">
      <alignment horizontal="right" vertical="center" indent="1"/>
    </xf>
    <xf numFmtId="167" fontId="5" fillId="7" borderId="103" xfId="0" applyNumberFormat="1" applyFont="1" applyFill="1" applyBorder="1" applyAlignment="1">
      <alignment horizontal="left" vertical="center"/>
    </xf>
    <xf numFmtId="165" fontId="42" fillId="2" borderId="101" xfId="1" applyNumberFormat="1" applyFont="1" applyFill="1" applyBorder="1" applyAlignment="1">
      <alignment horizontal="right" vertical="center" indent="1"/>
    </xf>
    <xf numFmtId="167" fontId="42" fillId="0" borderId="101" xfId="0" applyNumberFormat="1" applyFont="1" applyBorder="1" applyAlignment="1">
      <alignment horizontal="left" vertical="center"/>
    </xf>
    <xf numFmtId="0" fontId="21" fillId="7" borderId="100" xfId="0" applyFont="1" applyFill="1" applyBorder="1" applyAlignment="1">
      <alignment horizontal="left" vertical="center" indent="1"/>
    </xf>
    <xf numFmtId="167" fontId="5" fillId="7" borderId="100" xfId="0" applyNumberFormat="1" applyFont="1" applyFill="1" applyBorder="1" applyAlignment="1">
      <alignment horizontal="left" vertical="center" indent="1"/>
    </xf>
    <xf numFmtId="167" fontId="5" fillId="0" borderId="100" xfId="0" applyNumberFormat="1" applyFont="1" applyBorder="1" applyAlignment="1">
      <alignment horizontal="left" vertical="center" indent="1"/>
    </xf>
    <xf numFmtId="167" fontId="5" fillId="0" borderId="110" xfId="0" applyNumberFormat="1" applyFont="1" applyBorder="1" applyAlignment="1">
      <alignment horizontal="left" vertical="center" indent="1"/>
    </xf>
    <xf numFmtId="0" fontId="21" fillId="0" borderId="111" xfId="0" applyFont="1" applyBorder="1" applyAlignment="1">
      <alignment horizontal="center" vertical="center"/>
    </xf>
    <xf numFmtId="9" fontId="49" fillId="2" borderId="112" xfId="1" applyFont="1" applyFill="1" applyBorder="1" applyAlignment="1">
      <alignment horizontal="right" vertical="top" indent="1"/>
    </xf>
    <xf numFmtId="167" fontId="5" fillId="0" borderId="113" xfId="0" applyNumberFormat="1" applyFont="1" applyBorder="1" applyAlignment="1">
      <alignment horizontal="left" vertical="center" indent="1"/>
    </xf>
    <xf numFmtId="0" fontId="41" fillId="0" borderId="111" xfId="0" applyFont="1" applyBorder="1" applyAlignment="1">
      <alignment horizontal="center" vertical="center"/>
    </xf>
    <xf numFmtId="9" fontId="49" fillId="2" borderId="114" xfId="1" applyFont="1" applyFill="1" applyBorder="1" applyAlignment="1">
      <alignment horizontal="right" vertical="center" indent="1"/>
    </xf>
    <xf numFmtId="0" fontId="21" fillId="0" borderId="115" xfId="0" applyFont="1" applyBorder="1" applyAlignment="1">
      <alignment horizontal="left" vertical="center"/>
    </xf>
    <xf numFmtId="0" fontId="21" fillId="0" borderId="111" xfId="0" applyFont="1" applyBorder="1" applyAlignment="1">
      <alignment vertical="center"/>
    </xf>
    <xf numFmtId="0" fontId="21" fillId="0" borderId="116" xfId="0" applyFont="1" applyBorder="1" applyAlignment="1">
      <alignment vertical="center"/>
    </xf>
    <xf numFmtId="177" fontId="104" fillId="6" borderId="0" xfId="0" applyNumberFormat="1" applyFont="1" applyFill="1" applyAlignment="1">
      <alignment horizontal="center" vertical="center"/>
    </xf>
    <xf numFmtId="0" fontId="52" fillId="3" borderId="0" xfId="0" applyFont="1" applyFill="1" applyAlignment="1">
      <alignment horizontal="left" vertical="top" wrapText="1" indent="1"/>
    </xf>
    <xf numFmtId="177" fontId="104" fillId="3" borderId="0" xfId="0" applyNumberFormat="1" applyFont="1" applyFill="1" applyAlignment="1">
      <alignment horizontal="center" vertical="center"/>
    </xf>
    <xf numFmtId="177" fontId="56" fillId="6" borderId="0" xfId="0" applyNumberFormat="1" applyFont="1" applyFill="1" applyAlignment="1">
      <alignment horizontal="left" vertical="top" indent="1"/>
    </xf>
    <xf numFmtId="177" fontId="56" fillId="6" borderId="0" xfId="0" applyNumberFormat="1" applyFont="1" applyFill="1" applyAlignment="1">
      <alignment vertical="center"/>
    </xf>
    <xf numFmtId="0" fontId="56" fillId="0" borderId="0" xfId="0" applyFont="1" applyAlignment="1">
      <alignment vertical="center"/>
    </xf>
    <xf numFmtId="0" fontId="56" fillId="3" borderId="0" xfId="0" applyFont="1" applyFill="1" applyAlignment="1">
      <alignment horizontal="left" vertical="center" indent="1"/>
    </xf>
    <xf numFmtId="4" fontId="54" fillId="3" borderId="0" xfId="0" applyNumberFormat="1" applyFont="1" applyFill="1" applyAlignment="1">
      <alignment horizontal="right" vertical="center" indent="1"/>
    </xf>
    <xf numFmtId="0" fontId="52" fillId="3" borderId="0" xfId="0" applyFont="1" applyFill="1" applyAlignment="1">
      <alignment horizontal="left" vertical="center" indent="1"/>
    </xf>
    <xf numFmtId="0" fontId="52" fillId="3" borderId="0" xfId="0" applyFont="1" applyFill="1" applyAlignment="1">
      <alignment vertical="center"/>
    </xf>
    <xf numFmtId="0" fontId="52" fillId="3" borderId="0" xfId="0" applyFont="1" applyFill="1" applyAlignment="1">
      <alignment horizontal="right" vertical="center" indent="1"/>
    </xf>
    <xf numFmtId="4" fontId="56" fillId="3" borderId="0" xfId="0" applyNumberFormat="1" applyFont="1" applyFill="1" applyAlignment="1">
      <alignment horizontal="right" vertical="center" indent="1"/>
    </xf>
    <xf numFmtId="4" fontId="52" fillId="3" borderId="0" xfId="0" applyNumberFormat="1" applyFont="1" applyFill="1" applyAlignment="1">
      <alignment horizontal="right" vertical="center" indent="1"/>
    </xf>
    <xf numFmtId="0" fontId="56" fillId="3" borderId="0" xfId="0" applyFont="1" applyFill="1" applyAlignment="1">
      <alignment vertical="center"/>
    </xf>
    <xf numFmtId="164" fontId="63" fillId="3" borderId="0" xfId="0" applyNumberFormat="1" applyFont="1" applyFill="1" applyAlignment="1">
      <alignment horizontal="right" vertical="center" indent="1"/>
    </xf>
    <xf numFmtId="165" fontId="63" fillId="3" borderId="0" xfId="1" applyNumberFormat="1" applyFont="1" applyFill="1" applyBorder="1" applyAlignment="1">
      <alignment horizontal="right" vertical="center" indent="1"/>
    </xf>
    <xf numFmtId="2" fontId="52" fillId="3" borderId="0" xfId="0" applyNumberFormat="1" applyFont="1" applyFill="1" applyAlignment="1">
      <alignment horizontal="right" vertical="center" indent="1"/>
    </xf>
    <xf numFmtId="0" fontId="56" fillId="6" borderId="0" xfId="0" applyFont="1" applyFill="1" applyAlignment="1">
      <alignment horizontal="left" vertical="center" indent="1"/>
    </xf>
    <xf numFmtId="3" fontId="63" fillId="3" borderId="0" xfId="0" applyNumberFormat="1" applyFont="1" applyFill="1" applyAlignment="1">
      <alignment horizontal="right" vertical="center" indent="1"/>
    </xf>
    <xf numFmtId="0" fontId="63" fillId="3" borderId="0" xfId="0" applyFont="1" applyFill="1" applyAlignment="1">
      <alignment horizontal="left" vertical="center" indent="1"/>
    </xf>
    <xf numFmtId="0" fontId="90" fillId="3" borderId="0" xfId="0" applyFont="1" applyFill="1" applyAlignment="1">
      <alignment horizontal="left" vertical="center" indent="1"/>
    </xf>
    <xf numFmtId="0" fontId="55" fillId="3" borderId="0" xfId="0" applyFont="1" applyFill="1" applyAlignment="1">
      <alignment horizontal="left" vertical="top"/>
    </xf>
    <xf numFmtId="2" fontId="52" fillId="3" borderId="0" xfId="0" applyNumberFormat="1" applyFont="1" applyFill="1" applyAlignment="1">
      <alignment vertical="center"/>
    </xf>
    <xf numFmtId="0" fontId="56" fillId="6" borderId="0" xfId="0" applyFont="1" applyFill="1" applyAlignment="1">
      <alignment vertical="center"/>
    </xf>
    <xf numFmtId="164" fontId="52" fillId="3" borderId="0" xfId="0" applyNumberFormat="1" applyFont="1" applyFill="1" applyAlignment="1">
      <alignment horizontal="right" vertical="center" indent="1"/>
    </xf>
    <xf numFmtId="165" fontId="52" fillId="3" borderId="0" xfId="1" applyNumberFormat="1" applyFont="1" applyFill="1" applyBorder="1" applyAlignment="1">
      <alignment horizontal="right" vertical="center" indent="1"/>
    </xf>
    <xf numFmtId="0" fontId="109" fillId="6" borderId="0" xfId="0" applyFont="1" applyFill="1" applyAlignment="1">
      <alignment horizontal="left" vertical="center" indent="1"/>
    </xf>
    <xf numFmtId="0" fontId="109" fillId="6" borderId="0" xfId="0" applyFont="1" applyFill="1" applyAlignment="1">
      <alignment vertical="center"/>
    </xf>
    <xf numFmtId="0" fontId="63" fillId="3" borderId="0" xfId="40" applyFont="1" applyFill="1" applyAlignment="1">
      <alignment horizontal="left" vertical="center" indent="1"/>
    </xf>
    <xf numFmtId="0" fontId="63" fillId="3" borderId="0" xfId="40" applyFont="1" applyFill="1" applyAlignment="1">
      <alignment horizontal="left" vertical="top" indent="1"/>
    </xf>
    <xf numFmtId="0" fontId="4" fillId="6" borderId="0" xfId="0" applyFont="1" applyFill="1" applyAlignment="1">
      <alignment horizontal="left" vertical="center" indent="1"/>
    </xf>
    <xf numFmtId="174" fontId="52" fillId="6" borderId="0" xfId="0" applyNumberFormat="1" applyFont="1" applyFill="1" applyAlignment="1">
      <alignment horizontal="right" vertical="center" indent="1"/>
    </xf>
    <xf numFmtId="0" fontId="52" fillId="6" borderId="0" xfId="0" applyFont="1" applyFill="1" applyAlignment="1">
      <alignment vertical="center"/>
    </xf>
    <xf numFmtId="0" fontId="52" fillId="6" borderId="0" xfId="0" applyFont="1" applyFill="1" applyAlignment="1">
      <alignment horizontal="right" indent="1"/>
    </xf>
    <xf numFmtId="0" fontId="111" fillId="6" borderId="0" xfId="0" applyFont="1" applyFill="1" applyAlignment="1">
      <alignment vertical="center"/>
    </xf>
    <xf numFmtId="0" fontId="63" fillId="6" borderId="0" xfId="0" applyFont="1" applyFill="1" applyAlignment="1">
      <alignment horizontal="right" vertical="top" indent="1"/>
    </xf>
    <xf numFmtId="0" fontId="52" fillId="6" borderId="0" xfId="0" applyFont="1" applyFill="1" applyAlignment="1">
      <alignment horizontal="right" vertical="top" indent="1"/>
    </xf>
    <xf numFmtId="0" fontId="52" fillId="6" borderId="0" xfId="0" applyFont="1" applyFill="1" applyAlignment="1">
      <alignment horizontal="center" vertical="top"/>
    </xf>
    <xf numFmtId="0" fontId="63" fillId="6" borderId="0" xfId="0" applyFont="1" applyFill="1" applyAlignment="1">
      <alignment horizontal="right" indent="1"/>
    </xf>
    <xf numFmtId="0" fontId="52" fillId="6" borderId="0" xfId="0" applyFont="1" applyFill="1" applyAlignment="1">
      <alignment horizontal="left" vertical="center" indent="1"/>
    </xf>
    <xf numFmtId="0" fontId="56" fillId="12" borderId="0" xfId="0" applyFont="1" applyFill="1" applyAlignment="1">
      <alignment horizontal="left" vertical="center" indent="1"/>
    </xf>
    <xf numFmtId="0" fontId="56" fillId="12" borderId="0" xfId="0" applyFont="1" applyFill="1" applyAlignment="1">
      <alignment horizontal="left" vertical="center" wrapText="1" indent="1"/>
    </xf>
    <xf numFmtId="0" fontId="52" fillId="6" borderId="0" xfId="0" applyFont="1" applyFill="1" applyAlignment="1">
      <alignment horizontal="left" vertical="center" wrapText="1" indent="1"/>
    </xf>
    <xf numFmtId="0" fontId="90" fillId="3" borderId="0" xfId="0" applyFont="1" applyFill="1" applyAlignment="1">
      <alignment horizontal="left" vertical="center" wrapText="1" indent="1"/>
    </xf>
    <xf numFmtId="4" fontId="56" fillId="6" borderId="0" xfId="0" applyNumberFormat="1" applyFont="1" applyFill="1" applyAlignment="1">
      <alignment horizontal="right" vertical="center" indent="1"/>
    </xf>
    <xf numFmtId="0" fontId="52" fillId="3" borderId="0" xfId="0" applyFont="1" applyFill="1" applyAlignment="1">
      <alignment horizontal="right" vertical="center"/>
    </xf>
    <xf numFmtId="173" fontId="52" fillId="3" borderId="0" xfId="1" applyNumberFormat="1" applyFont="1" applyFill="1" applyBorder="1" applyAlignment="1">
      <alignment horizontal="left" vertical="center"/>
    </xf>
    <xf numFmtId="165" fontId="4" fillId="3" borderId="0" xfId="1" applyNumberFormat="1" applyFont="1" applyFill="1" applyBorder="1" applyAlignment="1">
      <alignment horizontal="right" vertical="center" indent="1"/>
    </xf>
    <xf numFmtId="165" fontId="112" fillId="3" borderId="0" xfId="1" applyNumberFormat="1" applyFont="1" applyFill="1" applyBorder="1" applyAlignment="1">
      <alignment horizontal="right" vertical="top" indent="1"/>
    </xf>
    <xf numFmtId="0" fontId="52" fillId="3" borderId="0" xfId="0" applyFont="1" applyFill="1" applyAlignment="1">
      <alignment vertical="top"/>
    </xf>
    <xf numFmtId="0" fontId="90" fillId="6" borderId="0" xfId="0" applyFont="1" applyFill="1" applyAlignment="1">
      <alignment horizontal="left" vertical="center" indent="1"/>
    </xf>
    <xf numFmtId="0" fontId="52" fillId="3" borderId="0" xfId="0" applyFont="1" applyFill="1" applyAlignment="1">
      <alignment horizontal="left" vertical="center" wrapText="1" indent="1"/>
    </xf>
    <xf numFmtId="0" fontId="90" fillId="3" borderId="0" xfId="0" applyFont="1" applyFill="1" applyAlignment="1">
      <alignment vertical="center"/>
    </xf>
    <xf numFmtId="0" fontId="4" fillId="3" borderId="0" xfId="0" applyFont="1" applyFill="1" applyAlignment="1">
      <alignment horizontal="left" vertical="center" indent="1"/>
    </xf>
    <xf numFmtId="0" fontId="4" fillId="3" borderId="0" xfId="0" applyFont="1" applyFill="1" applyAlignment="1">
      <alignment vertical="center"/>
    </xf>
    <xf numFmtId="0" fontId="39" fillId="6" borderId="0" xfId="0" applyFont="1" applyFill="1" applyAlignment="1">
      <alignment vertical="center"/>
    </xf>
    <xf numFmtId="0" fontId="56" fillId="6" borderId="0" xfId="0" applyFont="1" applyFill="1" applyAlignment="1">
      <alignment horizontal="left" vertical="center" wrapText="1" indent="1"/>
    </xf>
    <xf numFmtId="4" fontId="56" fillId="6" borderId="0" xfId="0" applyNumberFormat="1" applyFont="1" applyFill="1" applyAlignment="1">
      <alignment vertical="center"/>
    </xf>
    <xf numFmtId="0" fontId="52" fillId="6" borderId="0" xfId="0" applyFont="1" applyFill="1" applyAlignment="1">
      <alignment horizontal="left" vertical="top" wrapText="1" indent="1"/>
    </xf>
    <xf numFmtId="0" fontId="55" fillId="6" borderId="0" xfId="0" applyFont="1" applyFill="1" applyAlignment="1">
      <alignment horizontal="left" vertical="top"/>
    </xf>
    <xf numFmtId="0" fontId="52" fillId="6" borderId="0" xfId="0" applyFont="1" applyFill="1" applyAlignment="1">
      <alignment vertical="top" wrapText="1"/>
    </xf>
    <xf numFmtId="3" fontId="63" fillId="3" borderId="0" xfId="0" applyNumberFormat="1" applyFont="1" applyFill="1" applyAlignment="1">
      <alignment horizontal="right" vertical="center" indent="1"/>
    </xf>
    <xf numFmtId="0" fontId="52" fillId="3" borderId="0" xfId="0" applyFont="1" applyFill="1" applyAlignment="1">
      <alignment horizontal="left" vertical="top" wrapText="1" indent="1"/>
    </xf>
    <xf numFmtId="3" fontId="4" fillId="3" borderId="0" xfId="0" applyNumberFormat="1" applyFont="1" applyFill="1" applyAlignment="1">
      <alignment horizontal="right" vertical="center" indent="1"/>
    </xf>
    <xf numFmtId="164" fontId="63" fillId="3" borderId="0" xfId="0" applyNumberFormat="1" applyFont="1" applyFill="1" applyAlignment="1">
      <alignment horizontal="right" vertical="center" indent="1"/>
    </xf>
    <xf numFmtId="165" fontId="63" fillId="3" borderId="0" xfId="1" applyNumberFormat="1" applyFont="1" applyFill="1" applyBorder="1" applyAlignment="1">
      <alignment horizontal="right" vertical="center" indent="1"/>
    </xf>
    <xf numFmtId="0" fontId="21" fillId="7" borderId="12" xfId="0" applyFont="1" applyFill="1" applyBorder="1" applyAlignment="1">
      <alignment horizontal="center" vertical="center"/>
    </xf>
    <xf numFmtId="0" fontId="21" fillId="7" borderId="4" xfId="0" applyFont="1" applyFill="1" applyBorder="1" applyAlignment="1">
      <alignment horizontal="center" vertical="center"/>
    </xf>
    <xf numFmtId="0" fontId="21" fillId="2" borderId="0" xfId="0" applyFont="1" applyFill="1" applyAlignment="1">
      <alignment horizontal="left" vertical="top" wrapText="1"/>
    </xf>
    <xf numFmtId="0" fontId="21" fillId="2" borderId="101"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109" xfId="0" applyFont="1" applyFill="1" applyBorder="1" applyAlignment="1">
      <alignment horizontal="left" vertical="top" wrapText="1"/>
    </xf>
    <xf numFmtId="0" fontId="52" fillId="3" borderId="0" xfId="0" applyFont="1" applyFill="1" applyAlignment="1">
      <alignment vertical="top" wrapText="1"/>
    </xf>
    <xf numFmtId="165" fontId="52" fillId="3" borderId="0" xfId="1" applyNumberFormat="1" applyFont="1" applyFill="1" applyBorder="1" applyAlignment="1">
      <alignment horizontal="right" vertical="center" indent="3"/>
    </xf>
    <xf numFmtId="165" fontId="63" fillId="3" borderId="0" xfId="1" applyNumberFormat="1" applyFont="1" applyFill="1" applyBorder="1" applyAlignment="1">
      <alignment horizontal="right" vertical="center" indent="3"/>
    </xf>
    <xf numFmtId="4" fontId="63" fillId="3" borderId="0" xfId="0" applyNumberFormat="1" applyFont="1" applyFill="1" applyAlignment="1">
      <alignment horizontal="right" vertical="center" indent="3"/>
    </xf>
    <xf numFmtId="165" fontId="56" fillId="3" borderId="0" xfId="1" applyNumberFormat="1" applyFont="1" applyFill="1" applyBorder="1" applyAlignment="1">
      <alignment horizontal="right" vertical="center" indent="3"/>
    </xf>
    <xf numFmtId="165" fontId="4" fillId="3" borderId="0" xfId="1" applyNumberFormat="1" applyFont="1" applyFill="1" applyBorder="1" applyAlignment="1">
      <alignment horizontal="right" vertical="center" indent="3"/>
    </xf>
    <xf numFmtId="3" fontId="63" fillId="3" borderId="0" xfId="0" applyNumberFormat="1" applyFont="1" applyFill="1" applyAlignment="1">
      <alignment horizontal="right" vertical="center" indent="3"/>
    </xf>
    <xf numFmtId="174" fontId="52" fillId="6" borderId="0" xfId="0" applyNumberFormat="1" applyFont="1" applyFill="1" applyAlignment="1">
      <alignment horizontal="left" vertical="center" indent="1"/>
    </xf>
    <xf numFmtId="0" fontId="56" fillId="3" borderId="0" xfId="0" applyFont="1" applyFill="1" applyAlignment="1">
      <alignment vertical="top" wrapText="1"/>
    </xf>
    <xf numFmtId="177" fontId="56" fillId="6" borderId="0" xfId="0" applyNumberFormat="1" applyFont="1" applyFill="1" applyAlignment="1">
      <alignment horizontal="right" vertical="top" wrapText="1" indent="1"/>
    </xf>
    <xf numFmtId="4" fontId="56" fillId="3" borderId="0" xfId="0" applyNumberFormat="1" applyFont="1" applyFill="1" applyAlignment="1">
      <alignment horizontal="right" vertical="center" indent="1"/>
    </xf>
    <xf numFmtId="9" fontId="52" fillId="6" borderId="0" xfId="1" applyFont="1" applyFill="1" applyBorder="1" applyAlignment="1">
      <alignment horizontal="right" vertical="center" indent="1"/>
    </xf>
    <xf numFmtId="4" fontId="52" fillId="3" borderId="0" xfId="0" applyNumberFormat="1" applyFont="1" applyFill="1" applyAlignment="1">
      <alignment horizontal="right" vertical="center" indent="1"/>
    </xf>
    <xf numFmtId="174" fontId="52" fillId="6" borderId="0" xfId="0" applyNumberFormat="1" applyFont="1" applyFill="1" applyAlignment="1">
      <alignment horizontal="right" vertical="center" wrapText="1" indent="1"/>
    </xf>
    <xf numFmtId="174" fontId="52" fillId="6" borderId="70" xfId="0" applyNumberFormat="1" applyFont="1" applyFill="1" applyBorder="1" applyAlignment="1">
      <alignment horizontal="right" vertical="center" wrapText="1" indent="1"/>
    </xf>
    <xf numFmtId="0" fontId="52" fillId="3" borderId="0" xfId="0" applyFont="1" applyFill="1" applyAlignment="1">
      <alignment horizontal="left" vertical="top" wrapText="1"/>
    </xf>
    <xf numFmtId="0" fontId="56" fillId="6" borderId="0" xfId="0" applyFont="1" applyFill="1" applyAlignment="1">
      <alignment horizontal="justify" vertical="center" wrapText="1"/>
    </xf>
    <xf numFmtId="0" fontId="52" fillId="6" borderId="0" xfId="0" applyFont="1" applyFill="1" applyAlignment="1">
      <alignment horizontal="justify" vertical="center" wrapText="1"/>
    </xf>
    <xf numFmtId="0" fontId="52" fillId="4" borderId="0" xfId="0" applyFont="1" applyFill="1" applyAlignment="1">
      <alignment horizontal="left" vertical="top" wrapText="1"/>
    </xf>
    <xf numFmtId="0" fontId="56" fillId="6" borderId="0" xfId="0" applyFont="1" applyFill="1" applyAlignment="1">
      <alignment horizontal="left" vertical="center" wrapText="1"/>
    </xf>
    <xf numFmtId="0" fontId="52" fillId="6" borderId="0" xfId="0" applyFont="1" applyFill="1" applyAlignment="1">
      <alignment horizontal="left" vertical="center" wrapText="1"/>
    </xf>
    <xf numFmtId="0" fontId="56" fillId="6" borderId="0" xfId="0" applyFont="1" applyFill="1" applyAlignment="1">
      <alignment vertical="center" wrapText="1"/>
    </xf>
    <xf numFmtId="0" fontId="56" fillId="6" borderId="0" xfId="0" applyFont="1" applyFill="1" applyAlignment="1">
      <alignment vertical="top" wrapText="1"/>
    </xf>
    <xf numFmtId="0" fontId="90" fillId="3" borderId="0" xfId="0" applyFont="1" applyFill="1" applyAlignment="1">
      <alignment horizontal="left" vertical="center" wrapText="1"/>
    </xf>
    <xf numFmtId="0" fontId="56" fillId="3" borderId="0" xfId="0" applyFont="1" applyFill="1" applyAlignment="1">
      <alignment horizontal="center" vertical="center" wrapText="1"/>
    </xf>
    <xf numFmtId="0" fontId="56" fillId="12" borderId="0" xfId="0" applyFont="1" applyFill="1" applyAlignment="1">
      <alignment horizontal="left" vertical="center" wrapText="1"/>
    </xf>
    <xf numFmtId="174" fontId="52" fillId="6" borderId="67" xfId="0" applyNumberFormat="1" applyFont="1" applyFill="1" applyBorder="1" applyAlignment="1">
      <alignment horizontal="center" vertical="center" wrapText="1"/>
    </xf>
    <xf numFmtId="174" fontId="52" fillId="6" borderId="68" xfId="0" applyNumberFormat="1" applyFont="1" applyFill="1" applyBorder="1" applyAlignment="1">
      <alignment horizontal="center" vertical="center" wrapText="1"/>
    </xf>
    <xf numFmtId="174" fontId="52" fillId="21" borderId="67" xfId="0" applyNumberFormat="1" applyFont="1" applyFill="1" applyBorder="1" applyAlignment="1">
      <alignment horizontal="center" vertical="center" wrapText="1"/>
    </xf>
    <xf numFmtId="174" fontId="52" fillId="21" borderId="68" xfId="0" applyNumberFormat="1" applyFont="1" applyFill="1" applyBorder="1" applyAlignment="1">
      <alignment horizontal="center" vertical="center" wrapText="1"/>
    </xf>
    <xf numFmtId="0" fontId="56" fillId="4" borderId="0" xfId="0" applyFont="1" applyFill="1" applyAlignment="1">
      <alignment horizontal="left" vertical="top" wrapText="1" indent="1"/>
    </xf>
    <xf numFmtId="0" fontId="99" fillId="3" borderId="0" xfId="0" applyFont="1" applyFill="1" applyAlignment="1">
      <alignment horizontal="left" vertical="center" wrapText="1"/>
    </xf>
    <xf numFmtId="0" fontId="21" fillId="2" borderId="4" xfId="0" applyFont="1" applyFill="1" applyBorder="1" applyAlignment="1">
      <alignment horizontal="left" vertical="top" wrapText="1"/>
    </xf>
    <xf numFmtId="0" fontId="21" fillId="2" borderId="19" xfId="0" applyFont="1" applyFill="1" applyBorder="1" applyAlignment="1">
      <alignment horizontal="left" vertical="top" wrapText="1"/>
    </xf>
    <xf numFmtId="164" fontId="5" fillId="6" borderId="0" xfId="0" applyNumberFormat="1" applyFont="1" applyFill="1" applyAlignment="1">
      <alignment horizontal="right" vertical="center" wrapText="1" indent="1"/>
    </xf>
    <xf numFmtId="164" fontId="5" fillId="6" borderId="63" xfId="0" applyNumberFormat="1" applyFont="1" applyFill="1" applyBorder="1" applyAlignment="1">
      <alignment horizontal="right" vertical="center" wrapText="1" indent="1"/>
    </xf>
    <xf numFmtId="164" fontId="5" fillId="6" borderId="64" xfId="0" applyNumberFormat="1" applyFont="1" applyFill="1" applyBorder="1" applyAlignment="1">
      <alignment horizontal="right" vertical="center" wrapText="1" indent="1"/>
    </xf>
    <xf numFmtId="0" fontId="76" fillId="6" borderId="43" xfId="0" applyFont="1" applyFill="1" applyBorder="1" applyAlignment="1">
      <alignment horizontal="center" vertical="center"/>
    </xf>
    <xf numFmtId="0" fontId="76" fillId="6" borderId="44" xfId="0" applyFont="1" applyFill="1" applyBorder="1" applyAlignment="1">
      <alignment horizontal="center" vertical="center"/>
    </xf>
    <xf numFmtId="0" fontId="76" fillId="6" borderId="45" xfId="0" applyFont="1" applyFill="1" applyBorder="1" applyAlignment="1">
      <alignment horizontal="center" vertical="center"/>
    </xf>
    <xf numFmtId="0" fontId="57" fillId="3" borderId="52" xfId="0" applyFont="1" applyFill="1" applyBorder="1" applyAlignment="1">
      <alignment horizontal="center" vertical="center"/>
    </xf>
    <xf numFmtId="0" fontId="57" fillId="3" borderId="53" xfId="0" applyFont="1" applyFill="1" applyBorder="1" applyAlignment="1">
      <alignment horizontal="center" vertical="center"/>
    </xf>
    <xf numFmtId="0" fontId="75" fillId="6" borderId="33" xfId="0" applyFont="1" applyFill="1" applyBorder="1" applyAlignment="1">
      <alignment horizontal="center" vertical="center"/>
    </xf>
    <xf numFmtId="0" fontId="75" fillId="6" borderId="0" xfId="0" applyFont="1" applyFill="1" applyAlignment="1">
      <alignment horizontal="center" vertical="center"/>
    </xf>
    <xf numFmtId="0" fontId="75" fillId="6" borderId="34" xfId="0" applyFont="1" applyFill="1" applyBorder="1" applyAlignment="1">
      <alignment horizontal="center" vertical="center"/>
    </xf>
    <xf numFmtId="0" fontId="57" fillId="2" borderId="5" xfId="0" applyFont="1" applyFill="1" applyBorder="1" applyAlignment="1">
      <alignment horizontal="left" vertical="top" wrapText="1"/>
    </xf>
    <xf numFmtId="0" fontId="57" fillId="2" borderId="0" xfId="0" applyFont="1" applyFill="1" applyAlignment="1">
      <alignment horizontal="left" vertical="top" wrapText="1"/>
    </xf>
    <xf numFmtId="0" fontId="57" fillId="2" borderId="4" xfId="0" applyFont="1" applyFill="1" applyBorder="1" applyAlignment="1">
      <alignment horizontal="left" vertical="top" wrapText="1"/>
    </xf>
    <xf numFmtId="0" fontId="57" fillId="2" borderId="7" xfId="0" applyFont="1" applyFill="1" applyBorder="1" applyAlignment="1">
      <alignment horizontal="left" vertical="top" wrapText="1"/>
    </xf>
    <xf numFmtId="0" fontId="57" fillId="2" borderId="8" xfId="0" applyFont="1" applyFill="1" applyBorder="1" applyAlignment="1">
      <alignment horizontal="left" vertical="top" wrapText="1"/>
    </xf>
    <xf numFmtId="0" fontId="57" fillId="2" borderId="19" xfId="0" applyFont="1" applyFill="1" applyBorder="1" applyAlignment="1">
      <alignment horizontal="left" vertical="top" wrapText="1"/>
    </xf>
    <xf numFmtId="0" fontId="76" fillId="6" borderId="38" xfId="0" applyFont="1" applyFill="1" applyBorder="1" applyAlignment="1">
      <alignment horizontal="center" vertical="center"/>
    </xf>
    <xf numFmtId="0" fontId="76" fillId="6" borderId="0" xfId="0" applyFont="1" applyFill="1" applyAlignment="1">
      <alignment horizontal="center" vertical="center"/>
    </xf>
    <xf numFmtId="0" fontId="76" fillId="6" borderId="39" xfId="0" applyFont="1" applyFill="1" applyBorder="1" applyAlignment="1">
      <alignment horizontal="center" vertical="center"/>
    </xf>
    <xf numFmtId="164" fontId="59" fillId="6" borderId="0" xfId="0" applyNumberFormat="1" applyFont="1" applyFill="1" applyAlignment="1">
      <alignment horizontal="right" vertical="center" wrapText="1" indent="1"/>
    </xf>
    <xf numFmtId="0" fontId="59" fillId="4" borderId="14" xfId="0" applyFont="1" applyFill="1" applyBorder="1" applyAlignment="1">
      <alignment horizontal="center" vertical="center"/>
    </xf>
    <xf numFmtId="0" fontId="76" fillId="7" borderId="12" xfId="0" applyFont="1" applyFill="1" applyBorder="1" applyAlignment="1">
      <alignment horizontal="left" vertical="center" indent="1"/>
    </xf>
    <xf numFmtId="0" fontId="76" fillId="7" borderId="0" xfId="0" applyFont="1" applyFill="1" applyAlignment="1">
      <alignment horizontal="left" vertical="center" indent="1"/>
    </xf>
    <xf numFmtId="0" fontId="76" fillId="7" borderId="4" xfId="0" applyFont="1" applyFill="1" applyBorder="1" applyAlignment="1">
      <alignment horizontal="left" vertical="center" indent="1"/>
    </xf>
    <xf numFmtId="165" fontId="59" fillId="2" borderId="12" xfId="1" applyNumberFormat="1" applyFont="1" applyFill="1" applyBorder="1" applyAlignment="1">
      <alignment vertical="top" wrapText="1"/>
    </xf>
    <xf numFmtId="0" fontId="57" fillId="0" borderId="0" xfId="0" applyFont="1" applyAlignment="1">
      <alignment vertical="top" wrapText="1"/>
    </xf>
    <xf numFmtId="0" fontId="57" fillId="0" borderId="4" xfId="0" applyFont="1" applyBorder="1" applyAlignment="1">
      <alignment vertical="top" wrapText="1"/>
    </xf>
    <xf numFmtId="0" fontId="57" fillId="0" borderId="12" xfId="0" applyFont="1" applyBorder="1" applyAlignment="1">
      <alignment vertical="top" wrapText="1"/>
    </xf>
    <xf numFmtId="0" fontId="57" fillId="7" borderId="12" xfId="0" applyFont="1" applyFill="1" applyBorder="1" applyAlignment="1">
      <alignment horizontal="center" vertical="center"/>
    </xf>
    <xf numFmtId="0" fontId="57" fillId="7" borderId="4" xfId="0" applyFont="1" applyFill="1" applyBorder="1" applyAlignment="1">
      <alignment horizontal="center" vertical="center"/>
    </xf>
    <xf numFmtId="0" fontId="76" fillId="5" borderId="10" xfId="0" applyFont="1" applyFill="1" applyBorder="1" applyAlignment="1">
      <alignment horizontal="center" vertical="center"/>
    </xf>
    <xf numFmtId="174" fontId="57" fillId="7" borderId="0" xfId="0" applyNumberFormat="1" applyFont="1" applyFill="1" applyAlignment="1">
      <alignment horizontal="center" vertical="center" wrapText="1"/>
    </xf>
    <xf numFmtId="3" fontId="73" fillId="2" borderId="0" xfId="0" applyNumberFormat="1" applyFont="1" applyFill="1" applyAlignment="1">
      <alignment horizontal="center" vertical="center"/>
    </xf>
    <xf numFmtId="174" fontId="57" fillId="6" borderId="0" xfId="0" applyNumberFormat="1" applyFont="1" applyFill="1" applyAlignment="1">
      <alignment horizontal="left" vertical="center" wrapText="1" indent="1"/>
    </xf>
    <xf numFmtId="164" fontId="59" fillId="6" borderId="27" xfId="0" applyNumberFormat="1" applyFont="1" applyFill="1" applyBorder="1" applyAlignment="1">
      <alignment horizontal="right" vertical="center" wrapText="1" indent="1"/>
    </xf>
    <xf numFmtId="0" fontId="76" fillId="6" borderId="27" xfId="0" applyFont="1" applyFill="1" applyBorder="1" applyAlignment="1">
      <alignment horizontal="center" vertical="center"/>
    </xf>
    <xf numFmtId="0" fontId="76" fillId="6" borderId="28" xfId="0" applyFont="1" applyFill="1" applyBorder="1" applyAlignment="1">
      <alignment horizontal="center" vertical="center"/>
    </xf>
    <xf numFmtId="0" fontId="56" fillId="0" borderId="0" xfId="0" applyFont="1" applyAlignment="1">
      <alignment horizontal="center" vertical="center"/>
    </xf>
  </cellXfs>
  <cellStyles count="47">
    <cellStyle name="ChartingText" xfId="16" xr:uid="{00000000-0005-0000-0000-000000000000}"/>
    <cellStyle name="ChartingText 2" xfId="34" xr:uid="{FCE3D1F0-D11C-4032-B402-23AC0C710F0F}"/>
    <cellStyle name="CHPAboveAverage" xfId="17" xr:uid="{00000000-0005-0000-0000-000002000000}"/>
    <cellStyle name="CHPAboveAverage 2" xfId="35" xr:uid="{F24B4884-7A02-4E9D-8CC4-3AA1A9B82295}"/>
    <cellStyle name="CHPBelowAverage" xfId="17" xr:uid="{00000000-0005-0000-0000-000004000000}"/>
    <cellStyle name="CHPBelowAverage 2" xfId="35" xr:uid="{00000000-0005-0000-0000-000005000000}"/>
    <cellStyle name="CHPBottom" xfId="17" xr:uid="{00000000-0005-0000-0000-000006000000}"/>
    <cellStyle name="CHPBottom 2" xfId="35" xr:uid="{00000000-0005-0000-0000-000007000000}"/>
    <cellStyle name="CHPTop" xfId="17" xr:uid="{00000000-0005-0000-0000-000008000000}"/>
    <cellStyle name="CHPTop 2" xfId="35" xr:uid="{00000000-0005-0000-0000-000009000000}"/>
    <cellStyle name="ColumnHeaderNormal" xfId="8" xr:uid="{00000000-0005-0000-0000-00000A000000}"/>
    <cellStyle name="ColumnHeaderNormal 2" xfId="26" xr:uid="{00000000-0005-0000-0000-00000B000000}"/>
    <cellStyle name="Comma 2" xfId="19" xr:uid="{00000000-0005-0000-0000-00000C000000}"/>
    <cellStyle name="Invisible" xfId="15" xr:uid="{00000000-0005-0000-0000-00000E000000}"/>
    <cellStyle name="Invisible 2" xfId="33" xr:uid="{00000000-0005-0000-0000-00000F000000}"/>
    <cellStyle name="Link" xfId="40" builtinId="8"/>
    <cellStyle name="NewColumnHeaderNormal" xfId="6" xr:uid="{00000000-0005-0000-0000-000011000000}"/>
    <cellStyle name="NewColumnHeaderNormal 2" xfId="24" xr:uid="{00000000-0005-0000-0000-000012000000}"/>
    <cellStyle name="NewSectionHeaderNormal" xfId="5" xr:uid="{00000000-0005-0000-0000-000013000000}"/>
    <cellStyle name="NewSectionHeaderNormal 2" xfId="23" xr:uid="{00000000-0005-0000-0000-000014000000}"/>
    <cellStyle name="NewTitleNormal" xfId="4" xr:uid="{00000000-0005-0000-0000-000015000000}"/>
    <cellStyle name="NewTitleNormal 2" xfId="22" xr:uid="{00000000-0005-0000-0000-000016000000}"/>
    <cellStyle name="Normal 2" xfId="18" xr:uid="{00000000-0005-0000-0000-000017000000}"/>
    <cellStyle name="Normal_2006 and 2007 Actuals - SUMMARY FILE" xfId="38" xr:uid="{3F2B9AE0-E5B8-4AAE-9B16-BD306131B5B7}"/>
    <cellStyle name="Prozent" xfId="1" builtinId="5"/>
    <cellStyle name="SectionHeaderNormal" xfId="7" xr:uid="{00000000-0005-0000-0000-00001E000000}"/>
    <cellStyle name="SectionHeaderNormal 2" xfId="25" xr:uid="{00000000-0005-0000-0000-00001F000000}"/>
    <cellStyle name="Standard" xfId="0" builtinId="0"/>
    <cellStyle name="Standard 2" xfId="2" xr:uid="{00000000-0005-0000-0000-000021000000}"/>
    <cellStyle name="Standard 3" xfId="20" xr:uid="{00000000-0005-0000-0000-000022000000}"/>
    <cellStyle name="Style 21" xfId="39" xr:uid="{34786A76-D9B9-45D8-916B-EE5177D8D4E7}"/>
    <cellStyle name="Style 27" xfId="36" xr:uid="{00000000-0005-0000-0000-000023000000}"/>
    <cellStyle name="SubScript" xfId="11" xr:uid="{00000000-0005-0000-0000-000024000000}"/>
    <cellStyle name="SubScript 2" xfId="29" xr:uid="{00000000-0005-0000-0000-000025000000}"/>
    <cellStyle name="SuperScript" xfId="10" xr:uid="{00000000-0005-0000-0000-000026000000}"/>
    <cellStyle name="SuperScript 2" xfId="28" xr:uid="{00000000-0005-0000-0000-000027000000}"/>
    <cellStyle name="TextBold" xfId="12" xr:uid="{00000000-0005-0000-0000-000028000000}"/>
    <cellStyle name="TextBold 2" xfId="30" xr:uid="{00000000-0005-0000-0000-000029000000}"/>
    <cellStyle name="TextItalic" xfId="13" xr:uid="{00000000-0005-0000-0000-00002A000000}"/>
    <cellStyle name="TextItalic 2" xfId="31" xr:uid="{00000000-0005-0000-0000-00002B000000}"/>
    <cellStyle name="TextNormal" xfId="9" xr:uid="{00000000-0005-0000-0000-00002C000000}"/>
    <cellStyle name="TextNormal 2" xfId="27" xr:uid="{00000000-0005-0000-0000-00002D000000}"/>
    <cellStyle name="TextNormal 6" xfId="37" xr:uid="{213028DC-F1F5-4F7F-9149-E8B8AE25DDD6}"/>
    <cellStyle name="TitleNormal" xfId="3" xr:uid="{00000000-0005-0000-0000-00002E000000}"/>
    <cellStyle name="TitleNormal 2" xfId="21" xr:uid="{00000000-0005-0000-0000-00002F000000}"/>
    <cellStyle name="Total" xfId="14" xr:uid="{00000000-0005-0000-0000-000030000000}"/>
    <cellStyle name="Total 2" xfId="32" xr:uid="{00000000-0005-0000-0000-000031000000}"/>
  </cellStyles>
  <dxfs count="211">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0006"/>
      </font>
    </dxf>
    <dxf>
      <font>
        <color rgb="FF9C0006"/>
      </font>
      <fill>
        <patternFill>
          <bgColor rgb="FFFFC7CE"/>
        </patternFill>
      </fill>
    </dxf>
    <dxf>
      <font>
        <color rgb="FF006100"/>
      </font>
      <fill>
        <patternFill>
          <bgColor rgb="FFC6EFC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9C0006"/>
      </font>
    </dxf>
    <dxf>
      <font>
        <color rgb="FF9C0006"/>
      </font>
      <fill>
        <patternFill>
          <bgColor rgb="FFFFC7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FF0000"/>
      </font>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006100"/>
      </font>
      <fill>
        <patternFill>
          <bgColor rgb="FFC6EF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006100"/>
      </font>
      <fill>
        <patternFill>
          <bgColor rgb="FFC6EFCE"/>
        </patternFill>
      </fill>
    </dxf>
    <dxf>
      <font>
        <color rgb="FF9C0006"/>
      </font>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border>
        <left style="thin">
          <color rgb="FF9C0006"/>
        </left>
        <right style="thin">
          <color rgb="FF9C0006"/>
        </right>
        <top style="thin">
          <color rgb="FF9C0006"/>
        </top>
        <bottom style="thin">
          <color rgb="FF9C0006"/>
        </bottom>
      </border>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fill>
        <patternFill>
          <bgColor rgb="FFFFC7CE"/>
        </patternFill>
      </fill>
    </dxf>
    <dxf>
      <font>
        <color rgb="FF9C0006"/>
      </font>
    </dxf>
    <dxf>
      <font>
        <color theme="6" tint="-0.24994659260841701"/>
      </font>
    </dxf>
    <dxf>
      <font>
        <color rgb="FF9C0006"/>
      </font>
    </dxf>
    <dxf>
      <font>
        <color rgb="FF9C0006"/>
      </font>
      <fill>
        <patternFill>
          <bgColor rgb="FFFFC7CE"/>
        </patternFill>
      </fill>
    </dxf>
    <dxf>
      <font>
        <color rgb="FF006100"/>
      </font>
      <fill>
        <patternFill>
          <bgColor rgb="FFC6EFCE"/>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0006"/>
      </font>
    </dxf>
    <dxf>
      <font>
        <color rgb="FF9C0006"/>
      </font>
    </dxf>
    <dxf>
      <font>
        <color rgb="FF9C0006"/>
      </font>
    </dxf>
    <dxf>
      <font>
        <color theme="4" tint="-0.24994659260841701"/>
      </font>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006100"/>
      </font>
      <fill>
        <patternFill>
          <bgColor rgb="FFC6EFCE"/>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006100"/>
      </font>
      <fill>
        <patternFill>
          <bgColor rgb="FFC6EFCE"/>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006100"/>
      </font>
      <fill>
        <patternFill>
          <bgColor rgb="FFC6EFCE"/>
        </patternFill>
      </fill>
    </dxf>
    <dxf>
      <fill>
        <patternFill>
          <bgColor theme="0" tint="-4.9989318521683403E-2"/>
        </patternFill>
      </fill>
    </dxf>
    <dxf>
      <font>
        <color rgb="FF9C0006"/>
      </font>
    </dxf>
    <dxf>
      <font>
        <color rgb="FF9C0006"/>
      </font>
    </dxf>
    <dxf>
      <font>
        <color rgb="FF9C0006"/>
      </font>
      <fill>
        <patternFill>
          <bgColor rgb="FFFFC7CE"/>
        </patternFill>
      </fill>
    </dxf>
    <dxf>
      <font>
        <color rgb="FF006100"/>
      </font>
      <fill>
        <patternFill>
          <bgColor rgb="FFC6EFCE"/>
        </patternFill>
      </fill>
    </dxf>
    <dxf>
      <font>
        <color rgb="FF9C0006"/>
      </font>
    </dxf>
    <dxf>
      <font>
        <color rgb="FF9C0006"/>
      </font>
    </dxf>
    <dxf>
      <font>
        <color rgb="FF9C0006"/>
      </font>
      <fill>
        <patternFill>
          <bgColor rgb="FFFFC7CE"/>
        </patternFill>
      </fill>
    </dxf>
    <dxf>
      <font>
        <color rgb="FF006100"/>
      </font>
      <fill>
        <patternFill>
          <bgColor rgb="FFC6EF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9C0006"/>
      </font>
    </dxf>
  </dxfs>
  <tableStyles count="0" defaultTableStyle="TableStyleMedium2" defaultPivotStyle="PivotStyleLight16"/>
  <colors>
    <mruColors>
      <color rgb="FFECF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0015363281615E-2"/>
          <c:y val="9.9275579628679486E-2"/>
          <c:w val="0.79995086579315156"/>
          <c:h val="0.73229614211648986"/>
        </c:manualLayout>
      </c:layout>
      <c:lineChart>
        <c:grouping val="standard"/>
        <c:varyColors val="0"/>
        <c:ser>
          <c:idx val="0"/>
          <c:order val="0"/>
          <c:tx>
            <c:v>Aktie</c:v>
          </c:tx>
          <c:spPr>
            <a:ln w="12700" cap="rnd">
              <a:solidFill>
                <a:srgbClr val="C00000"/>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F7'!$AI$6:$AI$1100</c:f>
              <c:numCache>
                <c:formatCode>#,##0.00</c:formatCode>
                <c:ptCount val="1095"/>
                <c:pt idx="0">
                  <c:v>215.7</c:v>
                </c:pt>
                <c:pt idx="1">
                  <c:v>213.07</c:v>
                </c:pt>
                <c:pt idx="2">
                  <c:v>212.89</c:v>
                </c:pt>
                <c:pt idx="3">
                  <c:v>212.89</c:v>
                </c:pt>
                <c:pt idx="4">
                  <c:v>212.89</c:v>
                </c:pt>
                <c:pt idx="5">
                  <c:v>212.79</c:v>
                </c:pt>
                <c:pt idx="6">
                  <c:v>207.55</c:v>
                </c:pt>
                <c:pt idx="7">
                  <c:v>209.4</c:v>
                </c:pt>
                <c:pt idx="8">
                  <c:v>238.56</c:v>
                </c:pt>
                <c:pt idx="9">
                  <c:v>240.32</c:v>
                </c:pt>
                <c:pt idx="10">
                  <c:v>240.32</c:v>
                </c:pt>
                <c:pt idx="11">
                  <c:v>240.32</c:v>
                </c:pt>
                <c:pt idx="12">
                  <c:v>243.18</c:v>
                </c:pt>
                <c:pt idx="13">
                  <c:v>239.24</c:v>
                </c:pt>
                <c:pt idx="14">
                  <c:v>237.03</c:v>
                </c:pt>
                <c:pt idx="15">
                  <c:v>233.52</c:v>
                </c:pt>
                <c:pt idx="16">
                  <c:v>232.78</c:v>
                </c:pt>
                <c:pt idx="17">
                  <c:v>232.78</c:v>
                </c:pt>
                <c:pt idx="18">
                  <c:v>232.78</c:v>
                </c:pt>
                <c:pt idx="19">
                  <c:v>233.27</c:v>
                </c:pt>
                <c:pt idx="20">
                  <c:v>233.37</c:v>
                </c:pt>
                <c:pt idx="21">
                  <c:v>233.08</c:v>
                </c:pt>
                <c:pt idx="22">
                  <c:v>235.79</c:v>
                </c:pt>
                <c:pt idx="23">
                  <c:v>233.81</c:v>
                </c:pt>
                <c:pt idx="24">
                  <c:v>233.81</c:v>
                </c:pt>
                <c:pt idx="25">
                  <c:v>233.81</c:v>
                </c:pt>
                <c:pt idx="26">
                  <c:v>238.86</c:v>
                </c:pt>
                <c:pt idx="27">
                  <c:v>238.82</c:v>
                </c:pt>
                <c:pt idx="28">
                  <c:v>242.48500000000001</c:v>
                </c:pt>
                <c:pt idx="29">
                  <c:v>246.85</c:v>
                </c:pt>
                <c:pt idx="30">
                  <c:v>245.64</c:v>
                </c:pt>
                <c:pt idx="31">
                  <c:v>245.64</c:v>
                </c:pt>
                <c:pt idx="32">
                  <c:v>245.64</c:v>
                </c:pt>
                <c:pt idx="33">
                  <c:v>248.32</c:v>
                </c:pt>
                <c:pt idx="34">
                  <c:v>246.74</c:v>
                </c:pt>
                <c:pt idx="35">
                  <c:v>249.21</c:v>
                </c:pt>
                <c:pt idx="36">
                  <c:v>252.69</c:v>
                </c:pt>
                <c:pt idx="37">
                  <c:v>262.04000000000002</c:v>
                </c:pt>
                <c:pt idx="38">
                  <c:v>262.04000000000002</c:v>
                </c:pt>
                <c:pt idx="39">
                  <c:v>262.04000000000002</c:v>
                </c:pt>
                <c:pt idx="40">
                  <c:v>262.04000000000002</c:v>
                </c:pt>
                <c:pt idx="41">
                  <c:v>262.52</c:v>
                </c:pt>
                <c:pt idx="42">
                  <c:v>264.72000000000003</c:v>
                </c:pt>
                <c:pt idx="43">
                  <c:v>272.61</c:v>
                </c:pt>
                <c:pt idx="44">
                  <c:v>272.61</c:v>
                </c:pt>
                <c:pt idx="45">
                  <c:v>272.61</c:v>
                </c:pt>
                <c:pt idx="46">
                  <c:v>272.61</c:v>
                </c:pt>
                <c:pt idx="47">
                  <c:v>271.39</c:v>
                </c:pt>
                <c:pt idx="48">
                  <c:v>271.12</c:v>
                </c:pt>
                <c:pt idx="49">
                  <c:v>263.60000000000002</c:v>
                </c:pt>
                <c:pt idx="50">
                  <c:v>264.58</c:v>
                </c:pt>
                <c:pt idx="51">
                  <c:v>264.95</c:v>
                </c:pt>
                <c:pt idx="52">
                  <c:v>264.95</c:v>
                </c:pt>
                <c:pt idx="53">
                  <c:v>264.95</c:v>
                </c:pt>
                <c:pt idx="54">
                  <c:v>271.05</c:v>
                </c:pt>
                <c:pt idx="55">
                  <c:v>271.32</c:v>
                </c:pt>
                <c:pt idx="56">
                  <c:v>273.35000000000002</c:v>
                </c:pt>
                <c:pt idx="57">
                  <c:v>281.83</c:v>
                </c:pt>
                <c:pt idx="58">
                  <c:v>281</c:v>
                </c:pt>
                <c:pt idx="59">
                  <c:v>281</c:v>
                </c:pt>
                <c:pt idx="60">
                  <c:v>281</c:v>
                </c:pt>
                <c:pt idx="61">
                  <c:v>281</c:v>
                </c:pt>
                <c:pt idx="62">
                  <c:v>284.33</c:v>
                </c:pt>
                <c:pt idx="63">
                  <c:v>281.64</c:v>
                </c:pt>
                <c:pt idx="64">
                  <c:v>284.88</c:v>
                </c:pt>
                <c:pt idx="65">
                  <c:v>288.73</c:v>
                </c:pt>
                <c:pt idx="66">
                  <c:v>288.73</c:v>
                </c:pt>
                <c:pt idx="67">
                  <c:v>288.73</c:v>
                </c:pt>
                <c:pt idx="68">
                  <c:v>278.47000000000003</c:v>
                </c:pt>
                <c:pt idx="69">
                  <c:v>287.05</c:v>
                </c:pt>
                <c:pt idx="70">
                  <c:v>285.29000000000002</c:v>
                </c:pt>
                <c:pt idx="71">
                  <c:v>281.52999999999997</c:v>
                </c:pt>
                <c:pt idx="72">
                  <c:v>286.98</c:v>
                </c:pt>
                <c:pt idx="73">
                  <c:v>286.98</c:v>
                </c:pt>
                <c:pt idx="74">
                  <c:v>286.98</c:v>
                </c:pt>
                <c:pt idx="75">
                  <c:v>286.02</c:v>
                </c:pt>
                <c:pt idx="76">
                  <c:v>286.02</c:v>
                </c:pt>
                <c:pt idx="77">
                  <c:v>294.37</c:v>
                </c:pt>
                <c:pt idx="78">
                  <c:v>291.99</c:v>
                </c:pt>
                <c:pt idx="79">
                  <c:v>290.52999999999997</c:v>
                </c:pt>
                <c:pt idx="80">
                  <c:v>290.52999999999997</c:v>
                </c:pt>
                <c:pt idx="81">
                  <c:v>290.52999999999997</c:v>
                </c:pt>
                <c:pt idx="82">
                  <c:v>294.10000000000002</c:v>
                </c:pt>
                <c:pt idx="83">
                  <c:v>298.29000000000002</c:v>
                </c:pt>
                <c:pt idx="84">
                  <c:v>309.33999999999997</c:v>
                </c:pt>
                <c:pt idx="85">
                  <c:v>313.41000000000003</c:v>
                </c:pt>
                <c:pt idx="86">
                  <c:v>308.87</c:v>
                </c:pt>
                <c:pt idx="87">
                  <c:v>308.87</c:v>
                </c:pt>
                <c:pt idx="88">
                  <c:v>308.87</c:v>
                </c:pt>
                <c:pt idx="89">
                  <c:v>310.62</c:v>
                </c:pt>
                <c:pt idx="90">
                  <c:v>312.05</c:v>
                </c:pt>
                <c:pt idx="91">
                  <c:v>316.01</c:v>
                </c:pt>
                <c:pt idx="92">
                  <c:v>302.52</c:v>
                </c:pt>
                <c:pt idx="93">
                  <c:v>294.26</c:v>
                </c:pt>
                <c:pt idx="94">
                  <c:v>294.26</c:v>
                </c:pt>
                <c:pt idx="95">
                  <c:v>294.26</c:v>
                </c:pt>
                <c:pt idx="96">
                  <c:v>291.61</c:v>
                </c:pt>
                <c:pt idx="97">
                  <c:v>294.47000000000003</c:v>
                </c:pt>
                <c:pt idx="98">
                  <c:v>298.57</c:v>
                </c:pt>
                <c:pt idx="99">
                  <c:v>311.70999999999998</c:v>
                </c:pt>
                <c:pt idx="100">
                  <c:v>325.48</c:v>
                </c:pt>
                <c:pt idx="101">
                  <c:v>325.48</c:v>
                </c:pt>
                <c:pt idx="102">
                  <c:v>325.48</c:v>
                </c:pt>
                <c:pt idx="103">
                  <c:v>318.60000000000002</c:v>
                </c:pt>
                <c:pt idx="104">
                  <c:v>322.70999999999998</c:v>
                </c:pt>
                <c:pt idx="105">
                  <c:v>314.31</c:v>
                </c:pt>
                <c:pt idx="106">
                  <c:v>313.19</c:v>
                </c:pt>
                <c:pt idx="107">
                  <c:v>310.73</c:v>
                </c:pt>
                <c:pt idx="108">
                  <c:v>310.73</c:v>
                </c:pt>
                <c:pt idx="109">
                  <c:v>310.73</c:v>
                </c:pt>
                <c:pt idx="110">
                  <c:v>316.56</c:v>
                </c:pt>
                <c:pt idx="111">
                  <c:v>312.64</c:v>
                </c:pt>
                <c:pt idx="112">
                  <c:v>305.20999999999998</c:v>
                </c:pt>
                <c:pt idx="113">
                  <c:v>305.74</c:v>
                </c:pt>
                <c:pt idx="114">
                  <c:v>301.64</c:v>
                </c:pt>
                <c:pt idx="115">
                  <c:v>301.64</c:v>
                </c:pt>
                <c:pt idx="116">
                  <c:v>301.64</c:v>
                </c:pt>
                <c:pt idx="117">
                  <c:v>306.19</c:v>
                </c:pt>
                <c:pt idx="118">
                  <c:v>301.95</c:v>
                </c:pt>
                <c:pt idx="119">
                  <c:v>294.29000000000002</c:v>
                </c:pt>
                <c:pt idx="120">
                  <c:v>285.08999999999997</c:v>
                </c:pt>
                <c:pt idx="121">
                  <c:v>283.25</c:v>
                </c:pt>
                <c:pt idx="122">
                  <c:v>283.25</c:v>
                </c:pt>
                <c:pt idx="123">
                  <c:v>283.25</c:v>
                </c:pt>
                <c:pt idx="124">
                  <c:v>289.89999999999998</c:v>
                </c:pt>
                <c:pt idx="125">
                  <c:v>287.60000000000002</c:v>
                </c:pt>
                <c:pt idx="126">
                  <c:v>294.24</c:v>
                </c:pt>
                <c:pt idx="127">
                  <c:v>286.75</c:v>
                </c:pt>
                <c:pt idx="128">
                  <c:v>285.5</c:v>
                </c:pt>
                <c:pt idx="129">
                  <c:v>285.5</c:v>
                </c:pt>
                <c:pt idx="130">
                  <c:v>285.5</c:v>
                </c:pt>
                <c:pt idx="131">
                  <c:v>290.26</c:v>
                </c:pt>
                <c:pt idx="132">
                  <c:v>297.99</c:v>
                </c:pt>
                <c:pt idx="133">
                  <c:v>295.10000000000002</c:v>
                </c:pt>
                <c:pt idx="134">
                  <c:v>295.89</c:v>
                </c:pt>
                <c:pt idx="135">
                  <c:v>296.38</c:v>
                </c:pt>
                <c:pt idx="136">
                  <c:v>296.38</c:v>
                </c:pt>
                <c:pt idx="137">
                  <c:v>296.38</c:v>
                </c:pt>
                <c:pt idx="138">
                  <c:v>296.38</c:v>
                </c:pt>
                <c:pt idx="139">
                  <c:v>300.14999999999998</c:v>
                </c:pt>
                <c:pt idx="140">
                  <c:v>299.17</c:v>
                </c:pt>
                <c:pt idx="141">
                  <c:v>298.67</c:v>
                </c:pt>
                <c:pt idx="142">
                  <c:v>297.89</c:v>
                </c:pt>
                <c:pt idx="143">
                  <c:v>297.89</c:v>
                </c:pt>
                <c:pt idx="144">
                  <c:v>297.89</c:v>
                </c:pt>
                <c:pt idx="145">
                  <c:v>307.56</c:v>
                </c:pt>
                <c:pt idx="146">
                  <c:v>301.66000000000003</c:v>
                </c:pt>
                <c:pt idx="147">
                  <c:v>305.06</c:v>
                </c:pt>
                <c:pt idx="148">
                  <c:v>311.72000000000003</c:v>
                </c:pt>
                <c:pt idx="149">
                  <c:v>300.31</c:v>
                </c:pt>
                <c:pt idx="150">
                  <c:v>300.31</c:v>
                </c:pt>
                <c:pt idx="151">
                  <c:v>300.31</c:v>
                </c:pt>
                <c:pt idx="152">
                  <c:v>302.55</c:v>
                </c:pt>
                <c:pt idx="153">
                  <c:v>305.07</c:v>
                </c:pt>
                <c:pt idx="154">
                  <c:v>299.67</c:v>
                </c:pt>
                <c:pt idx="155">
                  <c:v>295.73</c:v>
                </c:pt>
                <c:pt idx="156">
                  <c:v>299.08</c:v>
                </c:pt>
                <c:pt idx="157">
                  <c:v>299.08</c:v>
                </c:pt>
                <c:pt idx="158">
                  <c:v>299.08</c:v>
                </c:pt>
                <c:pt idx="159">
                  <c:v>300.83</c:v>
                </c:pt>
                <c:pt idx="160">
                  <c:v>298.95999999999998</c:v>
                </c:pt>
                <c:pt idx="161">
                  <c:v>297.74</c:v>
                </c:pt>
                <c:pt idx="162">
                  <c:v>303.95999999999998</c:v>
                </c:pt>
                <c:pt idx="163">
                  <c:v>300.20999999999998</c:v>
                </c:pt>
                <c:pt idx="164">
                  <c:v>300.20999999999998</c:v>
                </c:pt>
                <c:pt idx="165">
                  <c:v>300.20999999999998</c:v>
                </c:pt>
                <c:pt idx="166">
                  <c:v>306.82</c:v>
                </c:pt>
                <c:pt idx="167">
                  <c:v>300.94</c:v>
                </c:pt>
                <c:pt idx="168">
                  <c:v>305.58</c:v>
                </c:pt>
                <c:pt idx="169">
                  <c:v>304.79000000000002</c:v>
                </c:pt>
                <c:pt idx="170">
                  <c:v>315.43</c:v>
                </c:pt>
                <c:pt idx="171">
                  <c:v>315.43</c:v>
                </c:pt>
                <c:pt idx="172">
                  <c:v>315.43</c:v>
                </c:pt>
                <c:pt idx="173">
                  <c:v>318.36</c:v>
                </c:pt>
                <c:pt idx="174">
                  <c:v>321.83999999999997</c:v>
                </c:pt>
                <c:pt idx="175">
                  <c:v>327.82</c:v>
                </c:pt>
                <c:pt idx="176">
                  <c:v>324.16000000000003</c:v>
                </c:pt>
                <c:pt idx="177">
                  <c:v>314.69</c:v>
                </c:pt>
                <c:pt idx="178">
                  <c:v>314.69</c:v>
                </c:pt>
                <c:pt idx="179">
                  <c:v>314.69</c:v>
                </c:pt>
                <c:pt idx="180">
                  <c:v>321.14999999999998</c:v>
                </c:pt>
                <c:pt idx="181">
                  <c:v>324</c:v>
                </c:pt>
                <c:pt idx="182">
                  <c:v>316.97000000000003</c:v>
                </c:pt>
                <c:pt idx="183">
                  <c:v>312.81</c:v>
                </c:pt>
                <c:pt idx="184">
                  <c:v>308.64999999999998</c:v>
                </c:pt>
                <c:pt idx="185">
                  <c:v>308.64999999999998</c:v>
                </c:pt>
                <c:pt idx="186">
                  <c:v>308.64999999999998</c:v>
                </c:pt>
                <c:pt idx="187">
                  <c:v>314.01</c:v>
                </c:pt>
                <c:pt idx="188">
                  <c:v>312.55</c:v>
                </c:pt>
                <c:pt idx="189">
                  <c:v>299.52999999999997</c:v>
                </c:pt>
                <c:pt idx="190">
                  <c:v>288.35000000000002</c:v>
                </c:pt>
                <c:pt idx="191">
                  <c:v>296.73</c:v>
                </c:pt>
                <c:pt idx="192">
                  <c:v>296.73</c:v>
                </c:pt>
                <c:pt idx="193">
                  <c:v>296.73</c:v>
                </c:pt>
                <c:pt idx="194">
                  <c:v>302.66000000000003</c:v>
                </c:pt>
                <c:pt idx="195">
                  <c:v>301.27</c:v>
                </c:pt>
                <c:pt idx="196">
                  <c:v>311.85000000000002</c:v>
                </c:pt>
                <c:pt idx="197">
                  <c:v>310.87</c:v>
                </c:pt>
                <c:pt idx="198">
                  <c:v>314.60000000000002</c:v>
                </c:pt>
                <c:pt idx="199">
                  <c:v>314.60000000000002</c:v>
                </c:pt>
                <c:pt idx="200">
                  <c:v>314.60000000000002</c:v>
                </c:pt>
                <c:pt idx="201">
                  <c:v>315.8</c:v>
                </c:pt>
                <c:pt idx="202">
                  <c:v>318.82</c:v>
                </c:pt>
                <c:pt idx="203">
                  <c:v>319.77999999999997</c:v>
                </c:pt>
                <c:pt idx="204">
                  <c:v>320.55</c:v>
                </c:pt>
                <c:pt idx="205">
                  <c:v>328.77</c:v>
                </c:pt>
                <c:pt idx="206">
                  <c:v>328.77</c:v>
                </c:pt>
                <c:pt idx="207">
                  <c:v>328.77</c:v>
                </c:pt>
                <c:pt idx="208">
                  <c:v>329.19</c:v>
                </c:pt>
                <c:pt idx="209">
                  <c:v>336.31</c:v>
                </c:pt>
                <c:pt idx="210">
                  <c:v>332.71</c:v>
                </c:pt>
                <c:pt idx="211">
                  <c:v>334.19</c:v>
                </c:pt>
                <c:pt idx="212">
                  <c:v>335.04</c:v>
                </c:pt>
                <c:pt idx="213">
                  <c:v>335.04</c:v>
                </c:pt>
                <c:pt idx="214">
                  <c:v>335.04</c:v>
                </c:pt>
                <c:pt idx="215">
                  <c:v>339.97</c:v>
                </c:pt>
                <c:pt idx="216">
                  <c:v>336.98</c:v>
                </c:pt>
                <c:pt idx="217">
                  <c:v>341.49</c:v>
                </c:pt>
                <c:pt idx="218">
                  <c:v>341.49</c:v>
                </c:pt>
                <c:pt idx="219">
                  <c:v>338.23</c:v>
                </c:pt>
                <c:pt idx="220">
                  <c:v>338.23</c:v>
                </c:pt>
                <c:pt idx="221">
                  <c:v>338.23</c:v>
                </c:pt>
                <c:pt idx="222">
                  <c:v>334.7</c:v>
                </c:pt>
                <c:pt idx="223">
                  <c:v>338.99</c:v>
                </c:pt>
                <c:pt idx="224">
                  <c:v>332.2</c:v>
                </c:pt>
                <c:pt idx="225">
                  <c:v>327.14999999999998</c:v>
                </c:pt>
                <c:pt idx="226">
                  <c:v>324.82</c:v>
                </c:pt>
                <c:pt idx="227">
                  <c:v>324.82</c:v>
                </c:pt>
                <c:pt idx="228">
                  <c:v>324.82</c:v>
                </c:pt>
                <c:pt idx="229">
                  <c:v>320.02</c:v>
                </c:pt>
                <c:pt idx="230">
                  <c:v>318.29000000000002</c:v>
                </c:pt>
                <c:pt idx="231">
                  <c:v>317.45</c:v>
                </c:pt>
                <c:pt idx="232">
                  <c:v>326.58999999999997</c:v>
                </c:pt>
                <c:pt idx="233">
                  <c:v>332.75</c:v>
                </c:pt>
                <c:pt idx="234">
                  <c:v>332.75</c:v>
                </c:pt>
                <c:pt idx="235">
                  <c:v>332.75</c:v>
                </c:pt>
                <c:pt idx="236">
                  <c:v>325.27999999999997</c:v>
                </c:pt>
                <c:pt idx="237">
                  <c:v>334.22</c:v>
                </c:pt>
                <c:pt idx="238">
                  <c:v>334.74</c:v>
                </c:pt>
                <c:pt idx="239">
                  <c:v>333.17</c:v>
                </c:pt>
                <c:pt idx="240">
                  <c:v>334.92</c:v>
                </c:pt>
                <c:pt idx="241">
                  <c:v>334.92</c:v>
                </c:pt>
                <c:pt idx="242">
                  <c:v>334.92</c:v>
                </c:pt>
                <c:pt idx="243">
                  <c:v>344.62</c:v>
                </c:pt>
                <c:pt idx="244">
                  <c:v>350.36</c:v>
                </c:pt>
                <c:pt idx="245">
                  <c:v>349.28</c:v>
                </c:pt>
                <c:pt idx="246">
                  <c:v>354.09</c:v>
                </c:pt>
                <c:pt idx="247">
                  <c:v>353.39</c:v>
                </c:pt>
                <c:pt idx="248">
                  <c:v>353.39</c:v>
                </c:pt>
                <c:pt idx="249">
                  <c:v>353.39</c:v>
                </c:pt>
                <c:pt idx="250">
                  <c:v>353.39</c:v>
                </c:pt>
                <c:pt idx="251">
                  <c:v>354.83</c:v>
                </c:pt>
                <c:pt idx="252">
                  <c:v>357.83</c:v>
                </c:pt>
                <c:pt idx="253">
                  <c:v>358.32</c:v>
                </c:pt>
                <c:pt idx="254">
                  <c:v>353.96</c:v>
                </c:pt>
                <c:pt idx="255">
                  <c:v>353.96</c:v>
                </c:pt>
                <c:pt idx="256">
                  <c:v>353.96</c:v>
                </c:pt>
                <c:pt idx="257">
                  <c:v>353.96</c:v>
                </c:pt>
                <c:pt idx="258">
                  <c:v>346.29</c:v>
                </c:pt>
                <c:pt idx="259">
                  <c:v>344.47</c:v>
                </c:pt>
                <c:pt idx="260">
                  <c:v>347.12</c:v>
                </c:pt>
                <c:pt idx="261">
                  <c:v>351.95</c:v>
                </c:pt>
                <c:pt idx="262">
                  <c:v>351.95</c:v>
                </c:pt>
                <c:pt idx="263">
                  <c:v>351.95</c:v>
                </c:pt>
                <c:pt idx="264">
                  <c:v>358.66</c:v>
                </c:pt>
                <c:pt idx="265">
                  <c:v>357.43</c:v>
                </c:pt>
                <c:pt idx="266">
                  <c:v>370.47</c:v>
                </c:pt>
                <c:pt idx="267">
                  <c:v>369.67</c:v>
                </c:pt>
                <c:pt idx="268">
                  <c:v>374.49</c:v>
                </c:pt>
                <c:pt idx="269">
                  <c:v>374.49</c:v>
                </c:pt>
                <c:pt idx="270">
                  <c:v>374.49</c:v>
                </c:pt>
                <c:pt idx="271">
                  <c:v>374.49</c:v>
                </c:pt>
                <c:pt idx="272">
                  <c:v>367.46</c:v>
                </c:pt>
                <c:pt idx="273">
                  <c:v>368.37</c:v>
                </c:pt>
                <c:pt idx="274">
                  <c:v>376.13</c:v>
                </c:pt>
                <c:pt idx="275">
                  <c:v>383.45</c:v>
                </c:pt>
                <c:pt idx="276">
                  <c:v>383.45</c:v>
                </c:pt>
                <c:pt idx="277">
                  <c:v>383.45</c:v>
                </c:pt>
                <c:pt idx="278">
                  <c:v>381.78</c:v>
                </c:pt>
                <c:pt idx="279">
                  <c:v>385.2</c:v>
                </c:pt>
                <c:pt idx="280">
                  <c:v>390.7</c:v>
                </c:pt>
                <c:pt idx="281">
                  <c:v>393.18</c:v>
                </c:pt>
                <c:pt idx="282">
                  <c:v>394.14</c:v>
                </c:pt>
                <c:pt idx="283">
                  <c:v>394.14</c:v>
                </c:pt>
                <c:pt idx="284">
                  <c:v>394.14</c:v>
                </c:pt>
                <c:pt idx="285">
                  <c:v>401.02</c:v>
                </c:pt>
                <c:pt idx="286">
                  <c:v>400.06</c:v>
                </c:pt>
                <c:pt idx="287">
                  <c:v>390.14</c:v>
                </c:pt>
                <c:pt idx="288">
                  <c:v>394.78</c:v>
                </c:pt>
                <c:pt idx="289">
                  <c:v>474.99</c:v>
                </c:pt>
                <c:pt idx="290">
                  <c:v>474.99</c:v>
                </c:pt>
                <c:pt idx="291">
                  <c:v>474.99</c:v>
                </c:pt>
                <c:pt idx="292">
                  <c:v>459.41</c:v>
                </c:pt>
                <c:pt idx="293">
                  <c:v>454.72</c:v>
                </c:pt>
                <c:pt idx="294">
                  <c:v>469.59</c:v>
                </c:pt>
                <c:pt idx="295">
                  <c:v>470</c:v>
                </c:pt>
                <c:pt idx="296">
                  <c:v>468.11</c:v>
                </c:pt>
                <c:pt idx="297">
                  <c:v>468.11</c:v>
                </c:pt>
                <c:pt idx="298">
                  <c:v>468.11</c:v>
                </c:pt>
                <c:pt idx="299">
                  <c:v>468.9</c:v>
                </c:pt>
                <c:pt idx="300">
                  <c:v>460.12</c:v>
                </c:pt>
                <c:pt idx="301">
                  <c:v>473.28</c:v>
                </c:pt>
                <c:pt idx="302">
                  <c:v>484.03</c:v>
                </c:pt>
                <c:pt idx="303">
                  <c:v>473.32</c:v>
                </c:pt>
                <c:pt idx="304">
                  <c:v>473.32</c:v>
                </c:pt>
                <c:pt idx="305">
                  <c:v>473.32</c:v>
                </c:pt>
                <c:pt idx="306">
                  <c:v>473.32</c:v>
                </c:pt>
                <c:pt idx="307">
                  <c:v>471.75</c:v>
                </c:pt>
                <c:pt idx="308">
                  <c:v>468.03</c:v>
                </c:pt>
                <c:pt idx="309">
                  <c:v>486.13</c:v>
                </c:pt>
                <c:pt idx="310">
                  <c:v>484.03</c:v>
                </c:pt>
                <c:pt idx="311">
                  <c:v>484.03</c:v>
                </c:pt>
                <c:pt idx="312">
                  <c:v>484.03</c:v>
                </c:pt>
                <c:pt idx="313">
                  <c:v>481.74</c:v>
                </c:pt>
                <c:pt idx="314">
                  <c:v>487.05</c:v>
                </c:pt>
                <c:pt idx="315">
                  <c:v>484.02</c:v>
                </c:pt>
                <c:pt idx="316">
                  <c:v>490.13</c:v>
                </c:pt>
                <c:pt idx="317">
                  <c:v>502.3</c:v>
                </c:pt>
                <c:pt idx="318">
                  <c:v>502.3</c:v>
                </c:pt>
                <c:pt idx="319">
                  <c:v>502.3</c:v>
                </c:pt>
                <c:pt idx="320">
                  <c:v>498.19</c:v>
                </c:pt>
                <c:pt idx="321">
                  <c:v>490.22</c:v>
                </c:pt>
                <c:pt idx="322">
                  <c:v>496.09</c:v>
                </c:pt>
                <c:pt idx="323">
                  <c:v>512.19000000000005</c:v>
                </c:pt>
                <c:pt idx="324">
                  <c:v>505.95</c:v>
                </c:pt>
                <c:pt idx="325">
                  <c:v>505.95</c:v>
                </c:pt>
                <c:pt idx="326">
                  <c:v>505.95</c:v>
                </c:pt>
                <c:pt idx="327">
                  <c:v>483.59</c:v>
                </c:pt>
                <c:pt idx="328">
                  <c:v>499.75</c:v>
                </c:pt>
                <c:pt idx="329">
                  <c:v>495.57</c:v>
                </c:pt>
                <c:pt idx="330">
                  <c:v>491.83</c:v>
                </c:pt>
                <c:pt idx="331">
                  <c:v>484.1</c:v>
                </c:pt>
                <c:pt idx="332">
                  <c:v>484.1</c:v>
                </c:pt>
                <c:pt idx="333">
                  <c:v>484.1</c:v>
                </c:pt>
                <c:pt idx="334">
                  <c:v>496.98</c:v>
                </c:pt>
                <c:pt idx="335">
                  <c:v>496.24</c:v>
                </c:pt>
                <c:pt idx="336">
                  <c:v>505.52</c:v>
                </c:pt>
                <c:pt idx="337">
                  <c:v>507.76</c:v>
                </c:pt>
                <c:pt idx="338">
                  <c:v>509.58</c:v>
                </c:pt>
                <c:pt idx="339">
                  <c:v>509.58</c:v>
                </c:pt>
                <c:pt idx="340">
                  <c:v>509.58</c:v>
                </c:pt>
                <c:pt idx="341">
                  <c:v>503.02</c:v>
                </c:pt>
                <c:pt idx="342">
                  <c:v>495.89</c:v>
                </c:pt>
                <c:pt idx="343">
                  <c:v>493.86</c:v>
                </c:pt>
                <c:pt idx="344">
                  <c:v>485.58</c:v>
                </c:pt>
                <c:pt idx="345">
                  <c:v>485.58</c:v>
                </c:pt>
                <c:pt idx="346">
                  <c:v>485.58</c:v>
                </c:pt>
                <c:pt idx="347">
                  <c:v>485.58</c:v>
                </c:pt>
                <c:pt idx="348">
                  <c:v>491.35</c:v>
                </c:pt>
                <c:pt idx="349">
                  <c:v>497.37</c:v>
                </c:pt>
                <c:pt idx="350">
                  <c:v>506.74</c:v>
                </c:pt>
                <c:pt idx="351">
                  <c:v>510.92</c:v>
                </c:pt>
                <c:pt idx="352">
                  <c:v>527.34</c:v>
                </c:pt>
                <c:pt idx="353">
                  <c:v>527.34</c:v>
                </c:pt>
                <c:pt idx="354">
                  <c:v>527.34</c:v>
                </c:pt>
                <c:pt idx="355">
                  <c:v>519.25</c:v>
                </c:pt>
                <c:pt idx="356">
                  <c:v>516.9</c:v>
                </c:pt>
                <c:pt idx="357">
                  <c:v>519.83000000000004</c:v>
                </c:pt>
                <c:pt idx="358">
                  <c:v>523.16</c:v>
                </c:pt>
                <c:pt idx="359">
                  <c:v>511.9</c:v>
                </c:pt>
                <c:pt idx="360">
                  <c:v>511.9</c:v>
                </c:pt>
                <c:pt idx="361">
                  <c:v>511.9</c:v>
                </c:pt>
                <c:pt idx="362">
                  <c:v>500.23</c:v>
                </c:pt>
                <c:pt idx="363">
                  <c:v>499.76</c:v>
                </c:pt>
                <c:pt idx="364">
                  <c:v>494.17</c:v>
                </c:pt>
                <c:pt idx="365">
                  <c:v>501.8</c:v>
                </c:pt>
                <c:pt idx="366">
                  <c:v>481.07</c:v>
                </c:pt>
                <c:pt idx="367">
                  <c:v>481.07</c:v>
                </c:pt>
                <c:pt idx="368">
                  <c:v>481.07</c:v>
                </c:pt>
                <c:pt idx="369">
                  <c:v>481.73</c:v>
                </c:pt>
                <c:pt idx="370">
                  <c:v>496.1</c:v>
                </c:pt>
                <c:pt idx="371">
                  <c:v>493.5</c:v>
                </c:pt>
                <c:pt idx="372">
                  <c:v>441.38</c:v>
                </c:pt>
                <c:pt idx="373">
                  <c:v>443.29</c:v>
                </c:pt>
                <c:pt idx="374">
                  <c:v>443.29</c:v>
                </c:pt>
                <c:pt idx="375">
                  <c:v>443.29</c:v>
                </c:pt>
                <c:pt idx="376">
                  <c:v>432.62</c:v>
                </c:pt>
                <c:pt idx="377">
                  <c:v>430.17</c:v>
                </c:pt>
                <c:pt idx="378">
                  <c:v>439.19</c:v>
                </c:pt>
                <c:pt idx="379">
                  <c:v>441.68</c:v>
                </c:pt>
                <c:pt idx="380">
                  <c:v>451.96</c:v>
                </c:pt>
                <c:pt idx="381">
                  <c:v>451.96</c:v>
                </c:pt>
                <c:pt idx="382">
                  <c:v>451.96</c:v>
                </c:pt>
                <c:pt idx="383">
                  <c:v>465.68</c:v>
                </c:pt>
                <c:pt idx="384">
                  <c:v>468.24</c:v>
                </c:pt>
                <c:pt idx="385">
                  <c:v>472.6</c:v>
                </c:pt>
                <c:pt idx="386">
                  <c:v>475.42</c:v>
                </c:pt>
                <c:pt idx="387">
                  <c:v>476.2</c:v>
                </c:pt>
                <c:pt idx="388">
                  <c:v>476.2</c:v>
                </c:pt>
                <c:pt idx="389">
                  <c:v>476.2</c:v>
                </c:pt>
                <c:pt idx="390">
                  <c:v>468.01</c:v>
                </c:pt>
                <c:pt idx="391">
                  <c:v>471.85</c:v>
                </c:pt>
                <c:pt idx="392">
                  <c:v>481.54</c:v>
                </c:pt>
                <c:pt idx="393">
                  <c:v>473.23</c:v>
                </c:pt>
                <c:pt idx="394">
                  <c:v>471.91</c:v>
                </c:pt>
                <c:pt idx="395">
                  <c:v>471.91</c:v>
                </c:pt>
                <c:pt idx="396">
                  <c:v>471.91</c:v>
                </c:pt>
                <c:pt idx="397">
                  <c:v>468.84</c:v>
                </c:pt>
                <c:pt idx="398">
                  <c:v>464.63</c:v>
                </c:pt>
                <c:pt idx="399">
                  <c:v>467.78</c:v>
                </c:pt>
                <c:pt idx="400">
                  <c:v>465.78</c:v>
                </c:pt>
                <c:pt idx="401">
                  <c:v>478.22</c:v>
                </c:pt>
                <c:pt idx="402">
                  <c:v>478.22</c:v>
                </c:pt>
                <c:pt idx="403">
                  <c:v>478.22</c:v>
                </c:pt>
                <c:pt idx="404">
                  <c:v>478.22</c:v>
                </c:pt>
                <c:pt idx="405">
                  <c:v>479.92</c:v>
                </c:pt>
                <c:pt idx="406">
                  <c:v>474.36</c:v>
                </c:pt>
                <c:pt idx="407">
                  <c:v>467.05</c:v>
                </c:pt>
                <c:pt idx="408">
                  <c:v>466.83</c:v>
                </c:pt>
                <c:pt idx="409">
                  <c:v>466.83</c:v>
                </c:pt>
                <c:pt idx="410">
                  <c:v>466.83</c:v>
                </c:pt>
                <c:pt idx="411">
                  <c:v>477.49</c:v>
                </c:pt>
                <c:pt idx="412">
                  <c:v>476.99</c:v>
                </c:pt>
                <c:pt idx="413">
                  <c:v>495.06</c:v>
                </c:pt>
                <c:pt idx="414">
                  <c:v>493.76</c:v>
                </c:pt>
                <c:pt idx="415">
                  <c:v>492.96</c:v>
                </c:pt>
                <c:pt idx="416">
                  <c:v>492.96</c:v>
                </c:pt>
                <c:pt idx="417">
                  <c:v>492.96</c:v>
                </c:pt>
                <c:pt idx="418">
                  <c:v>502.6</c:v>
                </c:pt>
                <c:pt idx="419">
                  <c:v>507.47</c:v>
                </c:pt>
                <c:pt idx="420">
                  <c:v>508.84</c:v>
                </c:pt>
                <c:pt idx="421">
                  <c:v>504.1</c:v>
                </c:pt>
                <c:pt idx="422">
                  <c:v>504.16</c:v>
                </c:pt>
                <c:pt idx="423">
                  <c:v>504.16</c:v>
                </c:pt>
                <c:pt idx="424">
                  <c:v>504.16</c:v>
                </c:pt>
                <c:pt idx="425">
                  <c:v>506.63</c:v>
                </c:pt>
                <c:pt idx="426">
                  <c:v>499.49</c:v>
                </c:pt>
                <c:pt idx="427">
                  <c:v>499.49</c:v>
                </c:pt>
                <c:pt idx="428">
                  <c:v>501.7</c:v>
                </c:pt>
                <c:pt idx="429">
                  <c:v>494.78</c:v>
                </c:pt>
                <c:pt idx="430">
                  <c:v>494.78</c:v>
                </c:pt>
                <c:pt idx="431">
                  <c:v>494.78</c:v>
                </c:pt>
                <c:pt idx="432">
                  <c:v>498.91</c:v>
                </c:pt>
                <c:pt idx="433">
                  <c:v>510.6</c:v>
                </c:pt>
                <c:pt idx="434">
                  <c:v>513.12</c:v>
                </c:pt>
                <c:pt idx="435">
                  <c:v>519.55999999999995</c:v>
                </c:pt>
                <c:pt idx="436">
                  <c:v>504.22</c:v>
                </c:pt>
                <c:pt idx="437">
                  <c:v>504.22</c:v>
                </c:pt>
                <c:pt idx="438">
                  <c:v>504.22</c:v>
                </c:pt>
                <c:pt idx="439">
                  <c:v>504.68</c:v>
                </c:pt>
                <c:pt idx="440">
                  <c:v>509.5</c:v>
                </c:pt>
                <c:pt idx="441">
                  <c:v>509.96</c:v>
                </c:pt>
                <c:pt idx="442">
                  <c:v>509.96</c:v>
                </c:pt>
                <c:pt idx="443">
                  <c:v>539.91</c:v>
                </c:pt>
                <c:pt idx="444">
                  <c:v>539.91</c:v>
                </c:pt>
                <c:pt idx="445">
                  <c:v>539.91</c:v>
                </c:pt>
                <c:pt idx="446">
                  <c:v>529.32000000000005</c:v>
                </c:pt>
                <c:pt idx="447">
                  <c:v>530</c:v>
                </c:pt>
                <c:pt idx="448">
                  <c:v>534.69000000000005</c:v>
                </c:pt>
                <c:pt idx="449">
                  <c:v>512.70000000000005</c:v>
                </c:pt>
                <c:pt idx="450">
                  <c:v>498.87</c:v>
                </c:pt>
                <c:pt idx="451">
                  <c:v>498.87</c:v>
                </c:pt>
                <c:pt idx="452">
                  <c:v>498.87</c:v>
                </c:pt>
                <c:pt idx="453">
                  <c:v>496.16</c:v>
                </c:pt>
                <c:pt idx="454">
                  <c:v>489.79</c:v>
                </c:pt>
                <c:pt idx="455">
                  <c:v>461.99</c:v>
                </c:pt>
                <c:pt idx="456">
                  <c:v>475.85</c:v>
                </c:pt>
                <c:pt idx="457">
                  <c:v>476.79</c:v>
                </c:pt>
                <c:pt idx="458">
                  <c:v>476.79</c:v>
                </c:pt>
                <c:pt idx="459">
                  <c:v>476.79</c:v>
                </c:pt>
                <c:pt idx="460">
                  <c:v>487.4</c:v>
                </c:pt>
                <c:pt idx="461">
                  <c:v>488.69</c:v>
                </c:pt>
                <c:pt idx="462">
                  <c:v>461.27</c:v>
                </c:pt>
                <c:pt idx="463">
                  <c:v>453.41</c:v>
                </c:pt>
                <c:pt idx="464">
                  <c:v>465.7</c:v>
                </c:pt>
                <c:pt idx="465">
                  <c:v>465.7</c:v>
                </c:pt>
                <c:pt idx="466">
                  <c:v>465.7</c:v>
                </c:pt>
                <c:pt idx="467">
                  <c:v>465.71</c:v>
                </c:pt>
                <c:pt idx="468">
                  <c:v>463.19</c:v>
                </c:pt>
                <c:pt idx="469">
                  <c:v>474.83</c:v>
                </c:pt>
                <c:pt idx="470">
                  <c:v>497.74</c:v>
                </c:pt>
                <c:pt idx="471">
                  <c:v>488.14</c:v>
                </c:pt>
                <c:pt idx="472">
                  <c:v>488.14</c:v>
                </c:pt>
                <c:pt idx="473">
                  <c:v>488.14</c:v>
                </c:pt>
                <c:pt idx="474">
                  <c:v>475.73</c:v>
                </c:pt>
                <c:pt idx="475">
                  <c:v>494.09</c:v>
                </c:pt>
                <c:pt idx="476">
                  <c:v>488.92</c:v>
                </c:pt>
                <c:pt idx="477">
                  <c:v>509.63</c:v>
                </c:pt>
                <c:pt idx="478">
                  <c:v>517.77</c:v>
                </c:pt>
                <c:pt idx="479">
                  <c:v>517.77</c:v>
                </c:pt>
                <c:pt idx="480">
                  <c:v>517.77</c:v>
                </c:pt>
                <c:pt idx="481">
                  <c:v>515.95000000000005</c:v>
                </c:pt>
                <c:pt idx="482">
                  <c:v>528.54</c:v>
                </c:pt>
                <c:pt idx="483">
                  <c:v>526.76</c:v>
                </c:pt>
                <c:pt idx="484">
                  <c:v>537.33000000000004</c:v>
                </c:pt>
                <c:pt idx="485">
                  <c:v>527.41999999999996</c:v>
                </c:pt>
                <c:pt idx="486">
                  <c:v>527.41999999999996</c:v>
                </c:pt>
                <c:pt idx="487">
                  <c:v>527.41999999999996</c:v>
                </c:pt>
                <c:pt idx="488">
                  <c:v>529.28</c:v>
                </c:pt>
                <c:pt idx="489">
                  <c:v>526.73</c:v>
                </c:pt>
                <c:pt idx="490">
                  <c:v>535.16</c:v>
                </c:pt>
                <c:pt idx="491">
                  <c:v>531.92999999999995</c:v>
                </c:pt>
                <c:pt idx="492">
                  <c:v>528</c:v>
                </c:pt>
                <c:pt idx="493">
                  <c:v>528</c:v>
                </c:pt>
                <c:pt idx="494">
                  <c:v>528</c:v>
                </c:pt>
                <c:pt idx="495">
                  <c:v>521.12</c:v>
                </c:pt>
                <c:pt idx="496">
                  <c:v>519.1</c:v>
                </c:pt>
                <c:pt idx="497">
                  <c:v>516.78</c:v>
                </c:pt>
                <c:pt idx="498">
                  <c:v>518.22</c:v>
                </c:pt>
                <c:pt idx="499">
                  <c:v>521.30999999999995</c:v>
                </c:pt>
                <c:pt idx="500">
                  <c:v>521.30999999999995</c:v>
                </c:pt>
                <c:pt idx="501">
                  <c:v>521.30999999999995</c:v>
                </c:pt>
                <c:pt idx="502">
                  <c:v>521.30999999999995</c:v>
                </c:pt>
                <c:pt idx="503">
                  <c:v>511.76</c:v>
                </c:pt>
                <c:pt idx="504">
                  <c:v>512.74</c:v>
                </c:pt>
                <c:pt idx="505">
                  <c:v>516.86</c:v>
                </c:pt>
                <c:pt idx="506">
                  <c:v>500.27</c:v>
                </c:pt>
                <c:pt idx="507">
                  <c:v>500.27</c:v>
                </c:pt>
                <c:pt idx="508">
                  <c:v>500.27</c:v>
                </c:pt>
                <c:pt idx="509">
                  <c:v>504.79</c:v>
                </c:pt>
                <c:pt idx="510">
                  <c:v>504.79</c:v>
                </c:pt>
                <c:pt idx="511">
                  <c:v>511.83</c:v>
                </c:pt>
                <c:pt idx="512">
                  <c:v>525.6</c:v>
                </c:pt>
                <c:pt idx="513">
                  <c:v>524.62</c:v>
                </c:pt>
                <c:pt idx="514">
                  <c:v>524.62</c:v>
                </c:pt>
                <c:pt idx="515">
                  <c:v>524.62</c:v>
                </c:pt>
                <c:pt idx="516">
                  <c:v>533.28</c:v>
                </c:pt>
                <c:pt idx="517">
                  <c:v>536.31500000000005</c:v>
                </c:pt>
                <c:pt idx="518">
                  <c:v>537.95000000000005</c:v>
                </c:pt>
                <c:pt idx="519">
                  <c:v>559.1</c:v>
                </c:pt>
                <c:pt idx="520">
                  <c:v>561.35</c:v>
                </c:pt>
                <c:pt idx="521">
                  <c:v>561.35</c:v>
                </c:pt>
                <c:pt idx="522">
                  <c:v>561.35</c:v>
                </c:pt>
                <c:pt idx="523">
                  <c:v>564.41</c:v>
                </c:pt>
                <c:pt idx="524">
                  <c:v>563.33000000000004</c:v>
                </c:pt>
                <c:pt idx="525">
                  <c:v>568.30999999999995</c:v>
                </c:pt>
                <c:pt idx="526">
                  <c:v>567.84</c:v>
                </c:pt>
                <c:pt idx="527">
                  <c:v>567.36</c:v>
                </c:pt>
                <c:pt idx="528">
                  <c:v>567.36</c:v>
                </c:pt>
                <c:pt idx="529">
                  <c:v>567.36</c:v>
                </c:pt>
                <c:pt idx="530">
                  <c:v>572.44000000000005</c:v>
                </c:pt>
                <c:pt idx="531">
                  <c:v>576.47</c:v>
                </c:pt>
                <c:pt idx="532">
                  <c:v>572.80999999999995</c:v>
                </c:pt>
                <c:pt idx="533">
                  <c:v>582.77</c:v>
                </c:pt>
                <c:pt idx="534">
                  <c:v>595.94000000000005</c:v>
                </c:pt>
                <c:pt idx="535">
                  <c:v>595.94000000000005</c:v>
                </c:pt>
                <c:pt idx="536">
                  <c:v>595.94000000000005</c:v>
                </c:pt>
                <c:pt idx="537">
                  <c:v>584.78</c:v>
                </c:pt>
                <c:pt idx="538">
                  <c:v>592.89</c:v>
                </c:pt>
                <c:pt idx="539">
                  <c:v>590.51</c:v>
                </c:pt>
                <c:pt idx="540">
                  <c:v>583.83000000000004</c:v>
                </c:pt>
                <c:pt idx="541">
                  <c:v>589.95000000000005</c:v>
                </c:pt>
                <c:pt idx="542">
                  <c:v>589.95000000000005</c:v>
                </c:pt>
                <c:pt idx="543">
                  <c:v>589.95000000000005</c:v>
                </c:pt>
                <c:pt idx="544">
                  <c:v>590.41999999999996</c:v>
                </c:pt>
                <c:pt idx="545">
                  <c:v>586.27</c:v>
                </c:pt>
                <c:pt idx="546">
                  <c:v>576.79</c:v>
                </c:pt>
                <c:pt idx="547">
                  <c:v>576.92999999999995</c:v>
                </c:pt>
                <c:pt idx="548">
                  <c:v>576.47</c:v>
                </c:pt>
                <c:pt idx="549">
                  <c:v>576.47</c:v>
                </c:pt>
                <c:pt idx="550">
                  <c:v>576.47</c:v>
                </c:pt>
                <c:pt idx="551">
                  <c:v>575.16</c:v>
                </c:pt>
                <c:pt idx="552">
                  <c:v>582.01</c:v>
                </c:pt>
                <c:pt idx="553">
                  <c:v>563.69000000000005</c:v>
                </c:pt>
                <c:pt idx="554">
                  <c:v>567.78</c:v>
                </c:pt>
                <c:pt idx="555">
                  <c:v>573.25</c:v>
                </c:pt>
                <c:pt idx="556">
                  <c:v>573.25</c:v>
                </c:pt>
                <c:pt idx="557">
                  <c:v>573.25</c:v>
                </c:pt>
                <c:pt idx="558">
                  <c:v>578.16</c:v>
                </c:pt>
                <c:pt idx="559">
                  <c:v>593.28</c:v>
                </c:pt>
                <c:pt idx="560">
                  <c:v>591.79999999999995</c:v>
                </c:pt>
                <c:pt idx="561">
                  <c:v>567.58000000000004</c:v>
                </c:pt>
                <c:pt idx="562">
                  <c:v>567.16</c:v>
                </c:pt>
                <c:pt idx="563">
                  <c:v>567.16</c:v>
                </c:pt>
                <c:pt idx="564">
                  <c:v>567.16</c:v>
                </c:pt>
                <c:pt idx="565">
                  <c:v>560.67999999999995</c:v>
                </c:pt>
                <c:pt idx="566">
                  <c:v>572.42999999999995</c:v>
                </c:pt>
                <c:pt idx="567">
                  <c:v>572.04999999999995</c:v>
                </c:pt>
                <c:pt idx="568">
                  <c:v>591.70000000000005</c:v>
                </c:pt>
                <c:pt idx="569">
                  <c:v>589.34</c:v>
                </c:pt>
                <c:pt idx="570">
                  <c:v>589.34</c:v>
                </c:pt>
                <c:pt idx="571">
                  <c:v>589.34</c:v>
                </c:pt>
                <c:pt idx="572">
                  <c:v>583.16999999999996</c:v>
                </c:pt>
                <c:pt idx="573">
                  <c:v>584.82000000000005</c:v>
                </c:pt>
                <c:pt idx="574">
                  <c:v>580</c:v>
                </c:pt>
                <c:pt idx="575">
                  <c:v>577.16</c:v>
                </c:pt>
                <c:pt idx="576">
                  <c:v>554.08000000000004</c:v>
                </c:pt>
                <c:pt idx="577">
                  <c:v>554.08000000000004</c:v>
                </c:pt>
                <c:pt idx="578">
                  <c:v>554.08000000000004</c:v>
                </c:pt>
                <c:pt idx="579">
                  <c:v>554.4</c:v>
                </c:pt>
                <c:pt idx="580">
                  <c:v>561.09</c:v>
                </c:pt>
                <c:pt idx="581">
                  <c:v>565.52</c:v>
                </c:pt>
                <c:pt idx="582">
                  <c:v>563.09</c:v>
                </c:pt>
                <c:pt idx="583">
                  <c:v>559.14</c:v>
                </c:pt>
                <c:pt idx="584">
                  <c:v>559.14</c:v>
                </c:pt>
                <c:pt idx="585">
                  <c:v>559.14</c:v>
                </c:pt>
                <c:pt idx="586">
                  <c:v>565.11</c:v>
                </c:pt>
                <c:pt idx="587">
                  <c:v>573.54</c:v>
                </c:pt>
                <c:pt idx="588">
                  <c:v>569.20000000000005</c:v>
                </c:pt>
                <c:pt idx="589">
                  <c:v>569.20000000000005</c:v>
                </c:pt>
                <c:pt idx="590">
                  <c:v>574.32000000000005</c:v>
                </c:pt>
                <c:pt idx="591">
                  <c:v>574.32000000000005</c:v>
                </c:pt>
                <c:pt idx="592">
                  <c:v>574.32000000000005</c:v>
                </c:pt>
                <c:pt idx="593">
                  <c:v>592.83000000000004</c:v>
                </c:pt>
                <c:pt idx="594">
                  <c:v>613.65</c:v>
                </c:pt>
                <c:pt idx="595">
                  <c:v>613.78</c:v>
                </c:pt>
                <c:pt idx="596">
                  <c:v>608.92999999999995</c:v>
                </c:pt>
                <c:pt idx="597">
                  <c:v>623.77</c:v>
                </c:pt>
                <c:pt idx="598">
                  <c:v>623.77</c:v>
                </c:pt>
                <c:pt idx="599">
                  <c:v>623.77</c:v>
                </c:pt>
                <c:pt idx="600">
                  <c:v>613.57000000000005</c:v>
                </c:pt>
                <c:pt idx="601">
                  <c:v>619.32000000000005</c:v>
                </c:pt>
                <c:pt idx="602">
                  <c:v>632.67999999999995</c:v>
                </c:pt>
                <c:pt idx="603">
                  <c:v>630.79</c:v>
                </c:pt>
                <c:pt idx="604">
                  <c:v>620.35</c:v>
                </c:pt>
                <c:pt idx="605">
                  <c:v>620.35</c:v>
                </c:pt>
                <c:pt idx="606">
                  <c:v>620.35</c:v>
                </c:pt>
                <c:pt idx="607">
                  <c:v>624.24</c:v>
                </c:pt>
                <c:pt idx="608">
                  <c:v>619.44000000000005</c:v>
                </c:pt>
                <c:pt idx="609">
                  <c:v>597.19000000000005</c:v>
                </c:pt>
                <c:pt idx="610">
                  <c:v>595.57000000000005</c:v>
                </c:pt>
                <c:pt idx="611">
                  <c:v>585.25</c:v>
                </c:pt>
                <c:pt idx="612">
                  <c:v>585.25</c:v>
                </c:pt>
                <c:pt idx="613">
                  <c:v>585.25</c:v>
                </c:pt>
                <c:pt idx="614">
                  <c:v>599.85</c:v>
                </c:pt>
                <c:pt idx="615">
                  <c:v>607.75</c:v>
                </c:pt>
                <c:pt idx="616">
                  <c:v>607.75</c:v>
                </c:pt>
                <c:pt idx="617">
                  <c:v>603.35</c:v>
                </c:pt>
                <c:pt idx="618">
                  <c:v>599.80999999999995</c:v>
                </c:pt>
                <c:pt idx="619">
                  <c:v>599.80999999999995</c:v>
                </c:pt>
                <c:pt idx="620">
                  <c:v>599.80999999999995</c:v>
                </c:pt>
                <c:pt idx="621">
                  <c:v>591.24</c:v>
                </c:pt>
                <c:pt idx="622">
                  <c:v>585.51</c:v>
                </c:pt>
                <c:pt idx="623">
                  <c:v>585.51</c:v>
                </c:pt>
                <c:pt idx="624">
                  <c:v>599.24</c:v>
                </c:pt>
                <c:pt idx="625">
                  <c:v>604.63</c:v>
                </c:pt>
                <c:pt idx="626">
                  <c:v>604.63</c:v>
                </c:pt>
                <c:pt idx="627">
                  <c:v>604.63</c:v>
                </c:pt>
                <c:pt idx="628">
                  <c:v>630.20000000000005</c:v>
                </c:pt>
                <c:pt idx="629">
                  <c:v>617.89</c:v>
                </c:pt>
                <c:pt idx="630">
                  <c:v>610.72</c:v>
                </c:pt>
                <c:pt idx="631">
                  <c:v>610.72</c:v>
                </c:pt>
                <c:pt idx="632">
                  <c:v>615.86</c:v>
                </c:pt>
                <c:pt idx="633">
                  <c:v>615.86</c:v>
                </c:pt>
                <c:pt idx="634">
                  <c:v>615.86</c:v>
                </c:pt>
                <c:pt idx="635">
                  <c:v>608.33000000000004</c:v>
                </c:pt>
                <c:pt idx="636">
                  <c:v>594.25</c:v>
                </c:pt>
                <c:pt idx="637">
                  <c:v>617.12</c:v>
                </c:pt>
                <c:pt idx="638">
                  <c:v>611.29999999999995</c:v>
                </c:pt>
                <c:pt idx="639">
                  <c:v>612.77</c:v>
                </c:pt>
                <c:pt idx="640">
                  <c:v>612.77</c:v>
                </c:pt>
                <c:pt idx="641">
                  <c:v>612.77</c:v>
                </c:pt>
                <c:pt idx="642">
                  <c:v>612.77</c:v>
                </c:pt>
                <c:pt idx="643">
                  <c:v>616.46</c:v>
                </c:pt>
                <c:pt idx="644">
                  <c:v>623.5</c:v>
                </c:pt>
                <c:pt idx="645">
                  <c:v>636.45000000000005</c:v>
                </c:pt>
                <c:pt idx="646">
                  <c:v>647.49</c:v>
                </c:pt>
                <c:pt idx="647">
                  <c:v>647.49</c:v>
                </c:pt>
                <c:pt idx="648">
                  <c:v>647.49</c:v>
                </c:pt>
                <c:pt idx="649">
                  <c:v>659.88</c:v>
                </c:pt>
                <c:pt idx="650">
                  <c:v>674.33</c:v>
                </c:pt>
                <c:pt idx="651">
                  <c:v>676.49</c:v>
                </c:pt>
                <c:pt idx="652">
                  <c:v>687</c:v>
                </c:pt>
                <c:pt idx="653">
                  <c:v>689.18</c:v>
                </c:pt>
                <c:pt idx="654">
                  <c:v>689.18</c:v>
                </c:pt>
                <c:pt idx="655">
                  <c:v>689.18</c:v>
                </c:pt>
                <c:pt idx="656">
                  <c:v>697.46</c:v>
                </c:pt>
                <c:pt idx="657">
                  <c:v>704.19</c:v>
                </c:pt>
                <c:pt idx="658">
                  <c:v>704.87</c:v>
                </c:pt>
                <c:pt idx="659">
                  <c:v>711.99</c:v>
                </c:pt>
                <c:pt idx="660">
                  <c:v>714.52</c:v>
                </c:pt>
                <c:pt idx="661">
                  <c:v>714.52</c:v>
                </c:pt>
                <c:pt idx="662">
                  <c:v>714.52</c:v>
                </c:pt>
                <c:pt idx="663">
                  <c:v>717.4</c:v>
                </c:pt>
                <c:pt idx="664">
                  <c:v>719.8</c:v>
                </c:pt>
                <c:pt idx="665">
                  <c:v>725.38</c:v>
                </c:pt>
                <c:pt idx="666">
                  <c:v>728.56</c:v>
                </c:pt>
                <c:pt idx="667">
                  <c:v>736.67</c:v>
                </c:pt>
                <c:pt idx="668">
                  <c:v>736.67</c:v>
                </c:pt>
                <c:pt idx="669">
                  <c:v>736.67</c:v>
                </c:pt>
                <c:pt idx="670">
                  <c:v>736.67</c:v>
                </c:pt>
                <c:pt idx="671">
                  <c:v>716.37</c:v>
                </c:pt>
                <c:pt idx="672">
                  <c:v>703.77</c:v>
                </c:pt>
                <c:pt idx="673">
                  <c:v>694.84</c:v>
                </c:pt>
                <c:pt idx="674">
                  <c:v>683.55</c:v>
                </c:pt>
                <c:pt idx="675">
                  <c:v>683.55</c:v>
                </c:pt>
                <c:pt idx="676">
                  <c:v>683.55</c:v>
                </c:pt>
                <c:pt idx="677">
                  <c:v>668.13</c:v>
                </c:pt>
                <c:pt idx="678">
                  <c:v>657.5</c:v>
                </c:pt>
                <c:pt idx="679">
                  <c:v>673.7</c:v>
                </c:pt>
                <c:pt idx="680">
                  <c:v>658.24</c:v>
                </c:pt>
                <c:pt idx="681">
                  <c:v>668.2</c:v>
                </c:pt>
                <c:pt idx="682">
                  <c:v>668.2</c:v>
                </c:pt>
                <c:pt idx="683">
                  <c:v>668.2</c:v>
                </c:pt>
                <c:pt idx="684">
                  <c:v>655.04999999999995</c:v>
                </c:pt>
                <c:pt idx="685">
                  <c:v>640</c:v>
                </c:pt>
                <c:pt idx="686">
                  <c:v>656.47</c:v>
                </c:pt>
                <c:pt idx="687">
                  <c:v>627.92999999999995</c:v>
                </c:pt>
                <c:pt idx="688">
                  <c:v>625.66</c:v>
                </c:pt>
                <c:pt idx="689">
                  <c:v>625.66</c:v>
                </c:pt>
                <c:pt idx="690">
                  <c:v>625.66</c:v>
                </c:pt>
                <c:pt idx="691">
                  <c:v>597.99</c:v>
                </c:pt>
                <c:pt idx="692">
                  <c:v>605.71</c:v>
                </c:pt>
                <c:pt idx="693">
                  <c:v>619.55999999999995</c:v>
                </c:pt>
                <c:pt idx="694">
                  <c:v>590.64</c:v>
                </c:pt>
                <c:pt idx="695">
                  <c:v>607.6</c:v>
                </c:pt>
                <c:pt idx="696">
                  <c:v>607.6</c:v>
                </c:pt>
                <c:pt idx="697">
                  <c:v>607.6</c:v>
                </c:pt>
                <c:pt idx="698">
                  <c:v>604.9</c:v>
                </c:pt>
                <c:pt idx="699">
                  <c:v>582.36</c:v>
                </c:pt>
                <c:pt idx="700">
                  <c:v>584.05999999999995</c:v>
                </c:pt>
                <c:pt idx="701">
                  <c:v>586</c:v>
                </c:pt>
                <c:pt idx="702">
                  <c:v>596.25</c:v>
                </c:pt>
                <c:pt idx="703">
                  <c:v>596.25</c:v>
                </c:pt>
                <c:pt idx="704">
                  <c:v>596.25</c:v>
                </c:pt>
                <c:pt idx="705">
                  <c:v>618.85</c:v>
                </c:pt>
                <c:pt idx="706">
                  <c:v>626.30999999999995</c:v>
                </c:pt>
                <c:pt idx="707">
                  <c:v>610.98</c:v>
                </c:pt>
                <c:pt idx="708">
                  <c:v>602.58000000000004</c:v>
                </c:pt>
                <c:pt idx="709">
                  <c:v>576.74</c:v>
                </c:pt>
                <c:pt idx="710">
                  <c:v>576.74</c:v>
                </c:pt>
                <c:pt idx="711">
                  <c:v>576.74</c:v>
                </c:pt>
                <c:pt idx="712">
                  <c:v>576.36</c:v>
                </c:pt>
                <c:pt idx="713">
                  <c:v>586</c:v>
                </c:pt>
                <c:pt idx="714">
                  <c:v>583.92999999999995</c:v>
                </c:pt>
                <c:pt idx="715">
                  <c:v>531.62</c:v>
                </c:pt>
                <c:pt idx="716">
                  <c:v>504.73</c:v>
                </c:pt>
                <c:pt idx="717">
                  <c:v>504.73</c:v>
                </c:pt>
                <c:pt idx="718">
                  <c:v>504.73</c:v>
                </c:pt>
                <c:pt idx="719">
                  <c:v>516.25</c:v>
                </c:pt>
                <c:pt idx="720">
                  <c:v>510.45</c:v>
                </c:pt>
                <c:pt idx="721">
                  <c:v>585.77</c:v>
                </c:pt>
                <c:pt idx="722">
                  <c:v>546.29</c:v>
                </c:pt>
                <c:pt idx="723">
                  <c:v>543.57000000000005</c:v>
                </c:pt>
                <c:pt idx="724">
                  <c:v>543.57000000000005</c:v>
                </c:pt>
                <c:pt idx="725">
                  <c:v>543.57000000000005</c:v>
                </c:pt>
                <c:pt idx="726">
                  <c:v>531.48</c:v>
                </c:pt>
                <c:pt idx="727">
                  <c:v>521.52</c:v>
                </c:pt>
                <c:pt idx="728">
                  <c:v>502.31</c:v>
                </c:pt>
                <c:pt idx="729">
                  <c:v>501.48</c:v>
                </c:pt>
                <c:pt idx="730">
                  <c:v>501.48</c:v>
                </c:pt>
                <c:pt idx="731">
                  <c:v>501.48</c:v>
                </c:pt>
                <c:pt idx="732">
                  <c:v>501.48</c:v>
                </c:pt>
                <c:pt idx="733">
                  <c:v>484.66</c:v>
                </c:pt>
                <c:pt idx="734">
                  <c:v>500.28</c:v>
                </c:pt>
                <c:pt idx="735">
                  <c:v>520.27</c:v>
                </c:pt>
                <c:pt idx="736">
                  <c:v>533.15</c:v>
                </c:pt>
                <c:pt idx="737">
                  <c:v>547.27</c:v>
                </c:pt>
                <c:pt idx="738">
                  <c:v>547.27</c:v>
                </c:pt>
                <c:pt idx="739">
                  <c:v>547.27</c:v>
                </c:pt>
                <c:pt idx="740">
                  <c:v>549.74</c:v>
                </c:pt>
                <c:pt idx="741">
                  <c:v>554.44000000000005</c:v>
                </c:pt>
                <c:pt idx="742">
                  <c:v>549</c:v>
                </c:pt>
                <c:pt idx="743">
                  <c:v>572.21</c:v>
                </c:pt>
                <c:pt idx="744">
                  <c:v>597.02</c:v>
                </c:pt>
                <c:pt idx="745">
                  <c:v>597.02</c:v>
                </c:pt>
                <c:pt idx="746">
                  <c:v>597.02</c:v>
                </c:pt>
                <c:pt idx="747">
                  <c:v>599.27</c:v>
                </c:pt>
                <c:pt idx="748">
                  <c:v>587.30999999999995</c:v>
                </c:pt>
                <c:pt idx="749">
                  <c:v>596.80999999999995</c:v>
                </c:pt>
                <c:pt idx="750">
                  <c:v>598.01</c:v>
                </c:pt>
                <c:pt idx="751">
                  <c:v>592.49</c:v>
                </c:pt>
                <c:pt idx="752">
                  <c:v>592.49</c:v>
                </c:pt>
                <c:pt idx="753">
                  <c:v>592.49</c:v>
                </c:pt>
                <c:pt idx="754">
                  <c:v>639.42999999999995</c:v>
                </c:pt>
                <c:pt idx="755">
                  <c:v>656.03</c:v>
                </c:pt>
                <c:pt idx="756">
                  <c:v>659.36</c:v>
                </c:pt>
                <c:pt idx="757">
                  <c:v>643.88</c:v>
                </c:pt>
                <c:pt idx="758">
                  <c:v>640.34</c:v>
                </c:pt>
                <c:pt idx="759">
                  <c:v>640.34</c:v>
                </c:pt>
                <c:pt idx="760">
                  <c:v>640.34</c:v>
                </c:pt>
                <c:pt idx="761">
                  <c:v>640.42999999999995</c:v>
                </c:pt>
                <c:pt idx="762">
                  <c:v>637.1</c:v>
                </c:pt>
                <c:pt idx="763">
                  <c:v>635.5</c:v>
                </c:pt>
                <c:pt idx="764">
                  <c:v>636.57000000000005</c:v>
                </c:pt>
                <c:pt idx="765">
                  <c:v>627.05999999999995</c:v>
                </c:pt>
                <c:pt idx="766">
                  <c:v>627.05999999999995</c:v>
                </c:pt>
                <c:pt idx="767">
                  <c:v>627.05999999999995</c:v>
                </c:pt>
                <c:pt idx="768">
                  <c:v>627.05999999999995</c:v>
                </c:pt>
                <c:pt idx="769">
                  <c:v>642.32000000000005</c:v>
                </c:pt>
                <c:pt idx="770">
                  <c:v>643.58000000000004</c:v>
                </c:pt>
                <c:pt idx="771">
                  <c:v>645.04999999999995</c:v>
                </c:pt>
                <c:pt idx="772">
                  <c:v>647.49</c:v>
                </c:pt>
                <c:pt idx="773">
                  <c:v>647.49</c:v>
                </c:pt>
                <c:pt idx="774">
                  <c:v>647.49</c:v>
                </c:pt>
                <c:pt idx="775">
                  <c:v>670.9</c:v>
                </c:pt>
                <c:pt idx="776">
                  <c:v>666.85</c:v>
                </c:pt>
                <c:pt idx="777">
                  <c:v>687.95</c:v>
                </c:pt>
                <c:pt idx="778">
                  <c:v>684.62</c:v>
                </c:pt>
                <c:pt idx="779">
                  <c:v>697.71</c:v>
                </c:pt>
                <c:pt idx="780">
                  <c:v>697.71</c:v>
                </c:pt>
                <c:pt idx="781">
                  <c:v>697.71</c:v>
                </c:pt>
                <c:pt idx="782">
                  <c:v>694.06</c:v>
                </c:pt>
                <c:pt idx="783">
                  <c:v>702.4</c:v>
                </c:pt>
                <c:pt idx="784">
                  <c:v>694.14</c:v>
                </c:pt>
                <c:pt idx="785">
                  <c:v>693.36</c:v>
                </c:pt>
                <c:pt idx="786">
                  <c:v>682.87</c:v>
                </c:pt>
                <c:pt idx="787">
                  <c:v>682.87</c:v>
                </c:pt>
                <c:pt idx="788">
                  <c:v>682.87</c:v>
                </c:pt>
                <c:pt idx="789">
                  <c:v>702.12</c:v>
                </c:pt>
                <c:pt idx="790">
                  <c:v>697.23</c:v>
                </c:pt>
                <c:pt idx="791">
                  <c:v>695.77</c:v>
                </c:pt>
                <c:pt idx="792">
                  <c:v>695.77</c:v>
                </c:pt>
                <c:pt idx="793">
                  <c:v>682.35</c:v>
                </c:pt>
                <c:pt idx="794">
                  <c:v>682.35</c:v>
                </c:pt>
                <c:pt idx="795">
                  <c:v>682.35</c:v>
                </c:pt>
                <c:pt idx="796">
                  <c:v>698.53</c:v>
                </c:pt>
                <c:pt idx="797">
                  <c:v>712.2</c:v>
                </c:pt>
                <c:pt idx="798">
                  <c:v>708.68</c:v>
                </c:pt>
                <c:pt idx="799">
                  <c:v>726.09</c:v>
                </c:pt>
                <c:pt idx="800">
                  <c:v>733.63</c:v>
                </c:pt>
                <c:pt idx="801">
                  <c:v>733.63</c:v>
                </c:pt>
                <c:pt idx="802">
                  <c:v>733.63</c:v>
                </c:pt>
                <c:pt idx="803">
                  <c:v>738.09</c:v>
                </c:pt>
                <c:pt idx="804">
                  <c:v>719.22</c:v>
                </c:pt>
                <c:pt idx="805">
                  <c:v>713.57</c:v>
                </c:pt>
                <c:pt idx="806">
                  <c:v>719.01</c:v>
                </c:pt>
                <c:pt idx="807">
                  <c:v>719.01</c:v>
                </c:pt>
                <c:pt idx="808">
                  <c:v>719.01</c:v>
                </c:pt>
                <c:pt idx="809">
                  <c:v>719.01</c:v>
                </c:pt>
                <c:pt idx="810">
                  <c:v>718.35</c:v>
                </c:pt>
                <c:pt idx="811">
                  <c:v>720.67</c:v>
                </c:pt>
                <c:pt idx="812">
                  <c:v>732.78</c:v>
                </c:pt>
                <c:pt idx="813">
                  <c:v>727.24</c:v>
                </c:pt>
                <c:pt idx="814">
                  <c:v>717.51</c:v>
                </c:pt>
                <c:pt idx="815">
                  <c:v>717.51</c:v>
                </c:pt>
                <c:pt idx="816">
                  <c:v>717.51</c:v>
                </c:pt>
                <c:pt idx="817">
                  <c:v>720.92</c:v>
                </c:pt>
                <c:pt idx="818">
                  <c:v>710.39</c:v>
                </c:pt>
                <c:pt idx="819">
                  <c:v>702.91</c:v>
                </c:pt>
                <c:pt idx="820">
                  <c:v>701.41</c:v>
                </c:pt>
                <c:pt idx="821">
                  <c:v>704.28</c:v>
                </c:pt>
                <c:pt idx="822">
                  <c:v>704.28</c:v>
                </c:pt>
                <c:pt idx="823">
                  <c:v>704.28</c:v>
                </c:pt>
                <c:pt idx="824">
                  <c:v>712.96500000000003</c:v>
                </c:pt>
                <c:pt idx="825">
                  <c:v>704.81</c:v>
                </c:pt>
                <c:pt idx="826">
                  <c:v>713.58</c:v>
                </c:pt>
                <c:pt idx="827">
                  <c:v>714.8</c:v>
                </c:pt>
                <c:pt idx="828">
                  <c:v>712.68</c:v>
                </c:pt>
                <c:pt idx="829">
                  <c:v>712.68</c:v>
                </c:pt>
                <c:pt idx="830">
                  <c:v>712.68</c:v>
                </c:pt>
                <c:pt idx="831">
                  <c:v>717.63</c:v>
                </c:pt>
                <c:pt idx="832">
                  <c:v>700</c:v>
                </c:pt>
                <c:pt idx="833">
                  <c:v>695.21</c:v>
                </c:pt>
                <c:pt idx="834">
                  <c:v>773.44</c:v>
                </c:pt>
                <c:pt idx="835">
                  <c:v>750.01</c:v>
                </c:pt>
                <c:pt idx="836">
                  <c:v>750.01</c:v>
                </c:pt>
                <c:pt idx="837">
                  <c:v>750.01</c:v>
                </c:pt>
                <c:pt idx="838">
                  <c:v>776.37</c:v>
                </c:pt>
                <c:pt idx="839">
                  <c:v>763.46</c:v>
                </c:pt>
                <c:pt idx="840">
                  <c:v>771.99</c:v>
                </c:pt>
                <c:pt idx="841">
                  <c:v>761.83</c:v>
                </c:pt>
                <c:pt idx="842">
                  <c:v>769.3</c:v>
                </c:pt>
                <c:pt idx="843">
                  <c:v>769.3</c:v>
                </c:pt>
                <c:pt idx="844">
                  <c:v>769.3</c:v>
                </c:pt>
                <c:pt idx="845">
                  <c:v>765.87</c:v>
                </c:pt>
                <c:pt idx="846">
                  <c:v>790</c:v>
                </c:pt>
                <c:pt idx="847">
                  <c:v>780.08</c:v>
                </c:pt>
                <c:pt idx="848">
                  <c:v>782.13</c:v>
                </c:pt>
                <c:pt idx="849">
                  <c:v>785.23</c:v>
                </c:pt>
                <c:pt idx="850">
                  <c:v>785.23</c:v>
                </c:pt>
                <c:pt idx="851">
                  <c:v>785.23</c:v>
                </c:pt>
                <c:pt idx="852">
                  <c:v>767.37</c:v>
                </c:pt>
                <c:pt idx="853">
                  <c:v>751.48</c:v>
                </c:pt>
                <c:pt idx="854">
                  <c:v>747.72</c:v>
                </c:pt>
                <c:pt idx="855">
                  <c:v>739.1</c:v>
                </c:pt>
                <c:pt idx="856">
                  <c:v>754.79</c:v>
                </c:pt>
                <c:pt idx="857">
                  <c:v>754.79</c:v>
                </c:pt>
                <c:pt idx="858">
                  <c:v>754.79</c:v>
                </c:pt>
                <c:pt idx="859">
                  <c:v>753.3</c:v>
                </c:pt>
                <c:pt idx="860">
                  <c:v>754.1</c:v>
                </c:pt>
                <c:pt idx="861">
                  <c:v>747.38</c:v>
                </c:pt>
                <c:pt idx="862">
                  <c:v>751.11</c:v>
                </c:pt>
                <c:pt idx="863">
                  <c:v>738.7</c:v>
                </c:pt>
                <c:pt idx="864">
                  <c:v>738.7</c:v>
                </c:pt>
                <c:pt idx="865">
                  <c:v>738.7</c:v>
                </c:pt>
                <c:pt idx="866">
                  <c:v>738.7</c:v>
                </c:pt>
                <c:pt idx="867">
                  <c:v>735.11</c:v>
                </c:pt>
                <c:pt idx="868">
                  <c:v>737.05</c:v>
                </c:pt>
                <c:pt idx="869">
                  <c:v>748.65</c:v>
                </c:pt>
                <c:pt idx="870">
                  <c:v>752.45</c:v>
                </c:pt>
                <c:pt idx="871">
                  <c:v>752.45</c:v>
                </c:pt>
                <c:pt idx="872">
                  <c:v>752.45</c:v>
                </c:pt>
                <c:pt idx="873">
                  <c:v>752.3</c:v>
                </c:pt>
                <c:pt idx="874">
                  <c:v>765.7</c:v>
                </c:pt>
                <c:pt idx="875">
                  <c:v>751.98</c:v>
                </c:pt>
                <c:pt idx="876">
                  <c:v>750.9</c:v>
                </c:pt>
                <c:pt idx="877">
                  <c:v>755.59</c:v>
                </c:pt>
                <c:pt idx="878">
                  <c:v>755.59</c:v>
                </c:pt>
                <c:pt idx="879">
                  <c:v>755.59</c:v>
                </c:pt>
                <c:pt idx="880">
                  <c:v>764.7</c:v>
                </c:pt>
                <c:pt idx="881">
                  <c:v>779</c:v>
                </c:pt>
                <c:pt idx="882">
                  <c:v>775.71500000000003</c:v>
                </c:pt>
                <c:pt idx="883">
                  <c:v>780.25</c:v>
                </c:pt>
                <c:pt idx="884">
                  <c:v>778.38</c:v>
                </c:pt>
                <c:pt idx="885">
                  <c:v>778.38</c:v>
                </c:pt>
                <c:pt idx="886">
                  <c:v>778.38</c:v>
                </c:pt>
                <c:pt idx="887">
                  <c:v>765.16</c:v>
                </c:pt>
                <c:pt idx="888">
                  <c:v>755.4</c:v>
                </c:pt>
                <c:pt idx="889">
                  <c:v>760.66</c:v>
                </c:pt>
                <c:pt idx="890">
                  <c:v>748.91</c:v>
                </c:pt>
                <c:pt idx="891">
                  <c:v>743.75</c:v>
                </c:pt>
                <c:pt idx="892">
                  <c:v>743.75</c:v>
                </c:pt>
                <c:pt idx="893">
                  <c:v>743.75</c:v>
                </c:pt>
                <c:pt idx="894">
                  <c:v>743.4</c:v>
                </c:pt>
                <c:pt idx="895">
                  <c:v>734.38</c:v>
                </c:pt>
                <c:pt idx="896">
                  <c:v>717.34</c:v>
                </c:pt>
                <c:pt idx="897">
                  <c:v>727.05</c:v>
                </c:pt>
                <c:pt idx="898">
                  <c:v>710.56</c:v>
                </c:pt>
                <c:pt idx="899">
                  <c:v>710.56</c:v>
                </c:pt>
                <c:pt idx="900">
                  <c:v>710.56</c:v>
                </c:pt>
                <c:pt idx="901">
                  <c:v>715.66</c:v>
                </c:pt>
                <c:pt idx="902">
                  <c:v>713.08</c:v>
                </c:pt>
                <c:pt idx="903">
                  <c:v>717.84</c:v>
                </c:pt>
                <c:pt idx="904">
                  <c:v>733.51</c:v>
                </c:pt>
                <c:pt idx="905">
                  <c:v>705.3</c:v>
                </c:pt>
                <c:pt idx="906">
                  <c:v>705.3</c:v>
                </c:pt>
                <c:pt idx="907">
                  <c:v>705.3</c:v>
                </c:pt>
                <c:pt idx="908">
                  <c:v>715.7</c:v>
                </c:pt>
                <c:pt idx="909">
                  <c:v>708.65</c:v>
                </c:pt>
                <c:pt idx="910">
                  <c:v>717.55</c:v>
                </c:pt>
                <c:pt idx="911">
                  <c:v>712.07</c:v>
                </c:pt>
                <c:pt idx="912">
                  <c:v>716.91499999999996</c:v>
                </c:pt>
                <c:pt idx="913">
                  <c:v>716.91499999999996</c:v>
                </c:pt>
                <c:pt idx="914">
                  <c:v>716.91499999999996</c:v>
                </c:pt>
                <c:pt idx="915">
                  <c:v>732.17</c:v>
                </c:pt>
                <c:pt idx="916">
                  <c:v>733.27</c:v>
                </c:pt>
                <c:pt idx="917">
                  <c:v>733.41</c:v>
                </c:pt>
                <c:pt idx="918">
                  <c:v>734</c:v>
                </c:pt>
                <c:pt idx="919">
                  <c:v>738.36</c:v>
                </c:pt>
                <c:pt idx="920">
                  <c:v>738.36</c:v>
                </c:pt>
                <c:pt idx="921">
                  <c:v>738.36</c:v>
                </c:pt>
                <c:pt idx="922">
                  <c:v>750.82</c:v>
                </c:pt>
                <c:pt idx="923">
                  <c:v>751.44</c:v>
                </c:pt>
                <c:pt idx="924">
                  <c:v>751.67</c:v>
                </c:pt>
                <c:pt idx="925">
                  <c:v>666.47</c:v>
                </c:pt>
                <c:pt idx="926">
                  <c:v>648.35</c:v>
                </c:pt>
                <c:pt idx="927">
                  <c:v>648.35</c:v>
                </c:pt>
                <c:pt idx="928">
                  <c:v>648.35</c:v>
                </c:pt>
                <c:pt idx="929">
                  <c:v>637.71</c:v>
                </c:pt>
                <c:pt idx="930">
                  <c:v>627.32000000000005</c:v>
                </c:pt>
                <c:pt idx="931">
                  <c:v>635.95000000000005</c:v>
                </c:pt>
                <c:pt idx="932">
                  <c:v>618.94000000000005</c:v>
                </c:pt>
                <c:pt idx="933">
                  <c:v>621.71</c:v>
                </c:pt>
                <c:pt idx="934">
                  <c:v>621.71</c:v>
                </c:pt>
                <c:pt idx="935">
                  <c:v>621.71</c:v>
                </c:pt>
                <c:pt idx="936">
                  <c:v>631.76</c:v>
                </c:pt>
                <c:pt idx="937">
                  <c:v>627.08000000000004</c:v>
                </c:pt>
                <c:pt idx="938">
                  <c:v>609.01</c:v>
                </c:pt>
                <c:pt idx="939">
                  <c:v>609.89</c:v>
                </c:pt>
                <c:pt idx="940">
                  <c:v>609.46</c:v>
                </c:pt>
                <c:pt idx="941">
                  <c:v>609.46</c:v>
                </c:pt>
                <c:pt idx="942">
                  <c:v>609.46</c:v>
                </c:pt>
                <c:pt idx="943">
                  <c:v>602.01</c:v>
                </c:pt>
                <c:pt idx="944">
                  <c:v>597.69000000000005</c:v>
                </c:pt>
                <c:pt idx="945">
                  <c:v>590.32000000000005</c:v>
                </c:pt>
                <c:pt idx="946">
                  <c:v>589.15</c:v>
                </c:pt>
                <c:pt idx="947">
                  <c:v>594.25</c:v>
                </c:pt>
                <c:pt idx="948">
                  <c:v>594.25</c:v>
                </c:pt>
                <c:pt idx="949">
                  <c:v>594.25</c:v>
                </c:pt>
                <c:pt idx="950">
                  <c:v>613.04999999999995</c:v>
                </c:pt>
                <c:pt idx="951">
                  <c:v>636.22</c:v>
                </c:pt>
                <c:pt idx="952">
                  <c:v>633.61</c:v>
                </c:pt>
                <c:pt idx="953">
                  <c:v>633.61</c:v>
                </c:pt>
                <c:pt idx="954">
                  <c:v>647.95000000000005</c:v>
                </c:pt>
                <c:pt idx="955">
                  <c:v>647.95000000000005</c:v>
                </c:pt>
                <c:pt idx="956">
                  <c:v>647.95000000000005</c:v>
                </c:pt>
                <c:pt idx="957">
                  <c:v>640.87</c:v>
                </c:pt>
                <c:pt idx="958">
                  <c:v>647.1</c:v>
                </c:pt>
                <c:pt idx="959">
                  <c:v>639.6</c:v>
                </c:pt>
                <c:pt idx="960">
                  <c:v>661.53</c:v>
                </c:pt>
                <c:pt idx="961">
                  <c:v>673.42</c:v>
                </c:pt>
                <c:pt idx="962">
                  <c:v>673.42</c:v>
                </c:pt>
                <c:pt idx="963">
                  <c:v>673.42</c:v>
                </c:pt>
                <c:pt idx="964">
                  <c:v>666.8</c:v>
                </c:pt>
                <c:pt idx="965">
                  <c:v>656.96</c:v>
                </c:pt>
                <c:pt idx="966">
                  <c:v>650.13</c:v>
                </c:pt>
                <c:pt idx="967">
                  <c:v>652.71</c:v>
                </c:pt>
                <c:pt idx="968">
                  <c:v>644.23</c:v>
                </c:pt>
                <c:pt idx="969">
                  <c:v>644.23</c:v>
                </c:pt>
                <c:pt idx="970">
                  <c:v>644.23</c:v>
                </c:pt>
                <c:pt idx="971">
                  <c:v>647.51</c:v>
                </c:pt>
                <c:pt idx="972">
                  <c:v>657.15</c:v>
                </c:pt>
                <c:pt idx="973">
                  <c:v>649.5</c:v>
                </c:pt>
                <c:pt idx="974">
                  <c:v>664.45</c:v>
                </c:pt>
                <c:pt idx="975">
                  <c:v>658.77</c:v>
                </c:pt>
                <c:pt idx="976">
                  <c:v>658.77</c:v>
                </c:pt>
                <c:pt idx="977">
                  <c:v>658.77</c:v>
                </c:pt>
                <c:pt idx="978">
                  <c:v>661.5</c:v>
                </c:pt>
                <c:pt idx="979">
                  <c:v>664.94</c:v>
                </c:pt>
                <c:pt idx="980">
                  <c:v>667.55</c:v>
                </c:pt>
                <c:pt idx="981">
                  <c:v>667.55</c:v>
                </c:pt>
                <c:pt idx="982">
                  <c:v>663.29</c:v>
                </c:pt>
                <c:pt idx="983">
                  <c:v>663.29</c:v>
                </c:pt>
                <c:pt idx="984">
                  <c:v>663.29</c:v>
                </c:pt>
                <c:pt idx="985">
                  <c:v>658.69</c:v>
                </c:pt>
                <c:pt idx="986">
                  <c:v>665.95</c:v>
                </c:pt>
                <c:pt idx="987">
                  <c:v>660.09</c:v>
                </c:pt>
                <c:pt idx="988">
                  <c:v>660.09</c:v>
                </c:pt>
                <c:pt idx="989">
                  <c:v>650.41</c:v>
                </c:pt>
                <c:pt idx="990">
                  <c:v>650.41</c:v>
                </c:pt>
                <c:pt idx="991">
                  <c:v>650.41</c:v>
                </c:pt>
                <c:pt idx="992">
                  <c:v>658.79</c:v>
                </c:pt>
                <c:pt idx="993">
                  <c:v>660.62</c:v>
                </c:pt>
                <c:pt idx="994">
                  <c:v>648.69000000000005</c:v>
                </c:pt>
                <c:pt idx="995">
                  <c:v>646.05999999999995</c:v>
                </c:pt>
                <c:pt idx="996">
                  <c:v>653.05999999999995</c:v>
                </c:pt>
                <c:pt idx="997">
                  <c:v>653.05999999999995</c:v>
                </c:pt>
                <c:pt idx="998">
                  <c:v>653.05999999999995</c:v>
                </c:pt>
                <c:pt idx="999">
                  <c:v>641.97</c:v>
                </c:pt>
                <c:pt idx="1000">
                  <c:v>631.09</c:v>
                </c:pt>
                <c:pt idx="1001">
                  <c:v>615.52</c:v>
                </c:pt>
                <c:pt idx="1002">
                  <c:v>620.79999999999995</c:v>
                </c:pt>
                <c:pt idx="1003">
                  <c:v>620.25</c:v>
                </c:pt>
                <c:pt idx="1004">
                  <c:v>620.25</c:v>
                </c:pt>
                <c:pt idx="1005">
                  <c:v>620.25</c:v>
                </c:pt>
                <c:pt idx="1006">
                  <c:v>620.25</c:v>
                </c:pt>
                <c:pt idx="1007">
                  <c:v>604.12</c:v>
                </c:pt>
                <c:pt idx="1008">
                  <c:v>612.96</c:v>
                </c:pt>
                <c:pt idx="1009">
                  <c:v>647.63</c:v>
                </c:pt>
                <c:pt idx="1010">
                  <c:v>658.76</c:v>
                </c:pt>
                <c:pt idx="1011">
                  <c:v>658.76</c:v>
                </c:pt>
                <c:pt idx="1012">
                  <c:v>658.76</c:v>
                </c:pt>
                <c:pt idx="1013">
                  <c:v>672.36</c:v>
                </c:pt>
                <c:pt idx="1014">
                  <c:v>672.97</c:v>
                </c:pt>
                <c:pt idx="1015">
                  <c:v>668.73</c:v>
                </c:pt>
                <c:pt idx="1016">
                  <c:v>738.31</c:v>
                </c:pt>
                <c:pt idx="1017">
                  <c:v>716.5</c:v>
                </c:pt>
                <c:pt idx="1018">
                  <c:v>716.5</c:v>
                </c:pt>
                <c:pt idx="1019">
                  <c:v>716.5</c:v>
                </c:pt>
                <c:pt idx="1020">
                  <c:v>706.41</c:v>
                </c:pt>
                <c:pt idx="1021">
                  <c:v>691.7</c:v>
                </c:pt>
                <c:pt idx="1022">
                  <c:v>668.99</c:v>
                </c:pt>
                <c:pt idx="1023">
                  <c:v>670.21</c:v>
                </c:pt>
                <c:pt idx="1024">
                  <c:v>661.46</c:v>
                </c:pt>
                <c:pt idx="1025">
                  <c:v>661.46</c:v>
                </c:pt>
                <c:pt idx="1026">
                  <c:v>661.46</c:v>
                </c:pt>
                <c:pt idx="1027">
                  <c:v>677.22</c:v>
                </c:pt>
                <c:pt idx="1028">
                  <c:v>670.72</c:v>
                </c:pt>
                <c:pt idx="1029">
                  <c:v>668.69</c:v>
                </c:pt>
                <c:pt idx="1030">
                  <c:v>649.80999999999995</c:v>
                </c:pt>
                <c:pt idx="1031">
                  <c:v>639.77</c:v>
                </c:pt>
                <c:pt idx="1032">
                  <c:v>639.77</c:v>
                </c:pt>
                <c:pt idx="1033">
                  <c:v>639.77</c:v>
                </c:pt>
                <c:pt idx="1034">
                  <c:v>639.77</c:v>
                </c:pt>
                <c:pt idx="1035">
                  <c:v>639.29</c:v>
                </c:pt>
                <c:pt idx="1036">
                  <c:v>643.22</c:v>
                </c:pt>
                <c:pt idx="1037">
                  <c:v>644.78</c:v>
                </c:pt>
                <c:pt idx="1038">
                  <c:v>655.66</c:v>
                </c:pt>
                <c:pt idx="1039">
                  <c:v>655.66</c:v>
                </c:pt>
                <c:pt idx="1040">
                  <c:v>655.66</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644.86</c:v>
                </c:pt>
                <c:pt idx="1054">
                  <c:v>644.86</c:v>
                </c:pt>
                <c:pt idx="1055">
                  <c:v>647.39</c:v>
                </c:pt>
                <c:pt idx="1056">
                  <c:v>654.07000000000005</c:v>
                </c:pt>
                <c:pt idx="1057">
                  <c:v>654.86</c:v>
                </c:pt>
                <c:pt idx="1058">
                  <c:v>638.17999999999995</c:v>
                </c:pt>
                <c:pt idx="1059">
                  <c:v>613.71</c:v>
                </c:pt>
                <c:pt idx="1060">
                  <c:v>613.71</c:v>
                </c:pt>
                <c:pt idx="1061">
                  <c:v>613.71</c:v>
                </c:pt>
                <c:pt idx="1062">
                  <c:v>627.45000000000005</c:v>
                </c:pt>
                <c:pt idx="1063">
                  <c:v>622.66</c:v>
                </c:pt>
                <c:pt idx="1064">
                  <c:v>615.67999999999995</c:v>
                </c:pt>
                <c:pt idx="1065">
                  <c:v>606.70000000000005</c:v>
                </c:pt>
                <c:pt idx="1066">
                  <c:v>593.66</c:v>
                </c:pt>
                <c:pt idx="1067">
                  <c:v>593.66</c:v>
                </c:pt>
                <c:pt idx="1068">
                  <c:v>593.66</c:v>
                </c:pt>
                <c:pt idx="1069">
                  <c:v>604.05999999999995</c:v>
                </c:pt>
                <c:pt idx="1070">
                  <c:v>592.91999999999996</c:v>
                </c:pt>
                <c:pt idx="1071">
                  <c:v>594.89</c:v>
                </c:pt>
                <c:pt idx="1072">
                  <c:v>547.54</c:v>
                </c:pt>
                <c:pt idx="1073">
                  <c:v>525.72</c:v>
                </c:pt>
                <c:pt idx="1074">
                  <c:v>525.72</c:v>
                </c:pt>
                <c:pt idx="1075">
                  <c:v>525.72</c:v>
                </c:pt>
                <c:pt idx="1076">
                  <c:v>536.38</c:v>
                </c:pt>
                <c:pt idx="1077">
                  <c:v>572.13</c:v>
                </c:pt>
                <c:pt idx="1078">
                  <c:v>579.23</c:v>
                </c:pt>
                <c:pt idx="1079">
                  <c:v>574.46</c:v>
                </c:pt>
                <c:pt idx="1080">
                  <c:v>574.46</c:v>
                </c:pt>
                <c:pt idx="1081">
                  <c:v>574.46</c:v>
                </c:pt>
                <c:pt idx="1082">
                  <c:v>574.46</c:v>
                </c:pt>
                <c:pt idx="1083">
                  <c:v>573.02</c:v>
                </c:pt>
                <c:pt idx="1084">
                  <c:v>575.04999999999995</c:v>
                </c:pt>
                <c:pt idx="1085">
                  <c:v>612.41999999999996</c:v>
                </c:pt>
                <c:pt idx="1086">
                  <c:v>628.39</c:v>
                </c:pt>
                <c:pt idx="1087">
                  <c:v>629.86</c:v>
                </c:pt>
                <c:pt idx="1088">
                  <c:v>629.86</c:v>
                </c:pt>
                <c:pt idx="1089">
                  <c:v>629.86</c:v>
                </c:pt>
                <c:pt idx="1090">
                  <c:v>634.53</c:v>
                </c:pt>
                <c:pt idx="1091">
                  <c:v>662.49</c:v>
                </c:pt>
                <c:pt idx="1092">
                  <c:v>671.58</c:v>
                </c:pt>
                <c:pt idx="1093">
                  <c:v>676.87</c:v>
                </c:pt>
                <c:pt idx="1094">
                  <c:v>676.87</c:v>
                </c:pt>
              </c:numCache>
            </c:numRef>
          </c:val>
          <c:smooth val="0"/>
          <c:extLst>
            <c:ext xmlns:c16="http://schemas.microsoft.com/office/drawing/2014/chart" uri="{C3380CC4-5D6E-409C-BE32-E72D297353CC}">
              <c16:uniqueId val="{00000000-FCB0-4C8C-B471-54C7FDBF1202}"/>
            </c:ext>
          </c:extLst>
        </c:ser>
        <c:dLbls>
          <c:showLegendKey val="0"/>
          <c:showVal val="0"/>
          <c:showCatName val="0"/>
          <c:showSerName val="0"/>
          <c:showPercent val="0"/>
          <c:showBubbleSize val="0"/>
        </c:dLbls>
        <c:marker val="1"/>
        <c:smooth val="0"/>
        <c:axId val="2085423231"/>
        <c:axId val="2071215679"/>
      </c:lineChart>
      <c:lineChart>
        <c:grouping val="standard"/>
        <c:varyColors val="0"/>
        <c:ser>
          <c:idx val="1"/>
          <c:order val="1"/>
          <c:tx>
            <c:v>S&amp;P 500</c:v>
          </c:tx>
          <c:spPr>
            <a:ln w="12700" cap="rnd">
              <a:solidFill>
                <a:schemeClr val="bg1">
                  <a:lumMod val="50000"/>
                </a:schemeClr>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F7'!$AL$6:$AL$1100</c:f>
              <c:numCache>
                <c:formatCode>#,##0</c:formatCode>
                <c:ptCount val="1095"/>
                <c:pt idx="0">
                  <c:v>4154.5189899999996</c:v>
                </c:pt>
                <c:pt idx="1">
                  <c:v>4129.7923700000001</c:v>
                </c:pt>
                <c:pt idx="2">
                  <c:v>4133.5213199999998</c:v>
                </c:pt>
                <c:pt idx="3">
                  <c:v>4133.5213199999998</c:v>
                </c:pt>
                <c:pt idx="4">
                  <c:v>4133.5213199999998</c:v>
                </c:pt>
                <c:pt idx="5">
                  <c:v>4137.0445900000004</c:v>
                </c:pt>
                <c:pt idx="6">
                  <c:v>4071.6304300000002</c:v>
                </c:pt>
                <c:pt idx="7">
                  <c:v>4055.9877799999999</c:v>
                </c:pt>
                <c:pt idx="8">
                  <c:v>4135.3522300000004</c:v>
                </c:pt>
                <c:pt idx="9">
                  <c:v>4169.4813999999997</c:v>
                </c:pt>
                <c:pt idx="10">
                  <c:v>4169.4813999999997</c:v>
                </c:pt>
                <c:pt idx="11">
                  <c:v>4169.4813999999997</c:v>
                </c:pt>
                <c:pt idx="12">
                  <c:v>4167.8668900000002</c:v>
                </c:pt>
                <c:pt idx="13">
                  <c:v>4119.5804500000004</c:v>
                </c:pt>
                <c:pt idx="14">
                  <c:v>4090.7522199999999</c:v>
                </c:pt>
                <c:pt idx="15">
                  <c:v>4061.2168900000001</c:v>
                </c:pt>
                <c:pt idx="16">
                  <c:v>4136.25335</c:v>
                </c:pt>
                <c:pt idx="17">
                  <c:v>4136.25335</c:v>
                </c:pt>
                <c:pt idx="18">
                  <c:v>4136.25335</c:v>
                </c:pt>
                <c:pt idx="19">
                  <c:v>4138.1229800000001</c:v>
                </c:pt>
                <c:pt idx="20">
                  <c:v>4119.1733700000004</c:v>
                </c:pt>
                <c:pt idx="21">
                  <c:v>4137.6421899999996</c:v>
                </c:pt>
                <c:pt idx="22">
                  <c:v>4130.6212699999996</c:v>
                </c:pt>
                <c:pt idx="23">
                  <c:v>4124.0810199999996</c:v>
                </c:pt>
                <c:pt idx="24">
                  <c:v>4124.0810199999996</c:v>
                </c:pt>
                <c:pt idx="25">
                  <c:v>4124.0810199999996</c:v>
                </c:pt>
                <c:pt idx="26">
                  <c:v>4136.2842099999998</c:v>
                </c:pt>
                <c:pt idx="27">
                  <c:v>4109.8970099999997</c:v>
                </c:pt>
                <c:pt idx="28">
                  <c:v>4158.7707700000001</c:v>
                </c:pt>
                <c:pt idx="29">
                  <c:v>4198.0509499999998</c:v>
                </c:pt>
                <c:pt idx="30">
                  <c:v>4191.9797900000003</c:v>
                </c:pt>
                <c:pt idx="31">
                  <c:v>4191.9797900000003</c:v>
                </c:pt>
                <c:pt idx="32">
                  <c:v>4191.9797900000003</c:v>
                </c:pt>
                <c:pt idx="33">
                  <c:v>4192.6306999999997</c:v>
                </c:pt>
                <c:pt idx="34">
                  <c:v>4145.5751899999996</c:v>
                </c:pt>
                <c:pt idx="35">
                  <c:v>4115.2385700000004</c:v>
                </c:pt>
                <c:pt idx="36">
                  <c:v>4151.2798700000003</c:v>
                </c:pt>
                <c:pt idx="37">
                  <c:v>4205.4525299999996</c:v>
                </c:pt>
                <c:pt idx="38">
                  <c:v>4205.4525299999996</c:v>
                </c:pt>
                <c:pt idx="39">
                  <c:v>4205.4525299999996</c:v>
                </c:pt>
                <c:pt idx="40">
                  <c:v>4205.4525299999996</c:v>
                </c:pt>
                <c:pt idx="41">
                  <c:v>4205.5206900000003</c:v>
                </c:pt>
                <c:pt idx="42">
                  <c:v>4179.82546</c:v>
                </c:pt>
                <c:pt idx="43">
                  <c:v>4221.0202200000003</c:v>
                </c:pt>
                <c:pt idx="44">
                  <c:v>4282.3655699999999</c:v>
                </c:pt>
                <c:pt idx="45">
                  <c:v>4282.3655699999999</c:v>
                </c:pt>
                <c:pt idx="46">
                  <c:v>4282.3655699999999</c:v>
                </c:pt>
                <c:pt idx="47">
                  <c:v>4273.7941899999996</c:v>
                </c:pt>
                <c:pt idx="48">
                  <c:v>4283.8483900000001</c:v>
                </c:pt>
                <c:pt idx="49">
                  <c:v>4267.5184600000002</c:v>
                </c:pt>
                <c:pt idx="50">
                  <c:v>4293.9277700000002</c:v>
                </c:pt>
                <c:pt idx="51">
                  <c:v>4298.8573100000003</c:v>
                </c:pt>
                <c:pt idx="52">
                  <c:v>4298.8573100000003</c:v>
                </c:pt>
                <c:pt idx="53">
                  <c:v>4298.8573100000003</c:v>
                </c:pt>
                <c:pt idx="54">
                  <c:v>4338.93444</c:v>
                </c:pt>
                <c:pt idx="55">
                  <c:v>4369.0063899999996</c:v>
                </c:pt>
                <c:pt idx="56">
                  <c:v>4372.5894399999997</c:v>
                </c:pt>
                <c:pt idx="57">
                  <c:v>4425.8442599999998</c:v>
                </c:pt>
                <c:pt idx="58">
                  <c:v>4409.5943600000001</c:v>
                </c:pt>
                <c:pt idx="59">
                  <c:v>4409.5943600000001</c:v>
                </c:pt>
                <c:pt idx="60">
                  <c:v>4409.5943600000001</c:v>
                </c:pt>
                <c:pt idx="61">
                  <c:v>4409.5943600000001</c:v>
                </c:pt>
                <c:pt idx="62">
                  <c:v>4388.7097599999997</c:v>
                </c:pt>
                <c:pt idx="63">
                  <c:v>4365.6898300000003</c:v>
                </c:pt>
                <c:pt idx="64">
                  <c:v>4381.89048</c:v>
                </c:pt>
                <c:pt idx="65">
                  <c:v>4348.3306700000003</c:v>
                </c:pt>
                <c:pt idx="66">
                  <c:v>4348.3306700000003</c:v>
                </c:pt>
                <c:pt idx="67">
                  <c:v>4348.3306700000003</c:v>
                </c:pt>
                <c:pt idx="68">
                  <c:v>4328.82161</c:v>
                </c:pt>
                <c:pt idx="69">
                  <c:v>4378.4053199999998</c:v>
                </c:pt>
                <c:pt idx="70">
                  <c:v>4376.8637099999996</c:v>
                </c:pt>
                <c:pt idx="71">
                  <c:v>4396.4434199999996</c:v>
                </c:pt>
                <c:pt idx="72">
                  <c:v>4450.3813099999998</c:v>
                </c:pt>
                <c:pt idx="73">
                  <c:v>4450.3813099999998</c:v>
                </c:pt>
                <c:pt idx="74">
                  <c:v>4450.3813099999998</c:v>
                </c:pt>
                <c:pt idx="75">
                  <c:v>4455.5938800000004</c:v>
                </c:pt>
                <c:pt idx="76">
                  <c:v>4455.5938800000004</c:v>
                </c:pt>
                <c:pt idx="77">
                  <c:v>4446.8247700000002</c:v>
                </c:pt>
                <c:pt idx="78">
                  <c:v>4411.5907299999999</c:v>
                </c:pt>
                <c:pt idx="79">
                  <c:v>4398.9526599999999</c:v>
                </c:pt>
                <c:pt idx="80">
                  <c:v>4398.9526599999999</c:v>
                </c:pt>
                <c:pt idx="81">
                  <c:v>4398.9526599999999</c:v>
                </c:pt>
                <c:pt idx="82">
                  <c:v>4409.5258000000003</c:v>
                </c:pt>
                <c:pt idx="83">
                  <c:v>4439.2563300000002</c:v>
                </c:pt>
                <c:pt idx="84">
                  <c:v>4472.1603299999997</c:v>
                </c:pt>
                <c:pt idx="85">
                  <c:v>4510.0418</c:v>
                </c:pt>
                <c:pt idx="86">
                  <c:v>4505.4203399999997</c:v>
                </c:pt>
                <c:pt idx="87">
                  <c:v>4505.4203399999997</c:v>
                </c:pt>
                <c:pt idx="88">
                  <c:v>4505.4203399999997</c:v>
                </c:pt>
                <c:pt idx="89">
                  <c:v>4522.7930999999999</c:v>
                </c:pt>
                <c:pt idx="90">
                  <c:v>4554.9769500000002</c:v>
                </c:pt>
                <c:pt idx="91">
                  <c:v>4565.7167099999997</c:v>
                </c:pt>
                <c:pt idx="92">
                  <c:v>4534.8675499999999</c:v>
                </c:pt>
                <c:pt idx="93">
                  <c:v>4536.3385399999997</c:v>
                </c:pt>
                <c:pt idx="94">
                  <c:v>4536.3385399999997</c:v>
                </c:pt>
                <c:pt idx="95">
                  <c:v>4536.3385399999997</c:v>
                </c:pt>
                <c:pt idx="96">
                  <c:v>4554.6424399999996</c:v>
                </c:pt>
                <c:pt idx="97">
                  <c:v>4567.4637000000002</c:v>
                </c:pt>
                <c:pt idx="98">
                  <c:v>4566.7517200000002</c:v>
                </c:pt>
                <c:pt idx="99">
                  <c:v>4537.4118600000002</c:v>
                </c:pt>
                <c:pt idx="100">
                  <c:v>4582.2313299999996</c:v>
                </c:pt>
                <c:pt idx="101">
                  <c:v>4582.2313299999996</c:v>
                </c:pt>
                <c:pt idx="102">
                  <c:v>4582.2313299999996</c:v>
                </c:pt>
                <c:pt idx="103">
                  <c:v>4588.9611400000003</c:v>
                </c:pt>
                <c:pt idx="104">
                  <c:v>4576.7291500000001</c:v>
                </c:pt>
                <c:pt idx="105">
                  <c:v>4513.3938600000001</c:v>
                </c:pt>
                <c:pt idx="106">
                  <c:v>4501.8856699999997</c:v>
                </c:pt>
                <c:pt idx="107">
                  <c:v>4478.0338400000001</c:v>
                </c:pt>
                <c:pt idx="108">
                  <c:v>4478.0338400000001</c:v>
                </c:pt>
                <c:pt idx="109">
                  <c:v>4478.0338400000001</c:v>
                </c:pt>
                <c:pt idx="110">
                  <c:v>4518.4433600000002</c:v>
                </c:pt>
                <c:pt idx="111">
                  <c:v>4499.3772600000002</c:v>
                </c:pt>
                <c:pt idx="112">
                  <c:v>4467.7140900000004</c:v>
                </c:pt>
                <c:pt idx="113">
                  <c:v>4468.8347700000004</c:v>
                </c:pt>
                <c:pt idx="114">
                  <c:v>4464.0545599999996</c:v>
                </c:pt>
                <c:pt idx="115">
                  <c:v>4464.0545599999996</c:v>
                </c:pt>
                <c:pt idx="116">
                  <c:v>4464.0545599999996</c:v>
                </c:pt>
                <c:pt idx="117">
                  <c:v>4489.7183299999997</c:v>
                </c:pt>
                <c:pt idx="118">
                  <c:v>4437.85905</c:v>
                </c:pt>
                <c:pt idx="119">
                  <c:v>4404.3334699999996</c:v>
                </c:pt>
                <c:pt idx="120">
                  <c:v>4370.36006</c:v>
                </c:pt>
                <c:pt idx="121">
                  <c:v>4369.7115000000003</c:v>
                </c:pt>
                <c:pt idx="122">
                  <c:v>4369.7115000000003</c:v>
                </c:pt>
                <c:pt idx="123">
                  <c:v>4369.7115000000003</c:v>
                </c:pt>
                <c:pt idx="124">
                  <c:v>4399.7691000000004</c:v>
                </c:pt>
                <c:pt idx="125">
                  <c:v>4387.5487000000003</c:v>
                </c:pt>
                <c:pt idx="126">
                  <c:v>4436.0117399999999</c:v>
                </c:pt>
                <c:pt idx="127">
                  <c:v>4376.31495</c:v>
                </c:pt>
                <c:pt idx="128">
                  <c:v>4405.7057299999997</c:v>
                </c:pt>
                <c:pt idx="129">
                  <c:v>4405.7057299999997</c:v>
                </c:pt>
                <c:pt idx="130">
                  <c:v>4405.7057299999997</c:v>
                </c:pt>
                <c:pt idx="131">
                  <c:v>4433.3056500000002</c:v>
                </c:pt>
                <c:pt idx="132">
                  <c:v>4497.6316699999998</c:v>
                </c:pt>
                <c:pt idx="133">
                  <c:v>4514.8652599999996</c:v>
                </c:pt>
                <c:pt idx="134">
                  <c:v>4507.6617900000001</c:v>
                </c:pt>
                <c:pt idx="135">
                  <c:v>4515.7673999999997</c:v>
                </c:pt>
                <c:pt idx="136">
                  <c:v>4515.7673999999997</c:v>
                </c:pt>
                <c:pt idx="137">
                  <c:v>4515.7673999999997</c:v>
                </c:pt>
                <c:pt idx="138">
                  <c:v>4515.7673999999997</c:v>
                </c:pt>
                <c:pt idx="139">
                  <c:v>4496.8272800000004</c:v>
                </c:pt>
                <c:pt idx="140">
                  <c:v>4465.4847600000003</c:v>
                </c:pt>
                <c:pt idx="141">
                  <c:v>4451.1379800000004</c:v>
                </c:pt>
                <c:pt idx="142">
                  <c:v>4457.4893099999999</c:v>
                </c:pt>
                <c:pt idx="143">
                  <c:v>4457.4893099999999</c:v>
                </c:pt>
                <c:pt idx="144">
                  <c:v>4457.4893099999999</c:v>
                </c:pt>
                <c:pt idx="145">
                  <c:v>4487.4638599999998</c:v>
                </c:pt>
                <c:pt idx="146">
                  <c:v>4461.9049199999999</c:v>
                </c:pt>
                <c:pt idx="147">
                  <c:v>4467.44193</c:v>
                </c:pt>
                <c:pt idx="148">
                  <c:v>4505.0962799999998</c:v>
                </c:pt>
                <c:pt idx="149">
                  <c:v>4450.31628</c:v>
                </c:pt>
                <c:pt idx="150">
                  <c:v>4450.31628</c:v>
                </c:pt>
                <c:pt idx="151">
                  <c:v>4450.31628</c:v>
                </c:pt>
                <c:pt idx="152">
                  <c:v>4453.5338000000002</c:v>
                </c:pt>
                <c:pt idx="153">
                  <c:v>4443.9475000000002</c:v>
                </c:pt>
                <c:pt idx="154">
                  <c:v>4402.2035400000004</c:v>
                </c:pt>
                <c:pt idx="155">
                  <c:v>4330.0048500000003</c:v>
                </c:pt>
                <c:pt idx="156">
                  <c:v>4320.0571300000001</c:v>
                </c:pt>
                <c:pt idx="157">
                  <c:v>4320.0571300000001</c:v>
                </c:pt>
                <c:pt idx="158">
                  <c:v>4320.0571300000001</c:v>
                </c:pt>
                <c:pt idx="159">
                  <c:v>4337.4449800000002</c:v>
                </c:pt>
                <c:pt idx="160">
                  <c:v>4273.5283099999997</c:v>
                </c:pt>
                <c:pt idx="161">
                  <c:v>4274.5094099999997</c:v>
                </c:pt>
                <c:pt idx="162">
                  <c:v>4299.7019899999996</c:v>
                </c:pt>
                <c:pt idx="163">
                  <c:v>4288.0541199999998</c:v>
                </c:pt>
                <c:pt idx="164">
                  <c:v>4288.0541199999998</c:v>
                </c:pt>
                <c:pt idx="165">
                  <c:v>4288.0541199999998</c:v>
                </c:pt>
                <c:pt idx="166">
                  <c:v>4288.3906999999999</c:v>
                </c:pt>
                <c:pt idx="167">
                  <c:v>4229.4530299999997</c:v>
                </c:pt>
                <c:pt idx="168">
                  <c:v>4263.7511400000003</c:v>
                </c:pt>
                <c:pt idx="169">
                  <c:v>4258.1858099999999</c:v>
                </c:pt>
                <c:pt idx="170">
                  <c:v>4308.5022600000002</c:v>
                </c:pt>
                <c:pt idx="171">
                  <c:v>4308.5022600000002</c:v>
                </c:pt>
                <c:pt idx="172">
                  <c:v>4308.5022600000002</c:v>
                </c:pt>
                <c:pt idx="173">
                  <c:v>4335.6575199999997</c:v>
                </c:pt>
                <c:pt idx="174">
                  <c:v>4358.2378600000002</c:v>
                </c:pt>
                <c:pt idx="175">
                  <c:v>4376.9451799999997</c:v>
                </c:pt>
                <c:pt idx="176">
                  <c:v>4349.6057799999999</c:v>
                </c:pt>
                <c:pt idx="177">
                  <c:v>4327.7830299999996</c:v>
                </c:pt>
                <c:pt idx="178">
                  <c:v>4327.7830299999996</c:v>
                </c:pt>
                <c:pt idx="179">
                  <c:v>4327.7830299999996</c:v>
                </c:pt>
                <c:pt idx="180">
                  <c:v>4373.6348099999996</c:v>
                </c:pt>
                <c:pt idx="181">
                  <c:v>4373.1959900000002</c:v>
                </c:pt>
                <c:pt idx="182">
                  <c:v>4314.6006500000003</c:v>
                </c:pt>
                <c:pt idx="183">
                  <c:v>4277.9974300000003</c:v>
                </c:pt>
                <c:pt idx="184">
                  <c:v>4224.1594800000003</c:v>
                </c:pt>
                <c:pt idx="185">
                  <c:v>4224.1594800000003</c:v>
                </c:pt>
                <c:pt idx="186">
                  <c:v>4224.1594800000003</c:v>
                </c:pt>
                <c:pt idx="187">
                  <c:v>4217.0433899999998</c:v>
                </c:pt>
                <c:pt idx="188">
                  <c:v>4247.6768400000001</c:v>
                </c:pt>
                <c:pt idx="189">
                  <c:v>4186.7652500000004</c:v>
                </c:pt>
                <c:pt idx="190">
                  <c:v>4137.2308400000002</c:v>
                </c:pt>
                <c:pt idx="191">
                  <c:v>4117.3738300000005</c:v>
                </c:pt>
                <c:pt idx="192">
                  <c:v>4117.3738300000005</c:v>
                </c:pt>
                <c:pt idx="193">
                  <c:v>4117.3738300000005</c:v>
                </c:pt>
                <c:pt idx="194">
                  <c:v>4166.8151399999997</c:v>
                </c:pt>
                <c:pt idx="195">
                  <c:v>4193.8009599999996</c:v>
                </c:pt>
                <c:pt idx="196">
                  <c:v>4237.8556500000004</c:v>
                </c:pt>
                <c:pt idx="197">
                  <c:v>4317.7754800000002</c:v>
                </c:pt>
                <c:pt idx="198">
                  <c:v>4358.33518</c:v>
                </c:pt>
                <c:pt idx="199">
                  <c:v>4358.33518</c:v>
                </c:pt>
                <c:pt idx="200">
                  <c:v>4358.33518</c:v>
                </c:pt>
                <c:pt idx="201">
                  <c:v>4365.9780199999996</c:v>
                </c:pt>
                <c:pt idx="202">
                  <c:v>4378.37914</c:v>
                </c:pt>
                <c:pt idx="203">
                  <c:v>4382.7837799999998</c:v>
                </c:pt>
                <c:pt idx="204">
                  <c:v>4347.3493200000003</c:v>
                </c:pt>
                <c:pt idx="205">
                  <c:v>4415.2446900000004</c:v>
                </c:pt>
                <c:pt idx="206">
                  <c:v>4415.2446900000004</c:v>
                </c:pt>
                <c:pt idx="207">
                  <c:v>4415.2446900000004</c:v>
                </c:pt>
                <c:pt idx="208">
                  <c:v>4411.5548900000003</c:v>
                </c:pt>
                <c:pt idx="209">
                  <c:v>4495.7015899999997</c:v>
                </c:pt>
                <c:pt idx="210">
                  <c:v>4502.8788299999997</c:v>
                </c:pt>
                <c:pt idx="211">
                  <c:v>4508.2434999999996</c:v>
                </c:pt>
                <c:pt idx="212">
                  <c:v>4514.0178599999999</c:v>
                </c:pt>
                <c:pt idx="213">
                  <c:v>4514.0178599999999</c:v>
                </c:pt>
                <c:pt idx="214">
                  <c:v>4514.0178599999999</c:v>
                </c:pt>
                <c:pt idx="215">
                  <c:v>4547.3774899999999</c:v>
                </c:pt>
                <c:pt idx="216">
                  <c:v>4538.1916600000004</c:v>
                </c:pt>
                <c:pt idx="217">
                  <c:v>4556.6192199999996</c:v>
                </c:pt>
                <c:pt idx="218">
                  <c:v>4556.6192199999996</c:v>
                </c:pt>
                <c:pt idx="219">
                  <c:v>4559.3352100000002</c:v>
                </c:pt>
                <c:pt idx="220">
                  <c:v>4559.3352100000002</c:v>
                </c:pt>
                <c:pt idx="221">
                  <c:v>4559.3352100000002</c:v>
                </c:pt>
                <c:pt idx="222">
                  <c:v>4550.4280500000004</c:v>
                </c:pt>
                <c:pt idx="223">
                  <c:v>4554.8905599999998</c:v>
                </c:pt>
                <c:pt idx="224">
                  <c:v>4550.5823200000004</c:v>
                </c:pt>
                <c:pt idx="225">
                  <c:v>4567.79864</c:v>
                </c:pt>
                <c:pt idx="226">
                  <c:v>4594.6315800000002</c:v>
                </c:pt>
                <c:pt idx="227">
                  <c:v>4594.6315800000002</c:v>
                </c:pt>
                <c:pt idx="228">
                  <c:v>4594.6315800000002</c:v>
                </c:pt>
                <c:pt idx="229">
                  <c:v>4569.7815600000004</c:v>
                </c:pt>
                <c:pt idx="230">
                  <c:v>4567.1829699999998</c:v>
                </c:pt>
                <c:pt idx="231">
                  <c:v>4549.3373799999999</c:v>
                </c:pt>
                <c:pt idx="232">
                  <c:v>4585.58619</c:v>
                </c:pt>
                <c:pt idx="233">
                  <c:v>4604.3722500000003</c:v>
                </c:pt>
                <c:pt idx="234">
                  <c:v>4604.3722500000003</c:v>
                </c:pt>
                <c:pt idx="235">
                  <c:v>4604.3722500000003</c:v>
                </c:pt>
                <c:pt idx="236">
                  <c:v>4622.4407700000002</c:v>
                </c:pt>
                <c:pt idx="237">
                  <c:v>4643.7017699999997</c:v>
                </c:pt>
                <c:pt idx="238">
                  <c:v>4707.0913600000003</c:v>
                </c:pt>
                <c:pt idx="239">
                  <c:v>4719.5519199999999</c:v>
                </c:pt>
                <c:pt idx="240">
                  <c:v>4719.1906499999996</c:v>
                </c:pt>
                <c:pt idx="241">
                  <c:v>4719.1906499999996</c:v>
                </c:pt>
                <c:pt idx="242">
                  <c:v>4719.1906499999996</c:v>
                </c:pt>
                <c:pt idx="243">
                  <c:v>4740.5560100000002</c:v>
                </c:pt>
                <c:pt idx="244">
                  <c:v>4768.3653700000004</c:v>
                </c:pt>
                <c:pt idx="245">
                  <c:v>4698.3519500000002</c:v>
                </c:pt>
                <c:pt idx="246">
                  <c:v>4746.7456400000001</c:v>
                </c:pt>
                <c:pt idx="247">
                  <c:v>4754.6314499999999</c:v>
                </c:pt>
                <c:pt idx="248">
                  <c:v>4754.6314499999999</c:v>
                </c:pt>
                <c:pt idx="249">
                  <c:v>4754.6314499999999</c:v>
                </c:pt>
                <c:pt idx="250">
                  <c:v>4754.6314499999999</c:v>
                </c:pt>
                <c:pt idx="251">
                  <c:v>4774.7506000000003</c:v>
                </c:pt>
                <c:pt idx="252">
                  <c:v>4781.5788000000002</c:v>
                </c:pt>
                <c:pt idx="253">
                  <c:v>4783.3473800000002</c:v>
                </c:pt>
                <c:pt idx="254">
                  <c:v>4769.8294100000003</c:v>
                </c:pt>
                <c:pt idx="255">
                  <c:v>4769.8294100000003</c:v>
                </c:pt>
                <c:pt idx="256">
                  <c:v>4769.8294100000003</c:v>
                </c:pt>
                <c:pt idx="257">
                  <c:v>4769.8294100000003</c:v>
                </c:pt>
                <c:pt idx="258">
                  <c:v>4742.8294900000001</c:v>
                </c:pt>
                <c:pt idx="259">
                  <c:v>4704.8110900000001</c:v>
                </c:pt>
                <c:pt idx="260">
                  <c:v>4688.6760100000001</c:v>
                </c:pt>
                <c:pt idx="261">
                  <c:v>4697.2449399999996</c:v>
                </c:pt>
                <c:pt idx="262">
                  <c:v>4697.2449399999996</c:v>
                </c:pt>
                <c:pt idx="263">
                  <c:v>4697.2449399999996</c:v>
                </c:pt>
                <c:pt idx="264">
                  <c:v>4763.5372799999996</c:v>
                </c:pt>
                <c:pt idx="265">
                  <c:v>4756.4965400000001</c:v>
                </c:pt>
                <c:pt idx="266">
                  <c:v>4783.4491200000002</c:v>
                </c:pt>
                <c:pt idx="267">
                  <c:v>4780.2424700000001</c:v>
                </c:pt>
                <c:pt idx="268">
                  <c:v>4783.8310700000002</c:v>
                </c:pt>
                <c:pt idx="269">
                  <c:v>4783.8310700000002</c:v>
                </c:pt>
                <c:pt idx="270">
                  <c:v>4783.8310700000002</c:v>
                </c:pt>
                <c:pt idx="271">
                  <c:v>4783.8310700000002</c:v>
                </c:pt>
                <c:pt idx="272">
                  <c:v>4765.9760200000001</c:v>
                </c:pt>
                <c:pt idx="273">
                  <c:v>4739.2081399999997</c:v>
                </c:pt>
                <c:pt idx="274">
                  <c:v>4780.9376499999998</c:v>
                </c:pt>
                <c:pt idx="275">
                  <c:v>4839.81142</c:v>
                </c:pt>
                <c:pt idx="276">
                  <c:v>4839.81142</c:v>
                </c:pt>
                <c:pt idx="277">
                  <c:v>4839.81142</c:v>
                </c:pt>
                <c:pt idx="278">
                  <c:v>4850.4256699999996</c:v>
                </c:pt>
                <c:pt idx="279">
                  <c:v>4864.5967199999996</c:v>
                </c:pt>
                <c:pt idx="280">
                  <c:v>4868.5539200000003</c:v>
                </c:pt>
                <c:pt idx="281">
                  <c:v>4894.1555799999996</c:v>
                </c:pt>
                <c:pt idx="282">
                  <c:v>4890.9705100000001</c:v>
                </c:pt>
                <c:pt idx="283">
                  <c:v>4890.9705100000001</c:v>
                </c:pt>
                <c:pt idx="284">
                  <c:v>4890.9705100000001</c:v>
                </c:pt>
                <c:pt idx="285">
                  <c:v>4927.9288200000001</c:v>
                </c:pt>
                <c:pt idx="286">
                  <c:v>4924.9738900000002</c:v>
                </c:pt>
                <c:pt idx="287">
                  <c:v>4845.6471799999999</c:v>
                </c:pt>
                <c:pt idx="288">
                  <c:v>4906.1940400000003</c:v>
                </c:pt>
                <c:pt idx="289">
                  <c:v>4958.6138899999996</c:v>
                </c:pt>
                <c:pt idx="290">
                  <c:v>4958.6138899999996</c:v>
                </c:pt>
                <c:pt idx="291">
                  <c:v>4958.6138899999996</c:v>
                </c:pt>
                <c:pt idx="292">
                  <c:v>4942.8058799999999</c:v>
                </c:pt>
                <c:pt idx="293">
                  <c:v>4954.2305100000003</c:v>
                </c:pt>
                <c:pt idx="294">
                  <c:v>4995.0558499999997</c:v>
                </c:pt>
                <c:pt idx="295">
                  <c:v>4997.9053700000004</c:v>
                </c:pt>
                <c:pt idx="296">
                  <c:v>5026.6085800000001</c:v>
                </c:pt>
                <c:pt idx="297">
                  <c:v>5026.6085800000001</c:v>
                </c:pt>
                <c:pt idx="298">
                  <c:v>5026.6085800000001</c:v>
                </c:pt>
                <c:pt idx="299">
                  <c:v>5021.8444799999997</c:v>
                </c:pt>
                <c:pt idx="300">
                  <c:v>4953.16795</c:v>
                </c:pt>
                <c:pt idx="301">
                  <c:v>5000.6200699999999</c:v>
                </c:pt>
                <c:pt idx="302">
                  <c:v>5029.7347099999997</c:v>
                </c:pt>
                <c:pt idx="303">
                  <c:v>5005.5684499999998</c:v>
                </c:pt>
                <c:pt idx="304">
                  <c:v>5005.5684499999998</c:v>
                </c:pt>
                <c:pt idx="305">
                  <c:v>5005.5684499999998</c:v>
                </c:pt>
                <c:pt idx="306">
                  <c:v>5005.5684499999998</c:v>
                </c:pt>
                <c:pt idx="307">
                  <c:v>4975.51127</c:v>
                </c:pt>
                <c:pt idx="308">
                  <c:v>4981.7969999999996</c:v>
                </c:pt>
                <c:pt idx="309">
                  <c:v>5087.0324300000002</c:v>
                </c:pt>
                <c:pt idx="310">
                  <c:v>5088.7999499999996</c:v>
                </c:pt>
                <c:pt idx="311">
                  <c:v>5088.7999499999996</c:v>
                </c:pt>
                <c:pt idx="312">
                  <c:v>5088.7999499999996</c:v>
                </c:pt>
                <c:pt idx="313">
                  <c:v>5069.5305099999996</c:v>
                </c:pt>
                <c:pt idx="314">
                  <c:v>5078.1825200000003</c:v>
                </c:pt>
                <c:pt idx="315">
                  <c:v>5069.7565100000002</c:v>
                </c:pt>
                <c:pt idx="316">
                  <c:v>5096.2695000000003</c:v>
                </c:pt>
                <c:pt idx="317">
                  <c:v>5137.0838000000003</c:v>
                </c:pt>
                <c:pt idx="318">
                  <c:v>5137.0838000000003</c:v>
                </c:pt>
                <c:pt idx="319">
                  <c:v>5137.0838000000003</c:v>
                </c:pt>
                <c:pt idx="320">
                  <c:v>5130.9491500000004</c:v>
                </c:pt>
                <c:pt idx="321">
                  <c:v>5078.6540000000005</c:v>
                </c:pt>
                <c:pt idx="322">
                  <c:v>5104.7571600000001</c:v>
                </c:pt>
                <c:pt idx="323">
                  <c:v>5157.3592799999997</c:v>
                </c:pt>
                <c:pt idx="324">
                  <c:v>5123.6910900000003</c:v>
                </c:pt>
                <c:pt idx="325">
                  <c:v>5123.6910900000003</c:v>
                </c:pt>
                <c:pt idx="326">
                  <c:v>5123.6910900000003</c:v>
                </c:pt>
                <c:pt idx="327">
                  <c:v>5117.9367599999996</c:v>
                </c:pt>
                <c:pt idx="328">
                  <c:v>5175.2676199999996</c:v>
                </c:pt>
                <c:pt idx="329">
                  <c:v>5165.31185</c:v>
                </c:pt>
                <c:pt idx="330">
                  <c:v>5150.4799199999998</c:v>
                </c:pt>
                <c:pt idx="331">
                  <c:v>5117.0882199999996</c:v>
                </c:pt>
                <c:pt idx="332">
                  <c:v>5117.0882199999996</c:v>
                </c:pt>
                <c:pt idx="333">
                  <c:v>5117.0882199999996</c:v>
                </c:pt>
                <c:pt idx="334">
                  <c:v>5149.4174700000003</c:v>
                </c:pt>
                <c:pt idx="335">
                  <c:v>5178.5092599999998</c:v>
                </c:pt>
                <c:pt idx="336">
                  <c:v>5224.6232399999999</c:v>
                </c:pt>
                <c:pt idx="337">
                  <c:v>5241.5328</c:v>
                </c:pt>
                <c:pt idx="338">
                  <c:v>5234.1800599999997</c:v>
                </c:pt>
                <c:pt idx="339">
                  <c:v>5234.1800599999997</c:v>
                </c:pt>
                <c:pt idx="340">
                  <c:v>5234.1800599999997</c:v>
                </c:pt>
                <c:pt idx="341">
                  <c:v>5218.1866200000004</c:v>
                </c:pt>
                <c:pt idx="342">
                  <c:v>5203.5842000000002</c:v>
                </c:pt>
                <c:pt idx="343">
                  <c:v>5248.4931299999998</c:v>
                </c:pt>
                <c:pt idx="344">
                  <c:v>5254.3544000000002</c:v>
                </c:pt>
                <c:pt idx="345">
                  <c:v>5254.3544000000002</c:v>
                </c:pt>
                <c:pt idx="346">
                  <c:v>5254.3544000000002</c:v>
                </c:pt>
                <c:pt idx="347">
                  <c:v>5254.3544000000002</c:v>
                </c:pt>
                <c:pt idx="348">
                  <c:v>5243.7729499999996</c:v>
                </c:pt>
                <c:pt idx="349">
                  <c:v>5205.8110900000001</c:v>
                </c:pt>
                <c:pt idx="350">
                  <c:v>5211.4860900000003</c:v>
                </c:pt>
                <c:pt idx="351">
                  <c:v>5147.2089800000003</c:v>
                </c:pt>
                <c:pt idx="352">
                  <c:v>5204.3351400000001</c:v>
                </c:pt>
                <c:pt idx="353">
                  <c:v>5204.3351400000001</c:v>
                </c:pt>
                <c:pt idx="354">
                  <c:v>5204.3351400000001</c:v>
                </c:pt>
                <c:pt idx="355">
                  <c:v>5202.3919299999998</c:v>
                </c:pt>
                <c:pt idx="356">
                  <c:v>5209.9108399999996</c:v>
                </c:pt>
                <c:pt idx="357">
                  <c:v>5160.6397900000002</c:v>
                </c:pt>
                <c:pt idx="358">
                  <c:v>5199.0567700000001</c:v>
                </c:pt>
                <c:pt idx="359">
                  <c:v>5123.4068200000002</c:v>
                </c:pt>
                <c:pt idx="360">
                  <c:v>5123.4068200000002</c:v>
                </c:pt>
                <c:pt idx="361">
                  <c:v>5123.4068200000002</c:v>
                </c:pt>
                <c:pt idx="362">
                  <c:v>5061.8155299999999</c:v>
                </c:pt>
                <c:pt idx="363">
                  <c:v>5051.4139500000001</c:v>
                </c:pt>
                <c:pt idx="364">
                  <c:v>5022.2080400000004</c:v>
                </c:pt>
                <c:pt idx="365">
                  <c:v>5011.1227500000005</c:v>
                </c:pt>
                <c:pt idx="366">
                  <c:v>4967.2349000000004</c:v>
                </c:pt>
                <c:pt idx="367">
                  <c:v>4967.2349000000004</c:v>
                </c:pt>
                <c:pt idx="368">
                  <c:v>4967.2349000000004</c:v>
                </c:pt>
                <c:pt idx="369">
                  <c:v>5010.6046399999996</c:v>
                </c:pt>
                <c:pt idx="370">
                  <c:v>5070.55123</c:v>
                </c:pt>
                <c:pt idx="371">
                  <c:v>5071.6284699999997</c:v>
                </c:pt>
                <c:pt idx="372">
                  <c:v>5048.4157100000002</c:v>
                </c:pt>
                <c:pt idx="373">
                  <c:v>5099.96245</c:v>
                </c:pt>
                <c:pt idx="374">
                  <c:v>5099.96245</c:v>
                </c:pt>
                <c:pt idx="375">
                  <c:v>5099.96245</c:v>
                </c:pt>
                <c:pt idx="376">
                  <c:v>5116.1675599999999</c:v>
                </c:pt>
                <c:pt idx="377">
                  <c:v>5035.6916799999999</c:v>
                </c:pt>
                <c:pt idx="378">
                  <c:v>5018.3850000000002</c:v>
                </c:pt>
                <c:pt idx="379">
                  <c:v>5064.1952700000002</c:v>
                </c:pt>
                <c:pt idx="380">
                  <c:v>5127.7866299999996</c:v>
                </c:pt>
                <c:pt idx="381">
                  <c:v>5127.7866299999996</c:v>
                </c:pt>
                <c:pt idx="382">
                  <c:v>5127.7866299999996</c:v>
                </c:pt>
                <c:pt idx="383">
                  <c:v>5180.7406899999996</c:v>
                </c:pt>
                <c:pt idx="384">
                  <c:v>5187.6978600000002</c:v>
                </c:pt>
                <c:pt idx="385">
                  <c:v>5187.6707399999996</c:v>
                </c:pt>
                <c:pt idx="386">
                  <c:v>5214.0814300000002</c:v>
                </c:pt>
                <c:pt idx="387">
                  <c:v>5222.6753699999999</c:v>
                </c:pt>
                <c:pt idx="388">
                  <c:v>5222.6753699999999</c:v>
                </c:pt>
                <c:pt idx="389">
                  <c:v>5222.6753699999999</c:v>
                </c:pt>
                <c:pt idx="390">
                  <c:v>5221.4156400000002</c:v>
                </c:pt>
                <c:pt idx="391">
                  <c:v>5246.6805199999999</c:v>
                </c:pt>
                <c:pt idx="392">
                  <c:v>5308.14959</c:v>
                </c:pt>
                <c:pt idx="393">
                  <c:v>5297.0984500000004</c:v>
                </c:pt>
                <c:pt idx="394">
                  <c:v>5303.2696599999999</c:v>
                </c:pt>
                <c:pt idx="395">
                  <c:v>5303.2696599999999</c:v>
                </c:pt>
                <c:pt idx="396">
                  <c:v>5303.2696599999999</c:v>
                </c:pt>
                <c:pt idx="397">
                  <c:v>5308.1322700000001</c:v>
                </c:pt>
                <c:pt idx="398">
                  <c:v>5321.4120199999998</c:v>
                </c:pt>
                <c:pt idx="399">
                  <c:v>5307.00522</c:v>
                </c:pt>
                <c:pt idx="400">
                  <c:v>5267.8380699999998</c:v>
                </c:pt>
                <c:pt idx="401">
                  <c:v>5304.7175999999999</c:v>
                </c:pt>
                <c:pt idx="402">
                  <c:v>5304.7175999999999</c:v>
                </c:pt>
                <c:pt idx="403">
                  <c:v>5304.7175999999999</c:v>
                </c:pt>
                <c:pt idx="404">
                  <c:v>5304.7175999999999</c:v>
                </c:pt>
                <c:pt idx="405">
                  <c:v>5306.0444699999998</c:v>
                </c:pt>
                <c:pt idx="406">
                  <c:v>5266.9493599999996</c:v>
                </c:pt>
                <c:pt idx="407">
                  <c:v>5235.4772599999997</c:v>
                </c:pt>
                <c:pt idx="408">
                  <c:v>5277.5073499999999</c:v>
                </c:pt>
                <c:pt idx="409">
                  <c:v>5277.5073499999999</c:v>
                </c:pt>
                <c:pt idx="410">
                  <c:v>5277.5073499999999</c:v>
                </c:pt>
                <c:pt idx="411">
                  <c:v>5283.3968699999996</c:v>
                </c:pt>
                <c:pt idx="412">
                  <c:v>5291.3354099999997</c:v>
                </c:pt>
                <c:pt idx="413">
                  <c:v>5354.0286500000002</c:v>
                </c:pt>
                <c:pt idx="414">
                  <c:v>5352.9622399999998</c:v>
                </c:pt>
                <c:pt idx="415">
                  <c:v>5346.9880700000003</c:v>
                </c:pt>
                <c:pt idx="416">
                  <c:v>5346.9880700000003</c:v>
                </c:pt>
                <c:pt idx="417">
                  <c:v>5346.9880700000003</c:v>
                </c:pt>
                <c:pt idx="418">
                  <c:v>5360.7884899999999</c:v>
                </c:pt>
                <c:pt idx="419">
                  <c:v>5375.3161799999998</c:v>
                </c:pt>
                <c:pt idx="420">
                  <c:v>5421.02585</c:v>
                </c:pt>
                <c:pt idx="421">
                  <c:v>5433.7431999999999</c:v>
                </c:pt>
                <c:pt idx="422">
                  <c:v>5431.6016499999996</c:v>
                </c:pt>
                <c:pt idx="423">
                  <c:v>5431.6016499999996</c:v>
                </c:pt>
                <c:pt idx="424">
                  <c:v>5431.6016499999996</c:v>
                </c:pt>
                <c:pt idx="425">
                  <c:v>5473.23315</c:v>
                </c:pt>
                <c:pt idx="426">
                  <c:v>5487.0264900000002</c:v>
                </c:pt>
                <c:pt idx="427">
                  <c:v>5487.0264900000002</c:v>
                </c:pt>
                <c:pt idx="428">
                  <c:v>5473.1687899999997</c:v>
                </c:pt>
                <c:pt idx="429">
                  <c:v>5464.6213399999997</c:v>
                </c:pt>
                <c:pt idx="430">
                  <c:v>5464.6213399999997</c:v>
                </c:pt>
                <c:pt idx="431">
                  <c:v>5464.6213399999997</c:v>
                </c:pt>
                <c:pt idx="432">
                  <c:v>5447.8726500000002</c:v>
                </c:pt>
                <c:pt idx="433">
                  <c:v>5469.2974299999996</c:v>
                </c:pt>
                <c:pt idx="434">
                  <c:v>5477.90362</c:v>
                </c:pt>
                <c:pt idx="435">
                  <c:v>5482.8717800000004</c:v>
                </c:pt>
                <c:pt idx="436">
                  <c:v>5460.4826199999998</c:v>
                </c:pt>
                <c:pt idx="437">
                  <c:v>5460.4826199999998</c:v>
                </c:pt>
                <c:pt idx="438">
                  <c:v>5460.4826199999998</c:v>
                </c:pt>
                <c:pt idx="439">
                  <c:v>5475.08835</c:v>
                </c:pt>
                <c:pt idx="440">
                  <c:v>5509.0111100000004</c:v>
                </c:pt>
                <c:pt idx="441">
                  <c:v>5537.0191299999997</c:v>
                </c:pt>
                <c:pt idx="442">
                  <c:v>5537.0191299999997</c:v>
                </c:pt>
                <c:pt idx="443">
                  <c:v>5567.1903899999998</c:v>
                </c:pt>
                <c:pt idx="444">
                  <c:v>5567.1903899999998</c:v>
                </c:pt>
                <c:pt idx="445">
                  <c:v>5567.1903899999998</c:v>
                </c:pt>
                <c:pt idx="446">
                  <c:v>5572.8501999999999</c:v>
                </c:pt>
                <c:pt idx="447">
                  <c:v>5576.9844999999996</c:v>
                </c:pt>
                <c:pt idx="448">
                  <c:v>5633.9122100000004</c:v>
                </c:pt>
                <c:pt idx="449">
                  <c:v>5584.5443299999997</c:v>
                </c:pt>
                <c:pt idx="450">
                  <c:v>5615.3487599999999</c:v>
                </c:pt>
                <c:pt idx="451">
                  <c:v>5615.3487599999999</c:v>
                </c:pt>
                <c:pt idx="452">
                  <c:v>5615.3487599999999</c:v>
                </c:pt>
                <c:pt idx="453">
                  <c:v>5631.2160400000002</c:v>
                </c:pt>
                <c:pt idx="454">
                  <c:v>5667.19769</c:v>
                </c:pt>
                <c:pt idx="455">
                  <c:v>5588.2716899999996</c:v>
                </c:pt>
                <c:pt idx="456">
                  <c:v>5544.5932400000002</c:v>
                </c:pt>
                <c:pt idx="457">
                  <c:v>5505.0030900000002</c:v>
                </c:pt>
                <c:pt idx="458">
                  <c:v>5505.0030900000002</c:v>
                </c:pt>
                <c:pt idx="459">
                  <c:v>5505.0030900000002</c:v>
                </c:pt>
                <c:pt idx="460">
                  <c:v>5564.4128899999996</c:v>
                </c:pt>
                <c:pt idx="461">
                  <c:v>5555.7436699999998</c:v>
                </c:pt>
                <c:pt idx="462">
                  <c:v>5427.1276799999996</c:v>
                </c:pt>
                <c:pt idx="463">
                  <c:v>5399.2224800000004</c:v>
                </c:pt>
                <c:pt idx="464">
                  <c:v>5459.0973999999997</c:v>
                </c:pt>
                <c:pt idx="465">
                  <c:v>5459.0973999999997</c:v>
                </c:pt>
                <c:pt idx="466">
                  <c:v>5459.0973999999997</c:v>
                </c:pt>
                <c:pt idx="467">
                  <c:v>5463.5384700000004</c:v>
                </c:pt>
                <c:pt idx="468">
                  <c:v>5436.4440999999997</c:v>
                </c:pt>
                <c:pt idx="469">
                  <c:v>5522.3018400000001</c:v>
                </c:pt>
                <c:pt idx="470">
                  <c:v>5446.6843200000003</c:v>
                </c:pt>
                <c:pt idx="471">
                  <c:v>5346.5632599999999</c:v>
                </c:pt>
                <c:pt idx="472">
                  <c:v>5346.5632599999999</c:v>
                </c:pt>
                <c:pt idx="473">
                  <c:v>5346.5632599999999</c:v>
                </c:pt>
                <c:pt idx="474">
                  <c:v>5186.3304099999996</c:v>
                </c:pt>
                <c:pt idx="475">
                  <c:v>5240.0261499999997</c:v>
                </c:pt>
                <c:pt idx="476">
                  <c:v>5199.4999699999998</c:v>
                </c:pt>
                <c:pt idx="477">
                  <c:v>5319.3081199999997</c:v>
                </c:pt>
                <c:pt idx="478">
                  <c:v>5344.1643599999998</c:v>
                </c:pt>
                <c:pt idx="479">
                  <c:v>5344.1643599999998</c:v>
                </c:pt>
                <c:pt idx="480">
                  <c:v>5344.1643599999998</c:v>
                </c:pt>
                <c:pt idx="481">
                  <c:v>5344.3851999999997</c:v>
                </c:pt>
                <c:pt idx="482">
                  <c:v>5434.4328299999997</c:v>
                </c:pt>
                <c:pt idx="483">
                  <c:v>5455.2120000000004</c:v>
                </c:pt>
                <c:pt idx="484">
                  <c:v>5543.2182300000004</c:v>
                </c:pt>
                <c:pt idx="485">
                  <c:v>5554.2510599999996</c:v>
                </c:pt>
                <c:pt idx="486">
                  <c:v>5554.2510599999996</c:v>
                </c:pt>
                <c:pt idx="487">
                  <c:v>5554.2510599999996</c:v>
                </c:pt>
                <c:pt idx="488">
                  <c:v>5608.2472600000001</c:v>
                </c:pt>
                <c:pt idx="489">
                  <c:v>5597.12482</c:v>
                </c:pt>
                <c:pt idx="490">
                  <c:v>5620.8527199999999</c:v>
                </c:pt>
                <c:pt idx="491">
                  <c:v>5570.6445700000004</c:v>
                </c:pt>
                <c:pt idx="492">
                  <c:v>5634.6058499999999</c:v>
                </c:pt>
                <c:pt idx="493">
                  <c:v>5634.6058499999999</c:v>
                </c:pt>
                <c:pt idx="494">
                  <c:v>5634.6058499999999</c:v>
                </c:pt>
                <c:pt idx="495">
                  <c:v>5616.8358500000004</c:v>
                </c:pt>
                <c:pt idx="496">
                  <c:v>5625.8019599999998</c:v>
                </c:pt>
                <c:pt idx="497">
                  <c:v>5592.1772099999998</c:v>
                </c:pt>
                <c:pt idx="498">
                  <c:v>5591.9637199999997</c:v>
                </c:pt>
                <c:pt idx="499">
                  <c:v>5648.3972400000002</c:v>
                </c:pt>
                <c:pt idx="500">
                  <c:v>5648.3972400000002</c:v>
                </c:pt>
                <c:pt idx="501">
                  <c:v>5648.3972400000002</c:v>
                </c:pt>
                <c:pt idx="502">
                  <c:v>5648.3972400000002</c:v>
                </c:pt>
                <c:pt idx="503">
                  <c:v>5528.9333999999999</c:v>
                </c:pt>
                <c:pt idx="504">
                  <c:v>5520.0678200000002</c:v>
                </c:pt>
                <c:pt idx="505">
                  <c:v>5503.4085699999996</c:v>
                </c:pt>
                <c:pt idx="506">
                  <c:v>5408.4221399999997</c:v>
                </c:pt>
                <c:pt idx="507">
                  <c:v>5408.4221399999997</c:v>
                </c:pt>
                <c:pt idx="508">
                  <c:v>5408.4221399999997</c:v>
                </c:pt>
                <c:pt idx="509">
                  <c:v>5471.0514499999999</c:v>
                </c:pt>
                <c:pt idx="510">
                  <c:v>5495.5194099999999</c:v>
                </c:pt>
                <c:pt idx="511">
                  <c:v>5554.1324199999999</c:v>
                </c:pt>
                <c:pt idx="512">
                  <c:v>5595.7634900000003</c:v>
                </c:pt>
                <c:pt idx="513">
                  <c:v>5626.0186000000003</c:v>
                </c:pt>
                <c:pt idx="514">
                  <c:v>5626.0186000000003</c:v>
                </c:pt>
                <c:pt idx="515">
                  <c:v>5626.0186000000003</c:v>
                </c:pt>
                <c:pt idx="516">
                  <c:v>5633.0877799999998</c:v>
                </c:pt>
                <c:pt idx="517">
                  <c:v>5634.5804399999997</c:v>
                </c:pt>
                <c:pt idx="518">
                  <c:v>5618.2590300000002</c:v>
                </c:pt>
                <c:pt idx="519">
                  <c:v>5713.6410900000001</c:v>
                </c:pt>
                <c:pt idx="520">
                  <c:v>5702.5476200000003</c:v>
                </c:pt>
                <c:pt idx="521">
                  <c:v>5702.5476200000003</c:v>
                </c:pt>
                <c:pt idx="522">
                  <c:v>5702.5476200000003</c:v>
                </c:pt>
                <c:pt idx="523">
                  <c:v>5718.5664900000002</c:v>
                </c:pt>
                <c:pt idx="524">
                  <c:v>5732.9273499999999</c:v>
                </c:pt>
                <c:pt idx="525">
                  <c:v>5722.2605999999996</c:v>
                </c:pt>
                <c:pt idx="526">
                  <c:v>5745.3660900000004</c:v>
                </c:pt>
                <c:pt idx="527">
                  <c:v>5738.1717799999997</c:v>
                </c:pt>
                <c:pt idx="528">
                  <c:v>5738.1717799999997</c:v>
                </c:pt>
                <c:pt idx="529">
                  <c:v>5738.1717799999997</c:v>
                </c:pt>
                <c:pt idx="530">
                  <c:v>5762.48488</c:v>
                </c:pt>
                <c:pt idx="531">
                  <c:v>5708.7514799999999</c:v>
                </c:pt>
                <c:pt idx="532">
                  <c:v>5709.5394399999996</c:v>
                </c:pt>
                <c:pt idx="533">
                  <c:v>5699.94175</c:v>
                </c:pt>
                <c:pt idx="534">
                  <c:v>5751.0681999999997</c:v>
                </c:pt>
                <c:pt idx="535">
                  <c:v>5751.0681999999997</c:v>
                </c:pt>
                <c:pt idx="536">
                  <c:v>5751.0681999999997</c:v>
                </c:pt>
                <c:pt idx="537">
                  <c:v>5695.9434199999996</c:v>
                </c:pt>
                <c:pt idx="538">
                  <c:v>5751.1328899999999</c:v>
                </c:pt>
                <c:pt idx="539">
                  <c:v>5792.0414799999999</c:v>
                </c:pt>
                <c:pt idx="540">
                  <c:v>5780.0512900000003</c:v>
                </c:pt>
                <c:pt idx="541">
                  <c:v>5815.03341</c:v>
                </c:pt>
                <c:pt idx="542">
                  <c:v>5815.03341</c:v>
                </c:pt>
                <c:pt idx="543">
                  <c:v>5815.03341</c:v>
                </c:pt>
                <c:pt idx="544">
                  <c:v>5859.8501500000002</c:v>
                </c:pt>
                <c:pt idx="545">
                  <c:v>5815.2599399999999</c:v>
                </c:pt>
                <c:pt idx="546">
                  <c:v>5842.4745199999998</c:v>
                </c:pt>
                <c:pt idx="547">
                  <c:v>5841.4724100000003</c:v>
                </c:pt>
                <c:pt idx="548">
                  <c:v>5864.6679100000001</c:v>
                </c:pt>
                <c:pt idx="549">
                  <c:v>5864.6679100000001</c:v>
                </c:pt>
                <c:pt idx="550">
                  <c:v>5864.6679100000001</c:v>
                </c:pt>
                <c:pt idx="551">
                  <c:v>5853.9822299999996</c:v>
                </c:pt>
                <c:pt idx="552">
                  <c:v>5851.2023600000002</c:v>
                </c:pt>
                <c:pt idx="553">
                  <c:v>5797.4225900000001</c:v>
                </c:pt>
                <c:pt idx="554">
                  <c:v>5809.8592200000003</c:v>
                </c:pt>
                <c:pt idx="555">
                  <c:v>5808.1170099999999</c:v>
                </c:pt>
                <c:pt idx="556">
                  <c:v>5808.1170099999999</c:v>
                </c:pt>
                <c:pt idx="557">
                  <c:v>5808.1170099999999</c:v>
                </c:pt>
                <c:pt idx="558">
                  <c:v>5823.51775</c:v>
                </c:pt>
                <c:pt idx="559">
                  <c:v>5832.91705</c:v>
                </c:pt>
                <c:pt idx="560">
                  <c:v>5813.6697000000004</c:v>
                </c:pt>
                <c:pt idx="561">
                  <c:v>5705.4479199999996</c:v>
                </c:pt>
                <c:pt idx="562">
                  <c:v>5728.8013600000004</c:v>
                </c:pt>
                <c:pt idx="563">
                  <c:v>5728.8013600000004</c:v>
                </c:pt>
                <c:pt idx="564">
                  <c:v>5728.8013600000004</c:v>
                </c:pt>
                <c:pt idx="565">
                  <c:v>5712.6883399999997</c:v>
                </c:pt>
                <c:pt idx="566">
                  <c:v>5782.7558099999997</c:v>
                </c:pt>
                <c:pt idx="567">
                  <c:v>5929.0442400000002</c:v>
                </c:pt>
                <c:pt idx="568">
                  <c:v>5973.1031599999997</c:v>
                </c:pt>
                <c:pt idx="569">
                  <c:v>5995.5373399999999</c:v>
                </c:pt>
                <c:pt idx="570">
                  <c:v>5995.5373399999999</c:v>
                </c:pt>
                <c:pt idx="571">
                  <c:v>5995.5373399999999</c:v>
                </c:pt>
                <c:pt idx="572">
                  <c:v>6001.34699</c:v>
                </c:pt>
                <c:pt idx="573">
                  <c:v>5983.9898599999997</c:v>
                </c:pt>
                <c:pt idx="574">
                  <c:v>5985.3780100000004</c:v>
                </c:pt>
                <c:pt idx="575">
                  <c:v>5949.1709199999996</c:v>
                </c:pt>
                <c:pt idx="576">
                  <c:v>5870.6164099999996</c:v>
                </c:pt>
                <c:pt idx="577">
                  <c:v>5870.6164099999996</c:v>
                </c:pt>
                <c:pt idx="578">
                  <c:v>5870.6164099999996</c:v>
                </c:pt>
                <c:pt idx="579">
                  <c:v>5893.62345</c:v>
                </c:pt>
                <c:pt idx="580">
                  <c:v>5916.9773500000001</c:v>
                </c:pt>
                <c:pt idx="581">
                  <c:v>5917.1110500000004</c:v>
                </c:pt>
                <c:pt idx="582">
                  <c:v>5948.7072200000002</c:v>
                </c:pt>
                <c:pt idx="583">
                  <c:v>5969.3430799999996</c:v>
                </c:pt>
                <c:pt idx="584">
                  <c:v>5969.3430799999996</c:v>
                </c:pt>
                <c:pt idx="585">
                  <c:v>5969.3430799999996</c:v>
                </c:pt>
                <c:pt idx="586">
                  <c:v>5987.3663500000002</c:v>
                </c:pt>
                <c:pt idx="587">
                  <c:v>6021.6325900000002</c:v>
                </c:pt>
                <c:pt idx="588">
                  <c:v>5998.7380499999999</c:v>
                </c:pt>
                <c:pt idx="589">
                  <c:v>5998.7380499999999</c:v>
                </c:pt>
                <c:pt idx="590">
                  <c:v>6032.3844099999997</c:v>
                </c:pt>
                <c:pt idx="591">
                  <c:v>6032.3844099999997</c:v>
                </c:pt>
                <c:pt idx="592">
                  <c:v>6032.3844099999997</c:v>
                </c:pt>
                <c:pt idx="593">
                  <c:v>6047.1458400000001</c:v>
                </c:pt>
                <c:pt idx="594">
                  <c:v>6049.8817499999996</c:v>
                </c:pt>
                <c:pt idx="595">
                  <c:v>6086.4872599999999</c:v>
                </c:pt>
                <c:pt idx="596">
                  <c:v>6075.10707</c:v>
                </c:pt>
                <c:pt idx="597">
                  <c:v>6090.2704700000004</c:v>
                </c:pt>
                <c:pt idx="598">
                  <c:v>6090.2704700000004</c:v>
                </c:pt>
                <c:pt idx="599">
                  <c:v>6090.2704700000004</c:v>
                </c:pt>
                <c:pt idx="600">
                  <c:v>6052.8485600000004</c:v>
                </c:pt>
                <c:pt idx="601">
                  <c:v>6034.9122799999996</c:v>
                </c:pt>
                <c:pt idx="602">
                  <c:v>6084.1894899999998</c:v>
                </c:pt>
                <c:pt idx="603">
                  <c:v>6051.2473</c:v>
                </c:pt>
                <c:pt idx="604">
                  <c:v>6051.09202</c:v>
                </c:pt>
                <c:pt idx="605">
                  <c:v>6051.09202</c:v>
                </c:pt>
                <c:pt idx="606">
                  <c:v>6051.09202</c:v>
                </c:pt>
                <c:pt idx="607">
                  <c:v>6074.0834699999996</c:v>
                </c:pt>
                <c:pt idx="608">
                  <c:v>6050.6105399999997</c:v>
                </c:pt>
                <c:pt idx="609">
                  <c:v>5872.15985</c:v>
                </c:pt>
                <c:pt idx="610">
                  <c:v>5867.0769899999996</c:v>
                </c:pt>
                <c:pt idx="611">
                  <c:v>5930.8501399999996</c:v>
                </c:pt>
                <c:pt idx="612">
                  <c:v>5930.8501399999996</c:v>
                </c:pt>
                <c:pt idx="613">
                  <c:v>5930.8501399999996</c:v>
                </c:pt>
                <c:pt idx="614">
                  <c:v>5974.0730700000004</c:v>
                </c:pt>
                <c:pt idx="615">
                  <c:v>6040.0355799999998</c:v>
                </c:pt>
                <c:pt idx="616">
                  <c:v>6040.0355799999998</c:v>
                </c:pt>
                <c:pt idx="617">
                  <c:v>6037.5908600000002</c:v>
                </c:pt>
                <c:pt idx="618">
                  <c:v>5970.8376399999997</c:v>
                </c:pt>
                <c:pt idx="619">
                  <c:v>5970.8376399999997</c:v>
                </c:pt>
                <c:pt idx="620">
                  <c:v>5970.8376399999997</c:v>
                </c:pt>
                <c:pt idx="621">
                  <c:v>5906.9355999999998</c:v>
                </c:pt>
                <c:pt idx="622">
                  <c:v>5881.6276500000004</c:v>
                </c:pt>
                <c:pt idx="623">
                  <c:v>5881.6276500000004</c:v>
                </c:pt>
                <c:pt idx="624">
                  <c:v>5868.5513199999996</c:v>
                </c:pt>
                <c:pt idx="625">
                  <c:v>5942.4724999999999</c:v>
                </c:pt>
                <c:pt idx="626">
                  <c:v>5942.4724999999999</c:v>
                </c:pt>
                <c:pt idx="627">
                  <c:v>5942.4724999999999</c:v>
                </c:pt>
                <c:pt idx="628">
                  <c:v>5975.3755300000003</c:v>
                </c:pt>
                <c:pt idx="629">
                  <c:v>5909.0307499999999</c:v>
                </c:pt>
                <c:pt idx="630">
                  <c:v>5918.2478300000002</c:v>
                </c:pt>
                <c:pt idx="631">
                  <c:v>5918.2478300000002</c:v>
                </c:pt>
                <c:pt idx="632">
                  <c:v>5827.0444299999999</c:v>
                </c:pt>
                <c:pt idx="633">
                  <c:v>5827.0444299999999</c:v>
                </c:pt>
                <c:pt idx="634">
                  <c:v>5827.0444299999999</c:v>
                </c:pt>
                <c:pt idx="635">
                  <c:v>5836.2178700000004</c:v>
                </c:pt>
                <c:pt idx="636">
                  <c:v>5842.9107400000003</c:v>
                </c:pt>
                <c:pt idx="637">
                  <c:v>5949.9111199999998</c:v>
                </c:pt>
                <c:pt idx="638">
                  <c:v>5937.3404899999996</c:v>
                </c:pt>
                <c:pt idx="639">
                  <c:v>5996.6647499999999</c:v>
                </c:pt>
                <c:pt idx="640">
                  <c:v>5996.6647499999999</c:v>
                </c:pt>
                <c:pt idx="641">
                  <c:v>5996.6647499999999</c:v>
                </c:pt>
                <c:pt idx="642">
                  <c:v>5996.6647499999999</c:v>
                </c:pt>
                <c:pt idx="643">
                  <c:v>6049.24208</c:v>
                </c:pt>
                <c:pt idx="644">
                  <c:v>6086.3696300000001</c:v>
                </c:pt>
                <c:pt idx="645">
                  <c:v>6118.7063500000004</c:v>
                </c:pt>
                <c:pt idx="646">
                  <c:v>6101.2429300000003</c:v>
                </c:pt>
                <c:pt idx="647">
                  <c:v>6101.2429300000003</c:v>
                </c:pt>
                <c:pt idx="648">
                  <c:v>6101.2429300000003</c:v>
                </c:pt>
                <c:pt idx="649">
                  <c:v>6012.2769200000002</c:v>
                </c:pt>
                <c:pt idx="650">
                  <c:v>6067.69949</c:v>
                </c:pt>
                <c:pt idx="651">
                  <c:v>6039.3114999999998</c:v>
                </c:pt>
                <c:pt idx="652">
                  <c:v>6071.17454</c:v>
                </c:pt>
                <c:pt idx="653">
                  <c:v>6040.5259299999998</c:v>
                </c:pt>
                <c:pt idx="654">
                  <c:v>6040.5259299999998</c:v>
                </c:pt>
                <c:pt idx="655">
                  <c:v>6040.5259299999998</c:v>
                </c:pt>
                <c:pt idx="656">
                  <c:v>5994.56736</c:v>
                </c:pt>
                <c:pt idx="657">
                  <c:v>6037.8771900000002</c:v>
                </c:pt>
                <c:pt idx="658">
                  <c:v>6061.4807499999997</c:v>
                </c:pt>
                <c:pt idx="659">
                  <c:v>6083.5681299999997</c:v>
                </c:pt>
                <c:pt idx="660">
                  <c:v>6025.9924899999996</c:v>
                </c:pt>
                <c:pt idx="661">
                  <c:v>6025.9924899999996</c:v>
                </c:pt>
                <c:pt idx="662">
                  <c:v>6025.9924899999996</c:v>
                </c:pt>
                <c:pt idx="663">
                  <c:v>6066.44254</c:v>
                </c:pt>
                <c:pt idx="664">
                  <c:v>6068.50378</c:v>
                </c:pt>
                <c:pt idx="665">
                  <c:v>6051.9678100000001</c:v>
                </c:pt>
                <c:pt idx="666">
                  <c:v>6115.0715700000001</c:v>
                </c:pt>
                <c:pt idx="667">
                  <c:v>6114.6314700000003</c:v>
                </c:pt>
                <c:pt idx="668">
                  <c:v>6114.6314700000003</c:v>
                </c:pt>
                <c:pt idx="669">
                  <c:v>6114.6314700000003</c:v>
                </c:pt>
                <c:pt idx="670">
                  <c:v>6114.6314700000003</c:v>
                </c:pt>
                <c:pt idx="671">
                  <c:v>6129.58403</c:v>
                </c:pt>
                <c:pt idx="672">
                  <c:v>6144.1520399999999</c:v>
                </c:pt>
                <c:pt idx="673">
                  <c:v>6117.5207399999999</c:v>
                </c:pt>
                <c:pt idx="674">
                  <c:v>6013.1278599999996</c:v>
                </c:pt>
                <c:pt idx="675">
                  <c:v>6013.1278599999996</c:v>
                </c:pt>
                <c:pt idx="676">
                  <c:v>6013.1278599999996</c:v>
                </c:pt>
                <c:pt idx="677">
                  <c:v>5983.2468500000004</c:v>
                </c:pt>
                <c:pt idx="678">
                  <c:v>5955.2524299999995</c:v>
                </c:pt>
                <c:pt idx="679">
                  <c:v>5956.0586899999998</c:v>
                </c:pt>
                <c:pt idx="680">
                  <c:v>5861.5735800000002</c:v>
                </c:pt>
                <c:pt idx="681">
                  <c:v>5954.5048299999999</c:v>
                </c:pt>
                <c:pt idx="682">
                  <c:v>5954.5048299999999</c:v>
                </c:pt>
                <c:pt idx="683">
                  <c:v>5954.5048299999999</c:v>
                </c:pt>
                <c:pt idx="684">
                  <c:v>5849.7194200000004</c:v>
                </c:pt>
                <c:pt idx="685">
                  <c:v>5778.1491900000001</c:v>
                </c:pt>
                <c:pt idx="686">
                  <c:v>5842.6254900000004</c:v>
                </c:pt>
                <c:pt idx="687">
                  <c:v>5738.5187100000003</c:v>
                </c:pt>
                <c:pt idx="688">
                  <c:v>5770.1956099999998</c:v>
                </c:pt>
                <c:pt idx="689">
                  <c:v>5770.1956099999998</c:v>
                </c:pt>
                <c:pt idx="690">
                  <c:v>5770.1956099999998</c:v>
                </c:pt>
                <c:pt idx="691">
                  <c:v>5614.5635499999999</c:v>
                </c:pt>
                <c:pt idx="692">
                  <c:v>5572.0699199999999</c:v>
                </c:pt>
                <c:pt idx="693">
                  <c:v>5599.30026</c:v>
                </c:pt>
                <c:pt idx="694">
                  <c:v>5521.5192999999999</c:v>
                </c:pt>
                <c:pt idx="695">
                  <c:v>5638.9401699999999</c:v>
                </c:pt>
                <c:pt idx="696">
                  <c:v>5638.9401699999999</c:v>
                </c:pt>
                <c:pt idx="697">
                  <c:v>5638.9401699999999</c:v>
                </c:pt>
                <c:pt idx="698">
                  <c:v>5675.1173200000003</c:v>
                </c:pt>
                <c:pt idx="699">
                  <c:v>5614.66201</c:v>
                </c:pt>
                <c:pt idx="700">
                  <c:v>5675.2871699999996</c:v>
                </c:pt>
                <c:pt idx="701">
                  <c:v>5662.8905299999997</c:v>
                </c:pt>
                <c:pt idx="702">
                  <c:v>5667.5642699999999</c:v>
                </c:pt>
                <c:pt idx="703">
                  <c:v>5667.5642699999999</c:v>
                </c:pt>
                <c:pt idx="704">
                  <c:v>5667.5642699999999</c:v>
                </c:pt>
                <c:pt idx="705">
                  <c:v>5767.5671000000002</c:v>
                </c:pt>
                <c:pt idx="706">
                  <c:v>5776.6512899999998</c:v>
                </c:pt>
                <c:pt idx="707">
                  <c:v>5712.2034299999996</c:v>
                </c:pt>
                <c:pt idx="708">
                  <c:v>5693.3126499999998</c:v>
                </c:pt>
                <c:pt idx="709">
                  <c:v>5580.9435800000001</c:v>
                </c:pt>
                <c:pt idx="710">
                  <c:v>5580.9435800000001</c:v>
                </c:pt>
                <c:pt idx="711">
                  <c:v>5580.9435800000001</c:v>
                </c:pt>
                <c:pt idx="712">
                  <c:v>5611.8526099999999</c:v>
                </c:pt>
                <c:pt idx="713">
                  <c:v>5633.0696900000003</c:v>
                </c:pt>
                <c:pt idx="714">
                  <c:v>5670.9736199999998</c:v>
                </c:pt>
                <c:pt idx="715">
                  <c:v>5396.5168000000003</c:v>
                </c:pt>
                <c:pt idx="716">
                  <c:v>5074.0756300000003</c:v>
                </c:pt>
                <c:pt idx="717">
                  <c:v>5074.0756300000003</c:v>
                </c:pt>
                <c:pt idx="718">
                  <c:v>5074.0756300000003</c:v>
                </c:pt>
                <c:pt idx="719">
                  <c:v>5062.2455200000004</c:v>
                </c:pt>
                <c:pt idx="720">
                  <c:v>4982.7703099999999</c:v>
                </c:pt>
                <c:pt idx="721">
                  <c:v>5456.9006900000004</c:v>
                </c:pt>
                <c:pt idx="722">
                  <c:v>5268.0543799999996</c:v>
                </c:pt>
                <c:pt idx="723">
                  <c:v>5363.3594800000001</c:v>
                </c:pt>
                <c:pt idx="724">
                  <c:v>5363.3594800000001</c:v>
                </c:pt>
                <c:pt idx="725">
                  <c:v>5363.3594800000001</c:v>
                </c:pt>
                <c:pt idx="726">
                  <c:v>5405.9711900000002</c:v>
                </c:pt>
                <c:pt idx="727">
                  <c:v>5396.6346800000001</c:v>
                </c:pt>
                <c:pt idx="728">
                  <c:v>5275.7010600000003</c:v>
                </c:pt>
                <c:pt idx="729">
                  <c:v>5282.7010200000004</c:v>
                </c:pt>
                <c:pt idx="730">
                  <c:v>5282.7010200000004</c:v>
                </c:pt>
                <c:pt idx="731">
                  <c:v>5282.7010200000004</c:v>
                </c:pt>
                <c:pt idx="732">
                  <c:v>5282.7010200000004</c:v>
                </c:pt>
                <c:pt idx="733">
                  <c:v>5158.2026800000003</c:v>
                </c:pt>
                <c:pt idx="734">
                  <c:v>5287.7630099999997</c:v>
                </c:pt>
                <c:pt idx="735">
                  <c:v>5375.8638300000002</c:v>
                </c:pt>
                <c:pt idx="736">
                  <c:v>5484.7738099999997</c:v>
                </c:pt>
                <c:pt idx="737">
                  <c:v>5525.2051199999996</c:v>
                </c:pt>
                <c:pt idx="738">
                  <c:v>5525.2051199999996</c:v>
                </c:pt>
                <c:pt idx="739">
                  <c:v>5525.2051199999996</c:v>
                </c:pt>
                <c:pt idx="740">
                  <c:v>5528.7457400000003</c:v>
                </c:pt>
                <c:pt idx="741">
                  <c:v>5560.82701</c:v>
                </c:pt>
                <c:pt idx="742">
                  <c:v>5569.0646699999998</c:v>
                </c:pt>
                <c:pt idx="743">
                  <c:v>5604.1413300000004</c:v>
                </c:pt>
                <c:pt idx="744">
                  <c:v>5686.6748299999999</c:v>
                </c:pt>
                <c:pt idx="745">
                  <c:v>5686.6748299999999</c:v>
                </c:pt>
                <c:pt idx="746">
                  <c:v>5686.6748299999999</c:v>
                </c:pt>
                <c:pt idx="747">
                  <c:v>5650.3816699999998</c:v>
                </c:pt>
                <c:pt idx="748">
                  <c:v>5606.9067999999997</c:v>
                </c:pt>
                <c:pt idx="749">
                  <c:v>5631.28431</c:v>
                </c:pt>
                <c:pt idx="750">
                  <c:v>5663.9393099999998</c:v>
                </c:pt>
                <c:pt idx="751">
                  <c:v>5659.9122500000003</c:v>
                </c:pt>
                <c:pt idx="752">
                  <c:v>5659.9122500000003</c:v>
                </c:pt>
                <c:pt idx="753">
                  <c:v>5659.9122500000003</c:v>
                </c:pt>
                <c:pt idx="754">
                  <c:v>5844.1866900000005</c:v>
                </c:pt>
                <c:pt idx="755">
                  <c:v>5886.5528100000001</c:v>
                </c:pt>
                <c:pt idx="756">
                  <c:v>5892.5844900000002</c:v>
                </c:pt>
                <c:pt idx="757">
                  <c:v>5916.9260800000002</c:v>
                </c:pt>
                <c:pt idx="758">
                  <c:v>5958.3755300000003</c:v>
                </c:pt>
                <c:pt idx="759">
                  <c:v>5958.3755300000003</c:v>
                </c:pt>
                <c:pt idx="760">
                  <c:v>5958.3755300000003</c:v>
                </c:pt>
                <c:pt idx="761">
                  <c:v>5963.6043499999996</c:v>
                </c:pt>
                <c:pt idx="762">
                  <c:v>5940.4637499999999</c:v>
                </c:pt>
                <c:pt idx="763">
                  <c:v>5844.6121300000004</c:v>
                </c:pt>
                <c:pt idx="764">
                  <c:v>5842.0083100000002</c:v>
                </c:pt>
                <c:pt idx="765">
                  <c:v>5802.8150800000003</c:v>
                </c:pt>
                <c:pt idx="766">
                  <c:v>5802.8150800000003</c:v>
                </c:pt>
                <c:pt idx="767">
                  <c:v>5802.8150800000003</c:v>
                </c:pt>
                <c:pt idx="768">
                  <c:v>5802.8150800000003</c:v>
                </c:pt>
                <c:pt idx="769">
                  <c:v>5921.5403500000002</c:v>
                </c:pt>
                <c:pt idx="770">
                  <c:v>5888.5525799999996</c:v>
                </c:pt>
                <c:pt idx="771">
                  <c:v>5912.1727199999996</c:v>
                </c:pt>
                <c:pt idx="772">
                  <c:v>5911.6867199999997</c:v>
                </c:pt>
                <c:pt idx="773">
                  <c:v>5911.6867199999997</c:v>
                </c:pt>
                <c:pt idx="774">
                  <c:v>5911.6867199999997</c:v>
                </c:pt>
                <c:pt idx="775">
                  <c:v>5935.9409599999999</c:v>
                </c:pt>
                <c:pt idx="776">
                  <c:v>5970.3682399999998</c:v>
                </c:pt>
                <c:pt idx="777">
                  <c:v>5970.8132400000004</c:v>
                </c:pt>
                <c:pt idx="778">
                  <c:v>5939.30332</c:v>
                </c:pt>
                <c:pt idx="779">
                  <c:v>6000.3551299999999</c:v>
                </c:pt>
                <c:pt idx="780">
                  <c:v>6000.3551299999999</c:v>
                </c:pt>
                <c:pt idx="781">
                  <c:v>6000.3551299999999</c:v>
                </c:pt>
                <c:pt idx="782">
                  <c:v>6005.88346</c:v>
                </c:pt>
                <c:pt idx="783">
                  <c:v>6038.8057900000003</c:v>
                </c:pt>
                <c:pt idx="784">
                  <c:v>6022.2412100000001</c:v>
                </c:pt>
                <c:pt idx="785">
                  <c:v>6045.2556699999996</c:v>
                </c:pt>
                <c:pt idx="786">
                  <c:v>5976.96587</c:v>
                </c:pt>
                <c:pt idx="787">
                  <c:v>5976.96587</c:v>
                </c:pt>
                <c:pt idx="788">
                  <c:v>5976.96587</c:v>
                </c:pt>
                <c:pt idx="789">
                  <c:v>6033.1062899999997</c:v>
                </c:pt>
                <c:pt idx="790">
                  <c:v>5982.7169899999999</c:v>
                </c:pt>
                <c:pt idx="791">
                  <c:v>5980.8654999999999</c:v>
                </c:pt>
                <c:pt idx="792">
                  <c:v>5980.8654999999999</c:v>
                </c:pt>
                <c:pt idx="793">
                  <c:v>5967.8395</c:v>
                </c:pt>
                <c:pt idx="794">
                  <c:v>5967.8395</c:v>
                </c:pt>
                <c:pt idx="795">
                  <c:v>5967.8395</c:v>
                </c:pt>
                <c:pt idx="796">
                  <c:v>6025.1740399999999</c:v>
                </c:pt>
                <c:pt idx="797">
                  <c:v>6092.1810500000001</c:v>
                </c:pt>
                <c:pt idx="798">
                  <c:v>6092.1613699999998</c:v>
                </c:pt>
                <c:pt idx="799">
                  <c:v>6141.0192800000004</c:v>
                </c:pt>
                <c:pt idx="800">
                  <c:v>6173.0735699999996</c:v>
                </c:pt>
                <c:pt idx="801">
                  <c:v>6173.0735699999996</c:v>
                </c:pt>
                <c:pt idx="802">
                  <c:v>6173.0735699999996</c:v>
                </c:pt>
                <c:pt idx="803">
                  <c:v>6204.9539500000001</c:v>
                </c:pt>
                <c:pt idx="804">
                  <c:v>6198.00695</c:v>
                </c:pt>
                <c:pt idx="805">
                  <c:v>6227.4196899999997</c:v>
                </c:pt>
                <c:pt idx="806">
                  <c:v>6279.3509700000004</c:v>
                </c:pt>
                <c:pt idx="807">
                  <c:v>6279.3509700000004</c:v>
                </c:pt>
                <c:pt idx="808">
                  <c:v>6279.3509700000004</c:v>
                </c:pt>
                <c:pt idx="809">
                  <c:v>6279.3509700000004</c:v>
                </c:pt>
                <c:pt idx="810">
                  <c:v>6229.9774600000001</c:v>
                </c:pt>
                <c:pt idx="811">
                  <c:v>6225.5234099999998</c:v>
                </c:pt>
                <c:pt idx="812">
                  <c:v>6263.2643799999996</c:v>
                </c:pt>
                <c:pt idx="813">
                  <c:v>6280.4583000000002</c:v>
                </c:pt>
                <c:pt idx="814">
                  <c:v>6259.7464399999999</c:v>
                </c:pt>
                <c:pt idx="815">
                  <c:v>6259.7464399999999</c:v>
                </c:pt>
                <c:pt idx="816">
                  <c:v>6259.7464399999999</c:v>
                </c:pt>
                <c:pt idx="817">
                  <c:v>6268.5590099999999</c:v>
                </c:pt>
                <c:pt idx="818">
                  <c:v>6243.7557100000004</c:v>
                </c:pt>
                <c:pt idx="819">
                  <c:v>6263.69524</c:v>
                </c:pt>
                <c:pt idx="820">
                  <c:v>6297.3619099999996</c:v>
                </c:pt>
                <c:pt idx="821">
                  <c:v>6296.7890399999997</c:v>
                </c:pt>
                <c:pt idx="822">
                  <c:v>6296.7890399999997</c:v>
                </c:pt>
                <c:pt idx="823">
                  <c:v>6296.7890399999997</c:v>
                </c:pt>
                <c:pt idx="824">
                  <c:v>6305.5951800000003</c:v>
                </c:pt>
                <c:pt idx="825">
                  <c:v>6309.6236799999997</c:v>
                </c:pt>
                <c:pt idx="826">
                  <c:v>6358.9137899999996</c:v>
                </c:pt>
                <c:pt idx="827">
                  <c:v>6363.3492999999999</c:v>
                </c:pt>
                <c:pt idx="828">
                  <c:v>6388.6445000000003</c:v>
                </c:pt>
                <c:pt idx="829">
                  <c:v>6388.6445000000003</c:v>
                </c:pt>
                <c:pt idx="830">
                  <c:v>6388.6445000000003</c:v>
                </c:pt>
                <c:pt idx="831">
                  <c:v>6389.7664800000002</c:v>
                </c:pt>
                <c:pt idx="832">
                  <c:v>6370.8612999999996</c:v>
                </c:pt>
                <c:pt idx="833">
                  <c:v>6362.89876</c:v>
                </c:pt>
                <c:pt idx="834">
                  <c:v>6339.3945700000004</c:v>
                </c:pt>
                <c:pt idx="835">
                  <c:v>6238.0065699999996</c:v>
                </c:pt>
                <c:pt idx="836">
                  <c:v>6238.0065699999996</c:v>
                </c:pt>
                <c:pt idx="837">
                  <c:v>6238.0065699999996</c:v>
                </c:pt>
                <c:pt idx="838">
                  <c:v>6329.9395000000004</c:v>
                </c:pt>
                <c:pt idx="839">
                  <c:v>6299.1939499999999</c:v>
                </c:pt>
                <c:pt idx="840">
                  <c:v>6345.0595400000002</c:v>
                </c:pt>
                <c:pt idx="841">
                  <c:v>6339.99773</c:v>
                </c:pt>
                <c:pt idx="842">
                  <c:v>6389.4453100000001</c:v>
                </c:pt>
                <c:pt idx="843">
                  <c:v>6389.4453100000001</c:v>
                </c:pt>
                <c:pt idx="844">
                  <c:v>6389.4453100000001</c:v>
                </c:pt>
                <c:pt idx="845">
                  <c:v>6373.4533700000002</c:v>
                </c:pt>
                <c:pt idx="846">
                  <c:v>6445.7622000000001</c:v>
                </c:pt>
                <c:pt idx="847">
                  <c:v>6466.5846899999997</c:v>
                </c:pt>
                <c:pt idx="848">
                  <c:v>6468.5351899999996</c:v>
                </c:pt>
                <c:pt idx="849">
                  <c:v>6449.7965800000002</c:v>
                </c:pt>
                <c:pt idx="850">
                  <c:v>6449.7965800000002</c:v>
                </c:pt>
                <c:pt idx="851">
                  <c:v>6449.7965800000002</c:v>
                </c:pt>
                <c:pt idx="852">
                  <c:v>6449.1491500000002</c:v>
                </c:pt>
                <c:pt idx="853">
                  <c:v>6411.3745900000004</c:v>
                </c:pt>
                <c:pt idx="854">
                  <c:v>6395.7811899999997</c:v>
                </c:pt>
                <c:pt idx="855">
                  <c:v>6370.1726699999999</c:v>
                </c:pt>
                <c:pt idx="856">
                  <c:v>6466.9129700000003</c:v>
                </c:pt>
                <c:pt idx="857">
                  <c:v>6466.9129700000003</c:v>
                </c:pt>
                <c:pt idx="858">
                  <c:v>6466.9129700000003</c:v>
                </c:pt>
                <c:pt idx="859">
                  <c:v>6439.31988</c:v>
                </c:pt>
                <c:pt idx="860">
                  <c:v>6465.9352799999997</c:v>
                </c:pt>
                <c:pt idx="861">
                  <c:v>6481.40319</c:v>
                </c:pt>
                <c:pt idx="862">
                  <c:v>6501.8594199999998</c:v>
                </c:pt>
                <c:pt idx="863">
                  <c:v>6460.2626700000001</c:v>
                </c:pt>
                <c:pt idx="864">
                  <c:v>6460.2626700000001</c:v>
                </c:pt>
                <c:pt idx="865">
                  <c:v>6460.2626700000001</c:v>
                </c:pt>
                <c:pt idx="866">
                  <c:v>6460.2626700000001</c:v>
                </c:pt>
                <c:pt idx="867">
                  <c:v>6415.5413399999998</c:v>
                </c:pt>
                <c:pt idx="868">
                  <c:v>6448.2608499999997</c:v>
                </c:pt>
                <c:pt idx="869">
                  <c:v>6502.0829199999998</c:v>
                </c:pt>
                <c:pt idx="870">
                  <c:v>6481.4955300000001</c:v>
                </c:pt>
                <c:pt idx="871">
                  <c:v>6481.4955300000001</c:v>
                </c:pt>
                <c:pt idx="872">
                  <c:v>6481.4955300000001</c:v>
                </c:pt>
                <c:pt idx="873">
                  <c:v>6495.1548300000004</c:v>
                </c:pt>
                <c:pt idx="874">
                  <c:v>6512.6107499999998</c:v>
                </c:pt>
                <c:pt idx="875">
                  <c:v>6532.0433400000002</c:v>
                </c:pt>
                <c:pt idx="876">
                  <c:v>6587.4708700000001</c:v>
                </c:pt>
                <c:pt idx="877">
                  <c:v>6584.2850200000003</c:v>
                </c:pt>
                <c:pt idx="878">
                  <c:v>6584.2850200000003</c:v>
                </c:pt>
                <c:pt idx="879">
                  <c:v>6584.2850200000003</c:v>
                </c:pt>
                <c:pt idx="880">
                  <c:v>6615.2767599999997</c:v>
                </c:pt>
                <c:pt idx="881">
                  <c:v>6606.75594</c:v>
                </c:pt>
                <c:pt idx="882">
                  <c:v>6600.3470900000002</c:v>
                </c:pt>
                <c:pt idx="883">
                  <c:v>6631.9628899999998</c:v>
                </c:pt>
                <c:pt idx="884">
                  <c:v>6664.3648000000003</c:v>
                </c:pt>
                <c:pt idx="885">
                  <c:v>6664.3648000000003</c:v>
                </c:pt>
                <c:pt idx="886">
                  <c:v>6664.3648000000003</c:v>
                </c:pt>
                <c:pt idx="887">
                  <c:v>6693.7533400000002</c:v>
                </c:pt>
                <c:pt idx="888">
                  <c:v>6656.9198800000004</c:v>
                </c:pt>
                <c:pt idx="889">
                  <c:v>6637.9736700000003</c:v>
                </c:pt>
                <c:pt idx="890">
                  <c:v>6604.7172399999999</c:v>
                </c:pt>
                <c:pt idx="891">
                  <c:v>6643.6975400000001</c:v>
                </c:pt>
                <c:pt idx="892">
                  <c:v>6643.6975400000001</c:v>
                </c:pt>
                <c:pt idx="893">
                  <c:v>6643.6975400000001</c:v>
                </c:pt>
                <c:pt idx="894">
                  <c:v>6661.2073300000002</c:v>
                </c:pt>
                <c:pt idx="895">
                  <c:v>6688.4590399999997</c:v>
                </c:pt>
                <c:pt idx="896">
                  <c:v>6711.2039100000002</c:v>
                </c:pt>
                <c:pt idx="897">
                  <c:v>6715.3463000000002</c:v>
                </c:pt>
                <c:pt idx="898">
                  <c:v>6715.7892599999996</c:v>
                </c:pt>
                <c:pt idx="899">
                  <c:v>6715.7892599999996</c:v>
                </c:pt>
                <c:pt idx="900">
                  <c:v>6715.7892599999996</c:v>
                </c:pt>
                <c:pt idx="901">
                  <c:v>6740.2813599999999</c:v>
                </c:pt>
                <c:pt idx="902">
                  <c:v>6714.5879199999999</c:v>
                </c:pt>
                <c:pt idx="903">
                  <c:v>6753.7170699999997</c:v>
                </c:pt>
                <c:pt idx="904">
                  <c:v>6735.1107899999997</c:v>
                </c:pt>
                <c:pt idx="905">
                  <c:v>6552.51325</c:v>
                </c:pt>
                <c:pt idx="906">
                  <c:v>6552.51325</c:v>
                </c:pt>
                <c:pt idx="907">
                  <c:v>6552.51325</c:v>
                </c:pt>
                <c:pt idx="908">
                  <c:v>6654.7190899999996</c:v>
                </c:pt>
                <c:pt idx="909">
                  <c:v>6644.3083999999999</c:v>
                </c:pt>
                <c:pt idx="910">
                  <c:v>6671.0582800000002</c:v>
                </c:pt>
                <c:pt idx="911">
                  <c:v>6629.0742300000002</c:v>
                </c:pt>
                <c:pt idx="912">
                  <c:v>6664.01098</c:v>
                </c:pt>
                <c:pt idx="913">
                  <c:v>6664.01098</c:v>
                </c:pt>
                <c:pt idx="914">
                  <c:v>6664.01098</c:v>
                </c:pt>
                <c:pt idx="915">
                  <c:v>6735.1265100000001</c:v>
                </c:pt>
                <c:pt idx="916">
                  <c:v>6735.3514999999998</c:v>
                </c:pt>
                <c:pt idx="917">
                  <c:v>6699.4023999999999</c:v>
                </c:pt>
                <c:pt idx="918">
                  <c:v>6738.4377100000002</c:v>
                </c:pt>
                <c:pt idx="919">
                  <c:v>6791.6938099999998</c:v>
                </c:pt>
                <c:pt idx="920">
                  <c:v>6791.6938099999998</c:v>
                </c:pt>
                <c:pt idx="921">
                  <c:v>6791.6938099999998</c:v>
                </c:pt>
                <c:pt idx="922">
                  <c:v>6875.1568900000002</c:v>
                </c:pt>
                <c:pt idx="923">
                  <c:v>6890.8883699999997</c:v>
                </c:pt>
                <c:pt idx="924">
                  <c:v>6890.5870500000001</c:v>
                </c:pt>
                <c:pt idx="925">
                  <c:v>6822.34033</c:v>
                </c:pt>
                <c:pt idx="926">
                  <c:v>6840.1987399999998</c:v>
                </c:pt>
                <c:pt idx="927">
                  <c:v>6840.1987399999998</c:v>
                </c:pt>
                <c:pt idx="928">
                  <c:v>6840.1987399999998</c:v>
                </c:pt>
                <c:pt idx="929">
                  <c:v>6851.96666</c:v>
                </c:pt>
                <c:pt idx="930">
                  <c:v>6771.5474899999999</c:v>
                </c:pt>
                <c:pt idx="931">
                  <c:v>6796.2894299999998</c:v>
                </c:pt>
                <c:pt idx="932">
                  <c:v>6720.3201499999996</c:v>
                </c:pt>
                <c:pt idx="933">
                  <c:v>6728.8011100000003</c:v>
                </c:pt>
                <c:pt idx="934">
                  <c:v>6728.8011100000003</c:v>
                </c:pt>
                <c:pt idx="935">
                  <c:v>6728.8011100000003</c:v>
                </c:pt>
                <c:pt idx="936">
                  <c:v>6832.4301599999999</c:v>
                </c:pt>
                <c:pt idx="937">
                  <c:v>6846.6142300000001</c:v>
                </c:pt>
                <c:pt idx="938">
                  <c:v>6850.9164799999999</c:v>
                </c:pt>
                <c:pt idx="939">
                  <c:v>6737.4887200000003</c:v>
                </c:pt>
                <c:pt idx="940">
                  <c:v>6734.11067</c:v>
                </c:pt>
                <c:pt idx="941">
                  <c:v>6734.11067</c:v>
                </c:pt>
                <c:pt idx="942">
                  <c:v>6734.11067</c:v>
                </c:pt>
                <c:pt idx="943">
                  <c:v>6672.4116299999996</c:v>
                </c:pt>
                <c:pt idx="944">
                  <c:v>6617.32006</c:v>
                </c:pt>
                <c:pt idx="945">
                  <c:v>6642.1585100000002</c:v>
                </c:pt>
                <c:pt idx="946">
                  <c:v>6538.7626700000001</c:v>
                </c:pt>
                <c:pt idx="947">
                  <c:v>6602.9863299999997</c:v>
                </c:pt>
                <c:pt idx="948">
                  <c:v>6602.9863299999997</c:v>
                </c:pt>
                <c:pt idx="949">
                  <c:v>6602.9863299999997</c:v>
                </c:pt>
                <c:pt idx="950">
                  <c:v>6705.1170899999997</c:v>
                </c:pt>
                <c:pt idx="951">
                  <c:v>6765.8759700000001</c:v>
                </c:pt>
                <c:pt idx="952">
                  <c:v>6812.6130899999998</c:v>
                </c:pt>
                <c:pt idx="953">
                  <c:v>6812.6130899999998</c:v>
                </c:pt>
                <c:pt idx="954">
                  <c:v>6849.0873700000002</c:v>
                </c:pt>
                <c:pt idx="955">
                  <c:v>6849.0873700000002</c:v>
                </c:pt>
                <c:pt idx="956">
                  <c:v>6849.0873700000002</c:v>
                </c:pt>
                <c:pt idx="957">
                  <c:v>6812.6258500000004</c:v>
                </c:pt>
                <c:pt idx="958">
                  <c:v>6829.3705799999998</c:v>
                </c:pt>
                <c:pt idx="959">
                  <c:v>6849.7227199999998</c:v>
                </c:pt>
                <c:pt idx="960">
                  <c:v>6857.1196900000004</c:v>
                </c:pt>
                <c:pt idx="961">
                  <c:v>6870.4042099999997</c:v>
                </c:pt>
                <c:pt idx="962">
                  <c:v>6870.4042099999997</c:v>
                </c:pt>
                <c:pt idx="963">
                  <c:v>6870.4042099999997</c:v>
                </c:pt>
                <c:pt idx="964">
                  <c:v>6846.5061699999997</c:v>
                </c:pt>
                <c:pt idx="965">
                  <c:v>6840.5096199999998</c:v>
                </c:pt>
                <c:pt idx="966">
                  <c:v>6886.6829900000002</c:v>
                </c:pt>
                <c:pt idx="967">
                  <c:v>6900.9951899999996</c:v>
                </c:pt>
                <c:pt idx="968">
                  <c:v>6827.4064600000002</c:v>
                </c:pt>
                <c:pt idx="969">
                  <c:v>6827.4064600000002</c:v>
                </c:pt>
                <c:pt idx="970">
                  <c:v>6827.4064600000002</c:v>
                </c:pt>
                <c:pt idx="971">
                  <c:v>6816.5083000000004</c:v>
                </c:pt>
                <c:pt idx="972">
                  <c:v>6800.2572200000004</c:v>
                </c:pt>
                <c:pt idx="973">
                  <c:v>6721.4295499999998</c:v>
                </c:pt>
                <c:pt idx="974">
                  <c:v>6774.7575699999998</c:v>
                </c:pt>
                <c:pt idx="975">
                  <c:v>6834.4961899999998</c:v>
                </c:pt>
                <c:pt idx="976">
                  <c:v>6834.4961899999998</c:v>
                </c:pt>
                <c:pt idx="977">
                  <c:v>6834.4961899999998</c:v>
                </c:pt>
                <c:pt idx="978">
                  <c:v>6878.4894800000002</c:v>
                </c:pt>
                <c:pt idx="979">
                  <c:v>6909.7920700000004</c:v>
                </c:pt>
                <c:pt idx="980">
                  <c:v>6932.04918</c:v>
                </c:pt>
                <c:pt idx="981">
                  <c:v>6932.04918</c:v>
                </c:pt>
                <c:pt idx="982">
                  <c:v>6929.9361200000003</c:v>
                </c:pt>
                <c:pt idx="983">
                  <c:v>6929.9361200000003</c:v>
                </c:pt>
                <c:pt idx="984">
                  <c:v>6929.9361200000003</c:v>
                </c:pt>
                <c:pt idx="985">
                  <c:v>6905.7440500000002</c:v>
                </c:pt>
                <c:pt idx="986">
                  <c:v>6896.2417400000004</c:v>
                </c:pt>
                <c:pt idx="987">
                  <c:v>6845.5047100000002</c:v>
                </c:pt>
                <c:pt idx="988">
                  <c:v>6845.5047100000002</c:v>
                </c:pt>
                <c:pt idx="989">
                  <c:v>6858.4723100000001</c:v>
                </c:pt>
                <c:pt idx="990">
                  <c:v>6858.4723100000001</c:v>
                </c:pt>
                <c:pt idx="991">
                  <c:v>6858.4723100000001</c:v>
                </c:pt>
                <c:pt idx="992">
                  <c:v>6902.0508499999996</c:v>
                </c:pt>
                <c:pt idx="993">
                  <c:v>6944.8192200000003</c:v>
                </c:pt>
                <c:pt idx="994">
                  <c:v>6920.9292599999999</c:v>
                </c:pt>
                <c:pt idx="995">
                  <c:v>6921.4570899999999</c:v>
                </c:pt>
                <c:pt idx="996">
                  <c:v>6966.2839199999999</c:v>
                </c:pt>
                <c:pt idx="997">
                  <c:v>6966.2839199999999</c:v>
                </c:pt>
                <c:pt idx="998">
                  <c:v>6966.2839199999999</c:v>
                </c:pt>
                <c:pt idx="999">
                  <c:v>6977.2650299999996</c:v>
                </c:pt>
                <c:pt idx="1000">
                  <c:v>6963.7350999999999</c:v>
                </c:pt>
                <c:pt idx="1001">
                  <c:v>6926.5961500000003</c:v>
                </c:pt>
                <c:pt idx="1002">
                  <c:v>6944.4718800000001</c:v>
                </c:pt>
                <c:pt idx="1003">
                  <c:v>6940.0095099999999</c:v>
                </c:pt>
                <c:pt idx="1004">
                  <c:v>6940.0095099999999</c:v>
                </c:pt>
                <c:pt idx="1005">
                  <c:v>6940.0095099999999</c:v>
                </c:pt>
                <c:pt idx="1006">
                  <c:v>6940.0095099999999</c:v>
                </c:pt>
                <c:pt idx="1007">
                  <c:v>6796.8608100000001</c:v>
                </c:pt>
                <c:pt idx="1008">
                  <c:v>6875.6152700000002</c:v>
                </c:pt>
                <c:pt idx="1009">
                  <c:v>6913.3520399999998</c:v>
                </c:pt>
                <c:pt idx="1010">
                  <c:v>6915.6106499999996</c:v>
                </c:pt>
                <c:pt idx="1011">
                  <c:v>6915.6106499999996</c:v>
                </c:pt>
                <c:pt idx="1012">
                  <c:v>6915.6106499999996</c:v>
                </c:pt>
                <c:pt idx="1013">
                  <c:v>6950.2322000000004</c:v>
                </c:pt>
                <c:pt idx="1014">
                  <c:v>6978.5969299999997</c:v>
                </c:pt>
                <c:pt idx="1015">
                  <c:v>6978.0293899999997</c:v>
                </c:pt>
                <c:pt idx="1016">
                  <c:v>6969.0068899999997</c:v>
                </c:pt>
                <c:pt idx="1017">
                  <c:v>6939.02952</c:v>
                </c:pt>
                <c:pt idx="1018">
                  <c:v>6939.02952</c:v>
                </c:pt>
                <c:pt idx="1019">
                  <c:v>6939.02952</c:v>
                </c:pt>
                <c:pt idx="1020">
                  <c:v>6976.4441800000004</c:v>
                </c:pt>
                <c:pt idx="1021">
                  <c:v>6917.8117000000002</c:v>
                </c:pt>
                <c:pt idx="1022">
                  <c:v>6882.7211100000004</c:v>
                </c:pt>
                <c:pt idx="1023">
                  <c:v>6798.39948</c:v>
                </c:pt>
                <c:pt idx="1024">
                  <c:v>6932.2976699999999</c:v>
                </c:pt>
                <c:pt idx="1025">
                  <c:v>6932.2976699999999</c:v>
                </c:pt>
                <c:pt idx="1026">
                  <c:v>6932.2976699999999</c:v>
                </c:pt>
                <c:pt idx="1027">
                  <c:v>6964.8198499999999</c:v>
                </c:pt>
                <c:pt idx="1028">
                  <c:v>6941.8125099999997</c:v>
                </c:pt>
                <c:pt idx="1029">
                  <c:v>6941.4710100000002</c:v>
                </c:pt>
                <c:pt idx="1030">
                  <c:v>6832.7614700000004</c:v>
                </c:pt>
                <c:pt idx="1031">
                  <c:v>6836.17209</c:v>
                </c:pt>
                <c:pt idx="1032">
                  <c:v>6836.17209</c:v>
                </c:pt>
                <c:pt idx="1033">
                  <c:v>6836.17209</c:v>
                </c:pt>
                <c:pt idx="1034">
                  <c:v>6836.17209</c:v>
                </c:pt>
                <c:pt idx="1035">
                  <c:v>6843.2232599999998</c:v>
                </c:pt>
                <c:pt idx="1036">
                  <c:v>6881.3145599999998</c:v>
                </c:pt>
                <c:pt idx="1037">
                  <c:v>6861.8937400000004</c:v>
                </c:pt>
                <c:pt idx="1038">
                  <c:v>6909.5066200000001</c:v>
                </c:pt>
                <c:pt idx="1039">
                  <c:v>6909.5066200000001</c:v>
                </c:pt>
                <c:pt idx="1040">
                  <c:v>6909.5066200000001</c:v>
                </c:pt>
                <c:pt idx="1041">
                  <c:v>6837.7545200000004</c:v>
                </c:pt>
                <c:pt idx="1042">
                  <c:v>6890.0723099999996</c:v>
                </c:pt>
                <c:pt idx="1043">
                  <c:v>6946.1266900000001</c:v>
                </c:pt>
                <c:pt idx="1044">
                  <c:v>6908.8646799999997</c:v>
                </c:pt>
                <c:pt idx="1045">
                  <c:v>6878.8784999999998</c:v>
                </c:pt>
                <c:pt idx="1046">
                  <c:v>6878.8784999999998</c:v>
                </c:pt>
                <c:pt idx="1047">
                  <c:v>6878.8784999999998</c:v>
                </c:pt>
                <c:pt idx="1048">
                  <c:v>6881.6200799999997</c:v>
                </c:pt>
                <c:pt idx="1049">
                  <c:v>6816.6270299999996</c:v>
                </c:pt>
                <c:pt idx="1050">
                  <c:v>6869.5024400000002</c:v>
                </c:pt>
                <c:pt idx="1051">
                  <c:v>6830.7080699999997</c:v>
                </c:pt>
                <c:pt idx="1052">
                  <c:v>6740.0234300000002</c:v>
                </c:pt>
                <c:pt idx="1053">
                  <c:v>6740.0234300000002</c:v>
                </c:pt>
                <c:pt idx="1054">
                  <c:v>6740.0234300000002</c:v>
                </c:pt>
                <c:pt idx="1055">
                  <c:v>6795.9918699999998</c:v>
                </c:pt>
                <c:pt idx="1056">
                  <c:v>6781.4819299999999</c:v>
                </c:pt>
                <c:pt idx="1057">
                  <c:v>6775.8043200000002</c:v>
                </c:pt>
                <c:pt idx="1058">
                  <c:v>6672.6180400000003</c:v>
                </c:pt>
                <c:pt idx="1059">
                  <c:v>6632.1915300000001</c:v>
                </c:pt>
                <c:pt idx="1060">
                  <c:v>6632.1915300000001</c:v>
                </c:pt>
                <c:pt idx="1061">
                  <c:v>6632.1915300000001</c:v>
                </c:pt>
                <c:pt idx="1062">
                  <c:v>6699.3833299999997</c:v>
                </c:pt>
                <c:pt idx="1063">
                  <c:v>6716.0925100000004</c:v>
                </c:pt>
                <c:pt idx="1064">
                  <c:v>6624.6951600000002</c:v>
                </c:pt>
                <c:pt idx="1065">
                  <c:v>6606.4945399999997</c:v>
                </c:pt>
                <c:pt idx="1066">
                  <c:v>6506.4789099999998</c:v>
                </c:pt>
                <c:pt idx="1067">
                  <c:v>6506.4789099999998</c:v>
                </c:pt>
                <c:pt idx="1068">
                  <c:v>6506.4789099999998</c:v>
                </c:pt>
                <c:pt idx="1069">
                  <c:v>6581.0002100000002</c:v>
                </c:pt>
                <c:pt idx="1070">
                  <c:v>6556.3711400000002</c:v>
                </c:pt>
                <c:pt idx="1071">
                  <c:v>6591.9005900000002</c:v>
                </c:pt>
                <c:pt idx="1072">
                  <c:v>6477.1646300000002</c:v>
                </c:pt>
                <c:pt idx="1073">
                  <c:v>6368.8530700000001</c:v>
                </c:pt>
                <c:pt idx="1074">
                  <c:v>6368.8530700000001</c:v>
                </c:pt>
                <c:pt idx="1075">
                  <c:v>6368.8530700000001</c:v>
                </c:pt>
                <c:pt idx="1076">
                  <c:v>6343.7248300000001</c:v>
                </c:pt>
                <c:pt idx="1077">
                  <c:v>6528.5173800000002</c:v>
                </c:pt>
                <c:pt idx="1078">
                  <c:v>6575.3159299999998</c:v>
                </c:pt>
                <c:pt idx="1079">
                  <c:v>6582.6867599999996</c:v>
                </c:pt>
                <c:pt idx="1080">
                  <c:v>6582.6867599999996</c:v>
                </c:pt>
                <c:pt idx="1081">
                  <c:v>6582.6867599999996</c:v>
                </c:pt>
                <c:pt idx="1082">
                  <c:v>6582.6867599999996</c:v>
                </c:pt>
                <c:pt idx="1083">
                  <c:v>6611.8304099999996</c:v>
                </c:pt>
                <c:pt idx="1084">
                  <c:v>6616.8508300000003</c:v>
                </c:pt>
                <c:pt idx="1085">
                  <c:v>6782.81167</c:v>
                </c:pt>
                <c:pt idx="1086">
                  <c:v>6824.6572699999997</c:v>
                </c:pt>
                <c:pt idx="1087">
                  <c:v>6816.89192</c:v>
                </c:pt>
                <c:pt idx="1088">
                  <c:v>6816.89192</c:v>
                </c:pt>
                <c:pt idx="1089">
                  <c:v>6816.89192</c:v>
                </c:pt>
                <c:pt idx="1090">
                  <c:v>6886.2352300000002</c:v>
                </c:pt>
                <c:pt idx="1091">
                  <c:v>6967.3786899999996</c:v>
                </c:pt>
                <c:pt idx="1092">
                  <c:v>7022.9523300000001</c:v>
                </c:pt>
                <c:pt idx="1093">
                  <c:v>7041.2766899999997</c:v>
                </c:pt>
                <c:pt idx="1094">
                  <c:v>7041.2766899999997</c:v>
                </c:pt>
              </c:numCache>
            </c:numRef>
          </c:val>
          <c:smooth val="0"/>
          <c:extLst>
            <c:ext xmlns:c16="http://schemas.microsoft.com/office/drawing/2014/chart" uri="{C3380CC4-5D6E-409C-BE32-E72D297353CC}">
              <c16:uniqueId val="{00000001-FCB0-4C8C-B471-54C7FDBF1202}"/>
            </c:ext>
          </c:extLst>
        </c:ser>
        <c:dLbls>
          <c:showLegendKey val="0"/>
          <c:showVal val="0"/>
          <c:showCatName val="0"/>
          <c:showSerName val="0"/>
          <c:showPercent val="0"/>
          <c:showBubbleSize val="0"/>
        </c:dLbls>
        <c:marker val="1"/>
        <c:smooth val="0"/>
        <c:axId val="2085424671"/>
        <c:axId val="2060063199"/>
      </c:lineChart>
      <c:dateAx>
        <c:axId val="2085423231"/>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071215679"/>
        <c:crosses val="autoZero"/>
        <c:auto val="0"/>
        <c:lblOffset val="100"/>
        <c:baseTimeUnit val="days"/>
      </c:dateAx>
      <c:valAx>
        <c:axId val="20712156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en-US"/>
          </a:p>
        </c:txPr>
        <c:crossAx val="2085423231"/>
        <c:crosses val="autoZero"/>
        <c:crossBetween val="midCat"/>
      </c:valAx>
      <c:valAx>
        <c:axId val="206006319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lumMod val="50000"/>
                  </a:schemeClr>
                </a:solidFill>
                <a:latin typeface="+mn-lt"/>
                <a:ea typeface="+mn-ea"/>
                <a:cs typeface="+mn-cs"/>
              </a:defRPr>
            </a:pPr>
            <a:endParaRPr lang="en-US"/>
          </a:p>
        </c:txPr>
        <c:crossAx val="2085424671"/>
        <c:crosses val="max"/>
        <c:crossBetween val="between"/>
      </c:valAx>
      <c:dateAx>
        <c:axId val="2085424671"/>
        <c:scaling>
          <c:orientation val="minMax"/>
        </c:scaling>
        <c:delete val="1"/>
        <c:axPos val="b"/>
        <c:numFmt formatCode="dd/mm/yy;@" sourceLinked="1"/>
        <c:majorTickMark val="out"/>
        <c:minorTickMark val="none"/>
        <c:tickLblPos val="nextTo"/>
        <c:crossAx val="2060063199"/>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74343734690457"/>
          <c:y val="3.7516204752011117E-2"/>
          <c:w val="0.83582885168839505"/>
          <c:h val="0.74152737782049105"/>
        </c:manualLayout>
      </c:layout>
      <c:barChart>
        <c:barDir val="col"/>
        <c:grouping val="clustered"/>
        <c:varyColors val="0"/>
        <c:ser>
          <c:idx val="1"/>
          <c:order val="1"/>
          <c:spPr>
            <a:solidFill>
              <a:schemeClr val="accent2"/>
            </a:solidFill>
            <a:ln>
              <a:noFill/>
            </a:ln>
            <a:effectLst/>
          </c:spPr>
          <c:invertIfNegative val="0"/>
          <c:val>
            <c:numLit>
              <c:formatCode>General</c:formatCode>
              <c:ptCount val="1091"/>
              <c:pt idx="0">
                <c:v>2675.9027299999998</c:v>
              </c:pt>
              <c:pt idx="1">
                <c:v>3429.2158599999998</c:v>
              </c:pt>
              <c:pt idx="2">
                <c:v>3510.422</c:v>
              </c:pt>
              <c:pt idx="3">
                <c:v>3771.8083200000001</c:v>
              </c:pt>
              <c:pt idx="4">
                <c:v>#N/A</c:v>
              </c:pt>
              <c:pt idx="5">
                <c:v>#N/A</c:v>
              </c:pt>
              <c:pt idx="6">
                <c:v>3351.6382699999999</c:v>
              </c:pt>
              <c:pt idx="7">
                <c:v>3984.5822600000001</c:v>
              </c:pt>
              <c:pt idx="8">
                <c:v>8793.2776599999997</c:v>
              </c:pt>
              <c:pt idx="9">
                <c:v>16984.644199999999</c:v>
              </c:pt>
              <c:pt idx="10">
                <c:v>9505.6268899999995</c:v>
              </c:pt>
              <c:pt idx="11">
                <c:v>#N/A</c:v>
              </c:pt>
              <c:pt idx="12">
                <c:v>#N/A</c:v>
              </c:pt>
              <c:pt idx="13">
                <c:v>7087.2160299999996</c:v>
              </c:pt>
              <c:pt idx="14">
                <c:v>5825.5298899999998</c:v>
              </c:pt>
              <c:pt idx="15">
                <c:v>8168.9687400000003</c:v>
              </c:pt>
              <c:pt idx="16">
                <c:v>4177.53035</c:v>
              </c:pt>
              <c:pt idx="17">
                <c:v>6285.17173</c:v>
              </c:pt>
              <c:pt idx="18">
                <c:v>#N/A</c:v>
              </c:pt>
              <c:pt idx="19">
                <c:v>#N/A</c:v>
              </c:pt>
              <c:pt idx="20">
                <c:v>3825.7516300000002</c:v>
              </c:pt>
              <c:pt idx="21">
                <c:v>3935.92274</c:v>
              </c:pt>
              <c:pt idx="22">
                <c:v>4456.2588500000002</c:v>
              </c:pt>
              <c:pt idx="23">
                <c:v>4821.6673499999997</c:v>
              </c:pt>
              <c:pt idx="24">
                <c:v>3778.7086300000001</c:v>
              </c:pt>
              <c:pt idx="25">
                <c:v>#N/A</c:v>
              </c:pt>
              <c:pt idx="26">
                <c:v>#N/A</c:v>
              </c:pt>
              <c:pt idx="27">
                <c:v>4933.2305200000001</c:v>
              </c:pt>
              <c:pt idx="28">
                <c:v>4337.8715499999998</c:v>
              </c:pt>
              <c:pt idx="29">
                <c:v>5139.0039999999999</c:v>
              </c:pt>
              <c:pt idx="30">
                <c:v>5663.5536099999999</c:v>
              </c:pt>
              <c:pt idx="31">
                <c:v>5338.6365900000001</c:v>
              </c:pt>
              <c:pt idx="32">
                <c:v>#N/A</c:v>
              </c:pt>
              <c:pt idx="33">
                <c:v>#N/A</c:v>
              </c:pt>
              <c:pt idx="34">
                <c:v>6888.0193499999996</c:v>
              </c:pt>
              <c:pt idx="35">
                <c:v>4379.1711299999997</c:v>
              </c:pt>
              <c:pt idx="36">
                <c:v>4417.08277</c:v>
              </c:pt>
              <c:pt idx="37">
                <c:v>5653.03917</c:v>
              </c:pt>
              <c:pt idx="38">
                <c:v>6752.4196700000002</c:v>
              </c:pt>
              <c:pt idx="39">
                <c:v>#N/A</c:v>
              </c:pt>
              <c:pt idx="40">
                <c:v>#N/A</c:v>
              </c:pt>
              <c:pt idx="41">
                <c:v>#N/A</c:v>
              </c:pt>
              <c:pt idx="42">
                <c:v>6252.3023300000004</c:v>
              </c:pt>
              <c:pt idx="43">
                <c:v>6743.3952200000003</c:v>
              </c:pt>
              <c:pt idx="44">
                <c:v>6981.40852</c:v>
              </c:pt>
              <c:pt idx="45">
                <c:v>#N/A</c:v>
              </c:pt>
              <c:pt idx="46">
                <c:v>#N/A</c:v>
              </c:pt>
              <c:pt idx="47">
                <c:v>#N/A</c:v>
              </c:pt>
              <c:pt idx="48">
                <c:v>5629.4281199999996</c:v>
              </c:pt>
              <c:pt idx="49">
                <c:v>5264.8819899999999</c:v>
              </c:pt>
              <c:pt idx="50">
                <c:v>6896.7320799999998</c:v>
              </c:pt>
              <c:pt idx="51">
                <c:v>5529.5523999999996</c:v>
              </c:pt>
              <c:pt idx="52">
                <c:v>4490.8479200000002</c:v>
              </c:pt>
              <c:pt idx="53">
                <c:v>#N/A</c:v>
              </c:pt>
              <c:pt idx="54">
                <c:v>#N/A</c:v>
              </c:pt>
              <c:pt idx="55">
                <c:v>4193.6048300000002</c:v>
              </c:pt>
              <c:pt idx="56">
                <c:v>4385.6229899999998</c:v>
              </c:pt>
              <c:pt idx="57">
                <c:v>5241.5042899999999</c:v>
              </c:pt>
              <c:pt idx="58">
                <c:v>7320.0988200000002</c:v>
              </c:pt>
              <c:pt idx="59">
                <c:v>12118.89241</c:v>
              </c:pt>
              <c:pt idx="60">
                <c:v>#N/A</c:v>
              </c:pt>
              <c:pt idx="61">
                <c:v>#N/A</c:v>
              </c:pt>
              <c:pt idx="62">
                <c:v>#N/A</c:v>
              </c:pt>
              <c:pt idx="63">
                <c:v>5886.0828000000001</c:v>
              </c:pt>
              <c:pt idx="64">
                <c:v>5789.4397200000003</c:v>
              </c:pt>
              <c:pt idx="65">
                <c:v>5003.3648199999998</c:v>
              </c:pt>
              <c:pt idx="66">
                <c:v>14751.80413</c:v>
              </c:pt>
              <c:pt idx="67">
                <c:v>#N/A</c:v>
              </c:pt>
              <c:pt idx="68">
                <c:v>#N/A</c:v>
              </c:pt>
              <c:pt idx="69">
                <c:v>6748.0663199999999</c:v>
              </c:pt>
              <c:pt idx="70">
                <c:v>7494.3760300000004</c:v>
              </c:pt>
              <c:pt idx="71">
                <c:v>4770.6527599999999</c:v>
              </c:pt>
              <c:pt idx="72">
                <c:v>4334.34861</c:v>
              </c:pt>
              <c:pt idx="73">
                <c:v>5652.0343700000003</c:v>
              </c:pt>
              <c:pt idx="74">
                <c:v>#N/A</c:v>
              </c:pt>
              <c:pt idx="75">
                <c:v>#N/A</c:v>
              </c:pt>
              <c:pt idx="76">
                <c:v>2462.2188999999998</c:v>
              </c:pt>
              <c:pt idx="77">
                <c:v>#N/A</c:v>
              </c:pt>
              <c:pt idx="78">
                <c:v>9968.9745800000001</c:v>
              </c:pt>
              <c:pt idx="79">
                <c:v>13937.800730000001</c:v>
              </c:pt>
              <c:pt idx="80">
                <c:v>7433.4933199999996</c:v>
              </c:pt>
              <c:pt idx="81">
                <c:v>#N/A</c:v>
              </c:pt>
              <c:pt idx="82">
                <c:v>#N/A</c:v>
              </c:pt>
              <c:pt idx="83">
                <c:v>10898.8478</c:v>
              </c:pt>
              <c:pt idx="84">
                <c:v>8228.6034799999998</c:v>
              </c:pt>
              <c:pt idx="85">
                <c:v>11345.70247</c:v>
              </c:pt>
              <c:pt idx="86">
                <c:v>9490.3594400000002</c:v>
              </c:pt>
              <c:pt idx="87">
                <c:v>7120.7223400000003</c:v>
              </c:pt>
              <c:pt idx="88">
                <c:v>#N/A</c:v>
              </c:pt>
              <c:pt idx="89">
                <c:v>#N/A</c:v>
              </c:pt>
              <c:pt idx="90">
                <c:v>7865.8693999999996</c:v>
              </c:pt>
              <c:pt idx="91">
                <c:v>6479.5871900000002</c:v>
              </c:pt>
              <c:pt idx="92">
                <c:v>6877.5430500000002</c:v>
              </c:pt>
              <c:pt idx="93">
                <c:v>7211.1317300000001</c:v>
              </c:pt>
              <c:pt idx="94">
                <c:v>12399.898349999999</c:v>
              </c:pt>
              <c:pt idx="95">
                <c:v>#N/A</c:v>
              </c:pt>
              <c:pt idx="96">
                <c:v>#N/A</c:v>
              </c:pt>
              <c:pt idx="97">
                <c:v>7275.4959900000003</c:v>
              </c:pt>
              <c:pt idx="98">
                <c:v>5767.3669200000004</c:v>
              </c:pt>
              <c:pt idx="99">
                <c:v>14109.50159</c:v>
              </c:pt>
              <c:pt idx="100">
                <c:v>20020.875520000001</c:v>
              </c:pt>
              <c:pt idx="101">
                <c:v>12765.413479999999</c:v>
              </c:pt>
              <c:pt idx="102">
                <c:v>#N/A</c:v>
              </c:pt>
              <c:pt idx="103">
                <c:v>#N/A</c:v>
              </c:pt>
              <c:pt idx="104">
                <c:v>8219.7535200000002</c:v>
              </c:pt>
              <c:pt idx="105">
                <c:v>7386.7899500000003</c:v>
              </c:pt>
              <c:pt idx="106">
                <c:v>6431.1264600000004</c:v>
              </c:pt>
              <c:pt idx="107">
                <c:v>4765.3180199999997</c:v>
              </c:pt>
              <c:pt idx="108">
                <c:v>5472.8135400000001</c:v>
              </c:pt>
              <c:pt idx="109">
                <c:v>#N/A</c:v>
              </c:pt>
              <c:pt idx="110">
                <c:v>#N/A</c:v>
              </c:pt>
              <c:pt idx="111">
                <c:v>5139.8277099999996</c:v>
              </c:pt>
              <c:pt idx="112">
                <c:v>4746.9794400000001</c:v>
              </c:pt>
              <c:pt idx="113">
                <c:v>6090.70453</c:v>
              </c:pt>
              <c:pt idx="114">
                <c:v>4390.0891700000002</c:v>
              </c:pt>
              <c:pt idx="115">
                <c:v>4236.9108500000002</c:v>
              </c:pt>
              <c:pt idx="116">
                <c:v>#N/A</c:v>
              </c:pt>
              <c:pt idx="117">
                <c:v>#N/A</c:v>
              </c:pt>
              <c:pt idx="118">
                <c:v>4789.3997900000004</c:v>
              </c:pt>
              <c:pt idx="119">
                <c:v>3509.7499499999999</c:v>
              </c:pt>
              <c:pt idx="120">
                <c:v>5458.4147000000003</c:v>
              </c:pt>
              <c:pt idx="121">
                <c:v>6827.9308700000001</c:v>
              </c:pt>
              <c:pt idx="122">
                <c:v>10012.29976</c:v>
              </c:pt>
              <c:pt idx="123">
                <c:v>#N/A</c:v>
              </c:pt>
              <c:pt idx="124">
                <c:v>#N/A</c:v>
              </c:pt>
              <c:pt idx="125">
                <c:v>5850.6095999999998</c:v>
              </c:pt>
              <c:pt idx="126">
                <c:v>3738.7749800000001</c:v>
              </c:pt>
              <c:pt idx="127">
                <c:v>5380.7671700000001</c:v>
              </c:pt>
              <c:pt idx="128">
                <c:v>5264.9829099999997</c:v>
              </c:pt>
              <c:pt idx="129">
                <c:v>6766.7619800000002</c:v>
              </c:pt>
              <c:pt idx="130">
                <c:v>#N/A</c:v>
              </c:pt>
              <c:pt idx="131">
                <c:v>#N/A</c:v>
              </c:pt>
              <c:pt idx="132">
                <c:v>4133.0948600000002</c:v>
              </c:pt>
              <c:pt idx="133">
                <c:v>6211.4591099999998</c:v>
              </c:pt>
              <c:pt idx="134">
                <c:v>5228.29378</c:v>
              </c:pt>
              <c:pt idx="135">
                <c:v>5098.1447600000001</c:v>
              </c:pt>
              <c:pt idx="136">
                <c:v>3806.18813</c:v>
              </c:pt>
              <c:pt idx="137">
                <c:v>#N/A</c:v>
              </c:pt>
              <c:pt idx="138">
                <c:v>#N/A</c:v>
              </c:pt>
              <c:pt idx="139">
                <c:v>#N/A</c:v>
              </c:pt>
              <c:pt idx="140">
                <c:v>4489.0401000000002</c:v>
              </c:pt>
              <c:pt idx="141">
                <c:v>4612.63058</c:v>
              </c:pt>
              <c:pt idx="142">
                <c:v>10079.735280000001</c:v>
              </c:pt>
              <c:pt idx="143">
                <c:v>5234.5835500000003</c:v>
              </c:pt>
              <c:pt idx="144">
                <c:v>#N/A</c:v>
              </c:pt>
              <c:pt idx="145">
                <c:v>#N/A</c:v>
              </c:pt>
              <c:pt idx="146">
                <c:v>5994.1383400000004</c:v>
              </c:pt>
              <c:pt idx="147">
                <c:v>4066.49746</c:v>
              </c:pt>
              <c:pt idx="148">
                <c:v>4030.1217299999998</c:v>
              </c:pt>
              <c:pt idx="149">
                <c:v>6029.6317600000002</c:v>
              </c:pt>
              <c:pt idx="150">
                <c:v>8448.0626499999998</c:v>
              </c:pt>
              <c:pt idx="151">
                <c:v>#N/A</c:v>
              </c:pt>
              <c:pt idx="152">
                <c:v>#N/A</c:v>
              </c:pt>
              <c:pt idx="153">
                <c:v>4306.5445</c:v>
              </c:pt>
              <c:pt idx="154">
                <c:v>4860.2587000000003</c:v>
              </c:pt>
              <c:pt idx="155">
                <c:v>5807.4592599999996</c:v>
              </c:pt>
              <c:pt idx="156">
                <c:v>6304.8399900000004</c:v>
              </c:pt>
              <c:pt idx="157">
                <c:v>7587.5375800000002</c:v>
              </c:pt>
              <c:pt idx="158">
                <c:v>#N/A</c:v>
              </c:pt>
              <c:pt idx="159">
                <c:v>#N/A</c:v>
              </c:pt>
              <c:pt idx="160">
                <c:v>5711.8634199999997</c:v>
              </c:pt>
              <c:pt idx="161">
                <c:v>5804.9544500000002</c:v>
              </c:pt>
              <c:pt idx="162">
                <c:v>10846.619070000001</c:v>
              </c:pt>
              <c:pt idx="163">
                <c:v>6737.9041200000001</c:v>
              </c:pt>
              <c:pt idx="164">
                <c:v>7617.4369800000004</c:v>
              </c:pt>
              <c:pt idx="165">
                <c:v>#N/A</c:v>
              </c:pt>
              <c:pt idx="166">
                <c:v>#N/A</c:v>
              </c:pt>
              <c:pt idx="167">
                <c:v>4990.6024900000002</c:v>
              </c:pt>
              <c:pt idx="168">
                <c:v>5224.9955200000004</c:v>
              </c:pt>
              <c:pt idx="169">
                <c:v>5158.3383000000003</c:v>
              </c:pt>
              <c:pt idx="170">
                <c:v>5830.6195900000002</c:v>
              </c:pt>
              <c:pt idx="171">
                <c:v>6877.5902999999998</c:v>
              </c:pt>
              <c:pt idx="172">
                <c:v>#N/A</c:v>
              </c:pt>
              <c:pt idx="173">
                <c:v>#N/A</c:v>
              </c:pt>
              <c:pt idx="174">
                <c:v>7164.2658300000003</c:v>
              </c:pt>
              <c:pt idx="175">
                <c:v>6127.1812300000001</c:v>
              </c:pt>
              <c:pt idx="176">
                <c:v>7223.9388799999997</c:v>
              </c:pt>
              <c:pt idx="177">
                <c:v>6655.1727199999996</c:v>
              </c:pt>
              <c:pt idx="178">
                <c:v>6722.0270099999998</c:v>
              </c:pt>
              <c:pt idx="179">
                <c:v>#N/A</c:v>
              </c:pt>
              <c:pt idx="180">
                <c:v>#N/A</c:v>
              </c:pt>
              <c:pt idx="181">
                <c:v>5310.5730100000001</c:v>
              </c:pt>
              <c:pt idx="182">
                <c:v>5309.6468800000002</c:v>
              </c:pt>
              <c:pt idx="183">
                <c:v>5341.26242</c:v>
              </c:pt>
              <c:pt idx="184">
                <c:v>5852.4123399999999</c:v>
              </c:pt>
              <c:pt idx="185">
                <c:v>6886.6836800000001</c:v>
              </c:pt>
              <c:pt idx="186">
                <c:v>#N/A</c:v>
              </c:pt>
              <c:pt idx="187">
                <c:v>#N/A</c:v>
              </c:pt>
              <c:pt idx="188">
                <c:v>5588.3684599999997</c:v>
              </c:pt>
              <c:pt idx="189">
                <c:v>6102.6912700000003</c:v>
              </c:pt>
              <c:pt idx="190">
                <c:v>12637.91174</c:v>
              </c:pt>
              <c:pt idx="191">
                <c:v>19228.372060000002</c:v>
              </c:pt>
              <c:pt idx="192">
                <c:v>8782.0970400000006</c:v>
              </c:pt>
              <c:pt idx="193">
                <c:v>#N/A</c:v>
              </c:pt>
              <c:pt idx="194">
                <c:v>#N/A</c:v>
              </c:pt>
              <c:pt idx="195">
                <c:v>8606.1531400000003</c:v>
              </c:pt>
              <c:pt idx="196">
                <c:v>5854.9317899999996</c:v>
              </c:pt>
              <c:pt idx="197">
                <c:v>6372.5237699999998</c:v>
              </c:pt>
              <c:pt idx="198">
                <c:v>6724.6838799999996</c:v>
              </c:pt>
              <c:pt idx="199">
                <c:v>5274.0535</c:v>
              </c:pt>
              <c:pt idx="200">
                <c:v>#N/A</c:v>
              </c:pt>
              <c:pt idx="201">
                <c:v>#N/A</c:v>
              </c:pt>
              <c:pt idx="202">
                <c:v>4069.93534</c:v>
              </c:pt>
              <c:pt idx="203">
                <c:v>4481.2108600000001</c:v>
              </c:pt>
              <c:pt idx="204">
                <c:v>4352.1111499999997</c:v>
              </c:pt>
              <c:pt idx="205">
                <c:v>5161.8394099999996</c:v>
              </c:pt>
              <c:pt idx="206">
                <c:v>6285.0701200000003</c:v>
              </c:pt>
              <c:pt idx="207">
                <c:v>#N/A</c:v>
              </c:pt>
              <c:pt idx="208">
                <c:v>#N/A</c:v>
              </c:pt>
              <c:pt idx="209">
                <c:v>5566.25659</c:v>
              </c:pt>
              <c:pt idx="210">
                <c:v>5777.60502</c:v>
              </c:pt>
              <c:pt idx="211">
                <c:v>4834.6688999999997</c:v>
              </c:pt>
              <c:pt idx="212">
                <c:v>6327.0762400000003</c:v>
              </c:pt>
              <c:pt idx="213">
                <c:v>4864.5171200000004</c:v>
              </c:pt>
              <c:pt idx="214">
                <c:v>#N/A</c:v>
              </c:pt>
              <c:pt idx="215">
                <c:v>#N/A</c:v>
              </c:pt>
              <c:pt idx="216">
                <c:v>5771.3745799999997</c:v>
              </c:pt>
              <c:pt idx="217">
                <c:v>4053.1492699999999</c:v>
              </c:pt>
              <c:pt idx="218">
                <c:v>3659.1257900000001</c:v>
              </c:pt>
              <c:pt idx="219">
                <c:v>#N/A</c:v>
              </c:pt>
              <c:pt idx="220">
                <c:v>1849.26847</c:v>
              </c:pt>
              <c:pt idx="221">
                <c:v>#N/A</c:v>
              </c:pt>
              <c:pt idx="222">
                <c:v>#N/A</c:v>
              </c:pt>
              <c:pt idx="223">
                <c:v>5249.5867500000004</c:v>
              </c:pt>
              <c:pt idx="224">
                <c:v>4283.8996800000004</c:v>
              </c:pt>
              <c:pt idx="225">
                <c:v>5323.3379000000004</c:v>
              </c:pt>
              <c:pt idx="226">
                <c:v>7572.34051</c:v>
              </c:pt>
              <c:pt idx="227">
                <c:v>4962.0721299999996</c:v>
              </c:pt>
              <c:pt idx="228">
                <c:v>#N/A</c:v>
              </c:pt>
              <c:pt idx="229">
                <c:v>#N/A</c:v>
              </c:pt>
              <c:pt idx="230">
                <c:v>6092.2463399999997</c:v>
              </c:pt>
              <c:pt idx="231">
                <c:v>5395.6928200000002</c:v>
              </c:pt>
              <c:pt idx="232">
                <c:v>3585.3872799999999</c:v>
              </c:pt>
              <c:pt idx="233">
                <c:v>5194.4397499999995</c:v>
              </c:pt>
              <c:pt idx="234">
                <c:v>4687.5660500000004</c:v>
              </c:pt>
              <c:pt idx="235">
                <c:v>#N/A</c:v>
              </c:pt>
              <c:pt idx="236">
                <c:v>#N/A</c:v>
              </c:pt>
              <c:pt idx="237">
                <c:v>8393.02484</c:v>
              </c:pt>
              <c:pt idx="238">
                <c:v>6178.2107800000003</c:v>
              </c:pt>
              <c:pt idx="239">
                <c:v>5474.11067</c:v>
              </c:pt>
              <c:pt idx="240">
                <c:v>6532.5757999999996</c:v>
              </c:pt>
              <c:pt idx="241">
                <c:v>10642.70327</c:v>
              </c:pt>
              <c:pt idx="242">
                <c:v>#N/A</c:v>
              </c:pt>
              <c:pt idx="243">
                <c:v>#N/A</c:v>
              </c:pt>
              <c:pt idx="244">
                <c:v>6545.6612800000003</c:v>
              </c:pt>
              <c:pt idx="245">
                <c:v>6211.6592700000001</c:v>
              </c:pt>
              <c:pt idx="246">
                <c:v>5717.6612100000002</c:v>
              </c:pt>
              <c:pt idx="247">
                <c:v>5413.8788800000002</c:v>
              </c:pt>
              <c:pt idx="248">
                <c:v>4160.3823700000003</c:v>
              </c:pt>
              <c:pt idx="249">
                <c:v>#N/A</c:v>
              </c:pt>
              <c:pt idx="250">
                <c:v>#N/A</c:v>
              </c:pt>
              <c:pt idx="251">
                <c:v>#N/A</c:v>
              </c:pt>
              <c:pt idx="252">
                <c:v>3512.32521</c:v>
              </c:pt>
              <c:pt idx="253">
                <c:v>4726.1928799999996</c:v>
              </c:pt>
              <c:pt idx="254">
                <c:v>4227.7485200000001</c:v>
              </c:pt>
              <c:pt idx="255">
                <c:v>5304.8310799999999</c:v>
              </c:pt>
              <c:pt idx="256">
                <c:v>#N/A</c:v>
              </c:pt>
              <c:pt idx="257">
                <c:v>#N/A</c:v>
              </c:pt>
              <c:pt idx="258">
                <c:v>#N/A</c:v>
              </c:pt>
              <c:pt idx="259">
                <c:v>6594.10682</c:v>
              </c:pt>
              <c:pt idx="260">
                <c:v>5322.4517900000001</c:v>
              </c:pt>
              <c:pt idx="261">
                <c:v>4200.1155500000004</c:v>
              </c:pt>
              <c:pt idx="262">
                <c:v>4839.6334800000004</c:v>
              </c:pt>
              <c:pt idx="263">
                <c:v>#N/A</c:v>
              </c:pt>
              <c:pt idx="264">
                <c:v>#N/A</c:v>
              </c:pt>
              <c:pt idx="265">
                <c:v>4981.8670199999997</c:v>
              </c:pt>
              <c:pt idx="266">
                <c:v>4812.3914100000002</c:v>
              </c:pt>
              <c:pt idx="267">
                <c:v>8193.7613099999999</c:v>
              </c:pt>
              <c:pt idx="268">
                <c:v>6360.3146699999998</c:v>
              </c:pt>
              <c:pt idx="269">
                <c:v>7231.4191300000002</c:v>
              </c:pt>
              <c:pt idx="270">
                <c:v>#N/A</c:v>
              </c:pt>
              <c:pt idx="271">
                <c:v>#N/A</c:v>
              </c:pt>
              <c:pt idx="272">
                <c:v>#N/A</c:v>
              </c:pt>
              <c:pt idx="273">
                <c:v>5624.6679599999998</c:v>
              </c:pt>
              <c:pt idx="274">
                <c:v>4687.4268400000001</c:v>
              </c:pt>
              <c:pt idx="275">
                <c:v>6151.3549000000003</c:v>
              </c:pt>
              <c:pt idx="276">
                <c:v>8309.6705600000005</c:v>
              </c:pt>
              <c:pt idx="277">
                <c:v>#N/A</c:v>
              </c:pt>
              <c:pt idx="278">
                <c:v>#N/A</c:v>
              </c:pt>
              <c:pt idx="279">
                <c:v>6750.0437300000003</c:v>
              </c:pt>
              <c:pt idx="280">
                <c:v>5972.9481800000003</c:v>
              </c:pt>
              <c:pt idx="281">
                <c:v>6096.5941499999999</c:v>
              </c:pt>
              <c:pt idx="282">
                <c:v>5933.5108300000002</c:v>
              </c:pt>
              <c:pt idx="283">
                <c:v>5186.6025600000003</c:v>
              </c:pt>
              <c:pt idx="284">
                <c:v>#N/A</c:v>
              </c:pt>
              <c:pt idx="285">
                <c:v>#N/A</c:v>
              </c:pt>
              <c:pt idx="286">
                <c:v>7516.0904799999998</c:v>
              </c:pt>
              <c:pt idx="287">
                <c:v>7447.0076799999997</c:v>
              </c:pt>
              <c:pt idx="288">
                <c:v>7873.3439399999997</c:v>
              </c:pt>
              <c:pt idx="289">
                <c:v>11735.645189999999</c:v>
              </c:pt>
              <c:pt idx="290">
                <c:v>40235.284769999998</c:v>
              </c:pt>
              <c:pt idx="291">
                <c:v>#N/A</c:v>
              </c:pt>
              <c:pt idx="292">
                <c:v>#N/A</c:v>
              </c:pt>
              <c:pt idx="293">
                <c:v>18758.80186</c:v>
              </c:pt>
              <c:pt idx="294">
                <c:v>9847.0589099999997</c:v>
              </c:pt>
              <c:pt idx="295">
                <c:v>10831.56012</c:v>
              </c:pt>
              <c:pt idx="296">
                <c:v>8843.0955900000008</c:v>
              </c:pt>
              <c:pt idx="297">
                <c:v>8619.37356</c:v>
              </c:pt>
              <c:pt idx="298">
                <c:v>#N/A</c:v>
              </c:pt>
              <c:pt idx="299">
                <c:v>#N/A</c:v>
              </c:pt>
              <c:pt idx="300">
                <c:v>9088.2024500000007</c:v>
              </c:pt>
              <c:pt idx="301">
                <c:v>9624.1469099999995</c:v>
              </c:pt>
              <c:pt idx="302">
                <c:v>7978.7440299999998</c:v>
              </c:pt>
              <c:pt idx="303">
                <c:v>11719.49215</c:v>
              </c:pt>
              <c:pt idx="304">
                <c:v>11040.00914</c:v>
              </c:pt>
              <c:pt idx="305">
                <c:v>#N/A</c:v>
              </c:pt>
              <c:pt idx="306">
                <c:v>#N/A</c:v>
              </c:pt>
              <c:pt idx="307">
                <c:v>#N/A</c:v>
              </c:pt>
              <c:pt idx="308">
                <c:v>8498.8229800000008</c:v>
              </c:pt>
              <c:pt idx="309">
                <c:v>6073.6487100000004</c:v>
              </c:pt>
              <c:pt idx="310">
                <c:v>10512.952590000001</c:v>
              </c:pt>
              <c:pt idx="311">
                <c:v>8893.7056499999999</c:v>
              </c:pt>
              <c:pt idx="312">
                <c:v>#N/A</c:v>
              </c:pt>
              <c:pt idx="313">
                <c:v>#N/A</c:v>
              </c:pt>
              <c:pt idx="314">
                <c:v>5829.7356600000003</c:v>
              </c:pt>
              <c:pt idx="315">
                <c:v>5264.8132500000002</c:v>
              </c:pt>
              <c:pt idx="316">
                <c:v>6154.5495300000002</c:v>
              </c:pt>
              <c:pt idx="317">
                <c:v>8691.0072199999995</c:v>
              </c:pt>
              <c:pt idx="318">
                <c:v>7978.9762300000002</c:v>
              </c:pt>
              <c:pt idx="319">
                <c:v>#N/A</c:v>
              </c:pt>
              <c:pt idx="320">
                <c:v>#N/A</c:v>
              </c:pt>
              <c:pt idx="321">
                <c:v>6139.7638100000004</c:v>
              </c:pt>
              <c:pt idx="322">
                <c:v>7512.7680799999998</c:v>
              </c:pt>
              <c:pt idx="323">
                <c:v>5832.9890100000002</c:v>
              </c:pt>
              <c:pt idx="324">
                <c:v>9519.7871699999996</c:v>
              </c:pt>
              <c:pt idx="325">
                <c:v>9409.1820000000007</c:v>
              </c:pt>
              <c:pt idx="326">
                <c:v>#N/A</c:v>
              </c:pt>
              <c:pt idx="327">
                <c:v>#N/A</c:v>
              </c:pt>
              <c:pt idx="328">
                <c:v>9878.9090199999991</c:v>
              </c:pt>
              <c:pt idx="329">
                <c:v>7720.2539399999996</c:v>
              </c:pt>
              <c:pt idx="330">
                <c:v>5991.7663899999998</c:v>
              </c:pt>
              <c:pt idx="331">
                <c:v>6206.9014900000002</c:v>
              </c:pt>
              <c:pt idx="332">
                <c:v>14113.246139999999</c:v>
              </c:pt>
              <c:pt idx="333">
                <c:v>#N/A</c:v>
              </c:pt>
              <c:pt idx="334">
                <c:v>#N/A</c:v>
              </c:pt>
              <c:pt idx="335">
                <c:v>5842.12464</c:v>
              </c:pt>
              <c:pt idx="336">
                <c:v>5410.5503699999999</c:v>
              </c:pt>
              <c:pt idx="337">
                <c:v>5920.1952700000002</c:v>
              </c:pt>
              <c:pt idx="338">
                <c:v>4931.6438799999996</c:v>
              </c:pt>
              <c:pt idx="339">
                <c:v>4138.0917799999997</c:v>
              </c:pt>
              <c:pt idx="340">
                <c:v>#N/A</c:v>
              </c:pt>
              <c:pt idx="341">
                <c:v>#N/A</c:v>
              </c:pt>
              <c:pt idx="342">
                <c:v>4215.6179599999996</c:v>
              </c:pt>
              <c:pt idx="343">
                <c:v>5556.63688</c:v>
              </c:pt>
              <c:pt idx="344">
                <c:v>4933.5013900000004</c:v>
              </c:pt>
              <c:pt idx="345">
                <c:v>7387.0139399999998</c:v>
              </c:pt>
              <c:pt idx="346">
                <c:v>#N/A</c:v>
              </c:pt>
              <c:pt idx="347">
                <c:v>#N/A</c:v>
              </c:pt>
              <c:pt idx="348">
                <c:v>#N/A</c:v>
              </c:pt>
              <c:pt idx="349">
                <c:v>4543.5168899999999</c:v>
              </c:pt>
              <c:pt idx="350">
                <c:v>5511.3698999999997</c:v>
              </c:pt>
              <c:pt idx="351">
                <c:v>6131.1339099999996</c:v>
              </c:pt>
              <c:pt idx="352">
                <c:v>13527.24718</c:v>
              </c:pt>
              <c:pt idx="353">
                <c:v>10158.29017</c:v>
              </c:pt>
              <c:pt idx="354">
                <c:v>#N/A</c:v>
              </c:pt>
              <c:pt idx="355">
                <c:v>#N/A</c:v>
              </c:pt>
              <c:pt idx="356">
                <c:v>6885.5556500000002</c:v>
              </c:pt>
              <c:pt idx="357">
                <c:v>5624.6189199999999</c:v>
              </c:pt>
              <c:pt idx="358">
                <c:v>5935.67418</c:v>
              </c:pt>
              <c:pt idx="359">
                <c:v>5424.8914000000004</c:v>
              </c:pt>
              <c:pt idx="360">
                <c:v>6134.8834699999998</c:v>
              </c:pt>
              <c:pt idx="361">
                <c:v>#N/A</c:v>
              </c:pt>
              <c:pt idx="362">
                <c:v>#N/A</c:v>
              </c:pt>
              <c:pt idx="363">
                <c:v>6759.55447</c:v>
              </c:pt>
              <c:pt idx="364">
                <c:v>4921.5990000000002</c:v>
              </c:pt>
              <c:pt idx="365">
                <c:v>6025.7819799999997</c:v>
              </c:pt>
              <c:pt idx="366">
                <c:v>7430.9906099999998</c:v>
              </c:pt>
              <c:pt idx="367">
                <c:v>12130.355159999999</c:v>
              </c:pt>
              <c:pt idx="368">
                <c:v>#N/A</c:v>
              </c:pt>
              <c:pt idx="369">
                <c:v>#N/A</c:v>
              </c:pt>
              <c:pt idx="370">
                <c:v>8320.0190500000008</c:v>
              </c:pt>
              <c:pt idx="371">
                <c:v>7480.7891399999999</c:v>
              </c:pt>
              <c:pt idx="372">
                <c:v>18640.8161</c:v>
              </c:pt>
              <c:pt idx="373">
                <c:v>36586.315260000003</c:v>
              </c:pt>
              <c:pt idx="374">
                <c:v>14491.789769999999</c:v>
              </c:pt>
              <c:pt idx="375">
                <c:v>#N/A</c:v>
              </c:pt>
              <c:pt idx="376">
                <c:v>#N/A</c:v>
              </c:pt>
              <c:pt idx="377">
                <c:v>9302.4747100000004</c:v>
              </c:pt>
              <c:pt idx="378">
                <c:v>7927.8162899999998</c:v>
              </c:pt>
              <c:pt idx="379">
                <c:v>8935.2972699999991</c:v>
              </c:pt>
              <c:pt idx="380">
                <c:v>6722.9534999999996</c:v>
              </c:pt>
              <c:pt idx="381">
                <c:v>7452.3941999999997</c:v>
              </c:pt>
              <c:pt idx="382">
                <c:v>#N/A</c:v>
              </c:pt>
              <c:pt idx="383">
                <c:v>#N/A</c:v>
              </c:pt>
              <c:pt idx="384">
                <c:v>7029.2659000000003</c:v>
              </c:pt>
              <c:pt idx="385">
                <c:v>6277.6075199999996</c:v>
              </c:pt>
              <c:pt idx="386">
                <c:v>5521.82485</c:v>
              </c:pt>
              <c:pt idx="387">
                <c:v>4486.8480399999999</c:v>
              </c:pt>
              <c:pt idx="388">
                <c:v>5119.1495199999999</c:v>
              </c:pt>
              <c:pt idx="389">
                <c:v>#N/A</c:v>
              </c:pt>
              <c:pt idx="390">
                <c:v>#N/A</c:v>
              </c:pt>
              <c:pt idx="391">
                <c:v>6865.1441500000001</c:v>
              </c:pt>
              <c:pt idx="392">
                <c:v>4944.3052299999999</c:v>
              </c:pt>
              <c:pt idx="393">
                <c:v>6308.4003199999997</c:v>
              </c:pt>
              <c:pt idx="394">
                <c:v>7859.48855</c:v>
              </c:pt>
              <c:pt idx="395">
                <c:v>5100.0677500000002</c:v>
              </c:pt>
              <c:pt idx="396">
                <c:v>#N/A</c:v>
              </c:pt>
              <c:pt idx="397">
                <c:v>#N/A</c:v>
              </c:pt>
              <c:pt idx="398">
                <c:v>5506.5633099999995</c:v>
              </c:pt>
              <c:pt idx="399">
                <c:v>5455.7732800000003</c:v>
              </c:pt>
              <c:pt idx="400">
                <c:v>4714.5726500000001</c:v>
              </c:pt>
              <c:pt idx="401">
                <c:v>5471.9429200000004</c:v>
              </c:pt>
              <c:pt idx="402">
                <c:v>5750.2387500000004</c:v>
              </c:pt>
              <c:pt idx="403">
                <c:v>#N/A</c:v>
              </c:pt>
              <c:pt idx="404">
                <c:v>#N/A</c:v>
              </c:pt>
              <c:pt idx="405">
                <c:v>#N/A</c:v>
              </c:pt>
              <c:pt idx="406">
                <c:v>4883.5555400000003</c:v>
              </c:pt>
              <c:pt idx="407">
                <c:v>4376.5487700000003</c:v>
              </c:pt>
              <c:pt idx="408">
                <c:v>5013.8873000000003</c:v>
              </c:pt>
              <c:pt idx="409">
                <c:v>7898.6725699999997</c:v>
              </c:pt>
              <c:pt idx="410">
                <c:v>#N/A</c:v>
              </c:pt>
              <c:pt idx="411">
                <c:v>#N/A</c:v>
              </c:pt>
              <c:pt idx="412">
                <c:v>5385.7959300000002</c:v>
              </c:pt>
              <c:pt idx="413">
                <c:v>3381.2476000000001</c:v>
              </c:pt>
              <c:pt idx="414">
                <c:v>7767.7310100000004</c:v>
              </c:pt>
              <c:pt idx="415">
                <c:v>5267.1053099999999</c:v>
              </c:pt>
              <c:pt idx="416">
                <c:v>4624.3320599999997</c:v>
              </c:pt>
              <c:pt idx="417">
                <c:v>#N/A</c:v>
              </c:pt>
              <c:pt idx="418">
                <c:v>#N/A</c:v>
              </c:pt>
              <c:pt idx="419">
                <c:v>5647.6754899999996</c:v>
              </c:pt>
              <c:pt idx="420">
                <c:v>4909.1201499999997</c:v>
              </c:pt>
              <c:pt idx="421">
                <c:v>6097.5452299999997</c:v>
              </c:pt>
              <c:pt idx="422">
                <c:v>5018.1244500000003</c:v>
              </c:pt>
              <c:pt idx="423">
                <c:v>5164.2858200000001</c:v>
              </c:pt>
              <c:pt idx="424">
                <c:v>#N/A</c:v>
              </c:pt>
              <c:pt idx="425">
                <c:v>#N/A</c:v>
              </c:pt>
              <c:pt idx="426">
                <c:v>5707.9980699999996</c:v>
              </c:pt>
              <c:pt idx="427">
                <c:v>6523.5516799999996</c:v>
              </c:pt>
              <c:pt idx="428">
                <c:v>#N/A</c:v>
              </c:pt>
              <c:pt idx="429">
                <c:v>5920.65301</c:v>
              </c:pt>
              <c:pt idx="430">
                <c:v>11444.623579999999</c:v>
              </c:pt>
              <c:pt idx="431">
                <c:v>#N/A</c:v>
              </c:pt>
              <c:pt idx="432">
                <c:v>#N/A</c:v>
              </c:pt>
              <c:pt idx="433">
                <c:v>6747.8964500000002</c:v>
              </c:pt>
              <c:pt idx="434">
                <c:v>6183.2480500000001</c:v>
              </c:pt>
              <c:pt idx="435">
                <c:v>4557.7047599999996</c:v>
              </c:pt>
              <c:pt idx="436">
                <c:v>5258.5701499999996</c:v>
              </c:pt>
              <c:pt idx="437">
                <c:v>7994.4771799999999</c:v>
              </c:pt>
              <c:pt idx="438">
                <c:v>#N/A</c:v>
              </c:pt>
              <c:pt idx="439">
                <c:v>#N/A</c:v>
              </c:pt>
              <c:pt idx="440">
                <c:v>5212.4107400000003</c:v>
              </c:pt>
              <c:pt idx="441">
                <c:v>3943.2645499999999</c:v>
              </c:pt>
              <c:pt idx="442">
                <c:v>3062.6234300000001</c:v>
              </c:pt>
              <c:pt idx="443">
                <c:v>#N/A</c:v>
              </c:pt>
              <c:pt idx="444">
                <c:v>11529.288350000001</c:v>
              </c:pt>
              <c:pt idx="445">
                <c:v>#N/A</c:v>
              </c:pt>
              <c:pt idx="446">
                <c:v>#N/A</c:v>
              </c:pt>
              <c:pt idx="447">
                <c:v>7896.1284500000002</c:v>
              </c:pt>
              <c:pt idx="448">
                <c:v>4647.6166400000002</c:v>
              </c:pt>
              <c:pt idx="449">
                <c:v>5872.6478399999996</c:v>
              </c:pt>
              <c:pt idx="450">
                <c:v>8438.1463100000001</c:v>
              </c:pt>
              <c:pt idx="451">
                <c:v>9852.9538900000007</c:v>
              </c:pt>
              <c:pt idx="452">
                <c:v>#N/A</c:v>
              </c:pt>
              <c:pt idx="453">
                <c:v>#N/A</c:v>
              </c:pt>
              <c:pt idx="454">
                <c:v>6221.4311100000004</c:v>
              </c:pt>
              <c:pt idx="455">
                <c:v>6894.2022500000003</c:v>
              </c:pt>
              <c:pt idx="456">
                <c:v>12971.10612</c:v>
              </c:pt>
              <c:pt idx="457">
                <c:v>9168.2780899999998</c:v>
              </c:pt>
              <c:pt idx="458">
                <c:v>7223.0900600000004</c:v>
              </c:pt>
              <c:pt idx="459">
                <c:v>#N/A</c:v>
              </c:pt>
              <c:pt idx="460">
                <c:v>#N/A</c:v>
              </c:pt>
              <c:pt idx="461">
                <c:v>5860.0530900000003</c:v>
              </c:pt>
              <c:pt idx="462">
                <c:v>4620.8214900000003</c:v>
              </c:pt>
              <c:pt idx="463">
                <c:v>8141.2946499999998</c:v>
              </c:pt>
              <c:pt idx="464">
                <c:v>8270.4201200000007</c:v>
              </c:pt>
              <c:pt idx="465">
                <c:v>6623.3660900000004</c:v>
              </c:pt>
              <c:pt idx="466">
                <c:v>#N/A</c:v>
              </c:pt>
              <c:pt idx="467">
                <c:v>#N/A</c:v>
              </c:pt>
              <c:pt idx="468">
                <c:v>5280.9790899999998</c:v>
              </c:pt>
              <c:pt idx="469">
                <c:v>5275.9374399999997</c:v>
              </c:pt>
              <c:pt idx="470">
                <c:v>11531.61549</c:v>
              </c:pt>
              <c:pt idx="471">
                <c:v>21444.17324</c:v>
              </c:pt>
              <c:pt idx="472">
                <c:v>11737.15936</c:v>
              </c:pt>
              <c:pt idx="473">
                <c:v>#N/A</c:v>
              </c:pt>
              <c:pt idx="474">
                <c:v>#N/A</c:v>
              </c:pt>
              <c:pt idx="475">
                <c:v>10178.809939999999</c:v>
              </c:pt>
              <c:pt idx="476">
                <c:v>10353.635689999999</c:v>
              </c:pt>
              <c:pt idx="477">
                <c:v>9829.8866999999991</c:v>
              </c:pt>
              <c:pt idx="478">
                <c:v>8234.0118999999995</c:v>
              </c:pt>
              <c:pt idx="479">
                <c:v>7091.7092899999998</c:v>
              </c:pt>
              <c:pt idx="480">
                <c:v>#N/A</c:v>
              </c:pt>
              <c:pt idx="481">
                <c:v>#N/A</c:v>
              </c:pt>
              <c:pt idx="482">
                <c:v>5039.5013799999997</c:v>
              </c:pt>
              <c:pt idx="483">
                <c:v>7264.16867</c:v>
              </c:pt>
              <c:pt idx="484">
                <c:v>6028.3410000000003</c:v>
              </c:pt>
              <c:pt idx="485">
                <c:v>7244.3588200000004</c:v>
              </c:pt>
              <c:pt idx="486">
                <c:v>7793.5186800000001</c:v>
              </c:pt>
              <c:pt idx="487">
                <c:v>#N/A</c:v>
              </c:pt>
              <c:pt idx="488">
                <c:v>#N/A</c:v>
              </c:pt>
              <c:pt idx="489">
                <c:v>5229.1345000000001</c:v>
              </c:pt>
              <c:pt idx="490">
                <c:v>4184.54907</c:v>
              </c:pt>
              <c:pt idx="491">
                <c:v>7183.6089499999998</c:v>
              </c:pt>
              <c:pt idx="492">
                <c:v>8355.7117600000001</c:v>
              </c:pt>
              <c:pt idx="493">
                <c:v>5979.0382099999997</c:v>
              </c:pt>
              <c:pt idx="494">
                <c:v>#N/A</c:v>
              </c:pt>
              <c:pt idx="495">
                <c:v>#N/A</c:v>
              </c:pt>
              <c:pt idx="496">
                <c:v>4994.4151199999997</c:v>
              </c:pt>
              <c:pt idx="497">
                <c:v>3261.35995</c:v>
              </c:pt>
              <c:pt idx="498">
                <c:v>4705.8384699999997</c:v>
              </c:pt>
              <c:pt idx="499">
                <c:v>4310.2554700000001</c:v>
              </c:pt>
              <c:pt idx="500">
                <c:v>4773.9177</c:v>
              </c:pt>
              <c:pt idx="501">
                <c:v>#N/A</c:v>
              </c:pt>
              <c:pt idx="502">
                <c:v>#N/A</c:v>
              </c:pt>
              <c:pt idx="503">
                <c:v>#N/A</c:v>
              </c:pt>
              <c:pt idx="504">
                <c:v>6376.0756700000002</c:v>
              </c:pt>
              <c:pt idx="505">
                <c:v>4273.7940399999998</c:v>
              </c:pt>
              <c:pt idx="506">
                <c:v>4466.1293699999997</c:v>
              </c:pt>
              <c:pt idx="507">
                <c:v>7376.2415199999996</c:v>
              </c:pt>
              <c:pt idx="508">
                <c:v>#N/A</c:v>
              </c:pt>
              <c:pt idx="509">
                <c:v>#N/A</c:v>
              </c:pt>
              <c:pt idx="510">
                <c:v>5576.8330999999998</c:v>
              </c:pt>
              <c:pt idx="511">
                <c:v>#N/A</c:v>
              </c:pt>
              <c:pt idx="512">
                <c:v>5518.8233499999997</c:v>
              </c:pt>
              <c:pt idx="513">
                <c:v>6303.7005600000002</c:v>
              </c:pt>
              <c:pt idx="514">
                <c:v>5414.8244100000002</c:v>
              </c:pt>
              <c:pt idx="515">
                <c:v>#N/A</c:v>
              </c:pt>
              <c:pt idx="516">
                <c:v>#N/A</c:v>
              </c:pt>
              <c:pt idx="517">
                <c:v>5080.9030599999996</c:v>
              </c:pt>
              <c:pt idx="518">
                <c:v>6269.9401399999997</c:v>
              </c:pt>
              <c:pt idx="519">
                <c:v>5553.54673</c:v>
              </c:pt>
              <c:pt idx="520">
                <c:v>8748.2103000000006</c:v>
              </c:pt>
              <c:pt idx="521">
                <c:v>12387.20772</c:v>
              </c:pt>
              <c:pt idx="522">
                <c:v>#N/A</c:v>
              </c:pt>
              <c:pt idx="523">
                <c:v>#N/A</c:v>
              </c:pt>
              <c:pt idx="524">
                <c:v>7241.7578899999999</c:v>
              </c:pt>
              <c:pt idx="525">
                <c:v>7319.3218999999999</c:v>
              </c:pt>
              <c:pt idx="526">
                <c:v>9401.7512399999996</c:v>
              </c:pt>
              <c:pt idx="527">
                <c:v>8177.3428899999999</c:v>
              </c:pt>
              <c:pt idx="528">
                <c:v>5332.2574999999997</c:v>
              </c:pt>
              <c:pt idx="529">
                <c:v>#N/A</c:v>
              </c:pt>
              <c:pt idx="530">
                <c:v>#N/A</c:v>
              </c:pt>
              <c:pt idx="531">
                <c:v>7331.357</c:v>
              </c:pt>
              <c:pt idx="532">
                <c:v>8796.51368</c:v>
              </c:pt>
              <c:pt idx="533">
                <c:v>3737.3847700000001</c:v>
              </c:pt>
              <c:pt idx="534">
                <c:v>6749.0477199999996</c:v>
              </c:pt>
              <c:pt idx="535">
                <c:v>8462.2216599999992</c:v>
              </c:pt>
              <c:pt idx="536">
                <c:v>#N/A</c:v>
              </c:pt>
              <c:pt idx="537">
                <c:v>#N/A</c:v>
              </c:pt>
              <c:pt idx="538">
                <c:v>7025.6627099999996</c:v>
              </c:pt>
              <c:pt idx="539">
                <c:v>4658.5602500000005</c:v>
              </c:pt>
              <c:pt idx="540">
                <c:v>5627.3872799999999</c:v>
              </c:pt>
              <c:pt idx="541">
                <c:v>4519.1063400000003</c:v>
              </c:pt>
              <c:pt idx="542">
                <c:v>5065.9307399999998</c:v>
              </c:pt>
              <c:pt idx="543">
                <c:v>#N/A</c:v>
              </c:pt>
              <c:pt idx="544">
                <c:v>#N/A</c:v>
              </c:pt>
              <c:pt idx="545">
                <c:v>4872.1287199999997</c:v>
              </c:pt>
              <c:pt idx="546">
                <c:v>5607.2246400000004</c:v>
              </c:pt>
              <c:pt idx="547">
                <c:v>6499.4912100000001</c:v>
              </c:pt>
              <c:pt idx="548">
                <c:v>5019.9590900000003</c:v>
              </c:pt>
              <c:pt idx="549">
                <c:v>4435.5181300000004</c:v>
              </c:pt>
              <c:pt idx="550">
                <c:v>#N/A</c:v>
              </c:pt>
              <c:pt idx="551">
                <c:v>#N/A</c:v>
              </c:pt>
              <c:pt idx="552">
                <c:v>4700.1379299999999</c:v>
              </c:pt>
              <c:pt idx="553">
                <c:v>4972.9629100000002</c:v>
              </c:pt>
              <c:pt idx="554">
                <c:v>8031.6913100000002</c:v>
              </c:pt>
              <c:pt idx="555">
                <c:v>4079.3011499999998</c:v>
              </c:pt>
              <c:pt idx="556">
                <c:v>6499.4362700000001</c:v>
              </c:pt>
              <c:pt idx="557">
                <c:v>#N/A</c:v>
              </c:pt>
              <c:pt idx="558">
                <c:v>#N/A</c:v>
              </c:pt>
              <c:pt idx="559">
                <c:v>6316.4737400000004</c:v>
              </c:pt>
              <c:pt idx="560">
                <c:v>7723.9669000000004</c:v>
              </c:pt>
              <c:pt idx="561">
                <c:v>15898.662619999999</c:v>
              </c:pt>
              <c:pt idx="562">
                <c:v>15232.936229999999</c:v>
              </c:pt>
              <c:pt idx="563">
                <c:v>8679.3827600000004</c:v>
              </c:pt>
              <c:pt idx="564">
                <c:v>#N/A</c:v>
              </c:pt>
              <c:pt idx="565">
                <c:v>#N/A</c:v>
              </c:pt>
              <c:pt idx="566">
                <c:v>6764.3804899999996</c:v>
              </c:pt>
              <c:pt idx="567">
                <c:v>5595.7201999999997</c:v>
              </c:pt>
              <c:pt idx="568">
                <c:v>10471.62066</c:v>
              </c:pt>
              <c:pt idx="569">
                <c:v>8670.5990199999997</c:v>
              </c:pt>
              <c:pt idx="570">
                <c:v>5549.0480500000003</c:v>
              </c:pt>
              <c:pt idx="571">
                <c:v>#N/A</c:v>
              </c:pt>
              <c:pt idx="572">
                <c:v>#N/A</c:v>
              </c:pt>
              <c:pt idx="573">
                <c:v>5953.6122699999996</c:v>
              </c:pt>
              <c:pt idx="574">
                <c:v>9525.3867499999997</c:v>
              </c:pt>
              <c:pt idx="575">
                <c:v>6239.3981400000002</c:v>
              </c:pt>
              <c:pt idx="576">
                <c:v>6379.7783099999997</c:v>
              </c:pt>
              <c:pt idx="577">
                <c:v>9814.3436899999997</c:v>
              </c:pt>
              <c:pt idx="578">
                <c:v>#N/A</c:v>
              </c:pt>
              <c:pt idx="579">
                <c:v>#N/A</c:v>
              </c:pt>
              <c:pt idx="580">
                <c:v>7953.8188</c:v>
              </c:pt>
              <c:pt idx="581">
                <c:v>5342.9486699999998</c:v>
              </c:pt>
              <c:pt idx="582">
                <c:v>5540.5911500000002</c:v>
              </c:pt>
              <c:pt idx="583">
                <c:v>6281.1276099999995</c:v>
              </c:pt>
              <c:pt idx="584">
                <c:v>5123.9611999999997</c:v>
              </c:pt>
              <c:pt idx="585">
                <c:v>#N/A</c:v>
              </c:pt>
              <c:pt idx="586">
                <c:v>#N/A</c:v>
              </c:pt>
              <c:pt idx="587">
                <c:v>7685.3999299999996</c:v>
              </c:pt>
              <c:pt idx="588">
                <c:v>5939.8956900000003</c:v>
              </c:pt>
              <c:pt idx="589">
                <c:v>4098.36978</c:v>
              </c:pt>
              <c:pt idx="590">
                <c:v>#N/A</c:v>
              </c:pt>
              <c:pt idx="591">
                <c:v>4095.19967</c:v>
              </c:pt>
              <c:pt idx="592">
                <c:v>#N/A</c:v>
              </c:pt>
              <c:pt idx="593">
                <c:v>#N/A</c:v>
              </c:pt>
              <c:pt idx="594">
                <c:v>7423.6372000000001</c:v>
              </c:pt>
              <c:pt idx="595">
                <c:v>9147.7811899999997</c:v>
              </c:pt>
              <c:pt idx="596">
                <c:v>9020.7283399999997</c:v>
              </c:pt>
              <c:pt idx="597">
                <c:v>4920.8924200000001</c:v>
              </c:pt>
              <c:pt idx="598">
                <c:v>10563.85871</c:v>
              </c:pt>
              <c:pt idx="599">
                <c:v>#N/A</c:v>
              </c:pt>
              <c:pt idx="600">
                <c:v>#N/A</c:v>
              </c:pt>
              <c:pt idx="601">
                <c:v>7010.6600200000003</c:v>
              </c:pt>
              <c:pt idx="602">
                <c:v>6774.6510600000001</c:v>
              </c:pt>
              <c:pt idx="603">
                <c:v>6856.4974099999999</c:v>
              </c:pt>
              <c:pt idx="604">
                <c:v>4714.9767400000001</c:v>
              </c:pt>
              <c:pt idx="605">
                <c:v>5244.0350500000004</c:v>
              </c:pt>
              <c:pt idx="606">
                <c:v>#N/A</c:v>
              </c:pt>
              <c:pt idx="607">
                <c:v>#N/A</c:v>
              </c:pt>
              <c:pt idx="608">
                <c:v>6795.2425499999999</c:v>
              </c:pt>
              <c:pt idx="609">
                <c:v>7989.4392500000004</c:v>
              </c:pt>
              <c:pt idx="610">
                <c:v>10197.305899999999</c:v>
              </c:pt>
              <c:pt idx="611">
                <c:v>8908.5848999999998</c:v>
              </c:pt>
              <c:pt idx="612">
                <c:v>28671.040499999999</c:v>
              </c:pt>
              <c:pt idx="613">
                <c:v>#N/A</c:v>
              </c:pt>
              <c:pt idx="614">
                <c:v>#N/A</c:v>
              </c:pt>
              <c:pt idx="615">
                <c:v>6121.91914</c:v>
              </c:pt>
              <c:pt idx="616">
                <c:v>2872.26053</c:v>
              </c:pt>
              <c:pt idx="617">
                <c:v>#N/A</c:v>
              </c:pt>
              <c:pt idx="618">
                <c:v>3675.14905</c:v>
              </c:pt>
              <c:pt idx="619">
                <c:v>4849.0014000000001</c:v>
              </c:pt>
              <c:pt idx="620">
                <c:v>#N/A</c:v>
              </c:pt>
              <c:pt idx="621">
                <c:v>#N/A</c:v>
              </c:pt>
              <c:pt idx="622">
                <c:v>4153.9718300000004</c:v>
              </c:pt>
              <c:pt idx="623">
                <c:v>3524.4891600000001</c:v>
              </c:pt>
              <c:pt idx="624">
                <c:v>#N/A</c:v>
              </c:pt>
              <c:pt idx="625">
                <c:v>7599.7228800000003</c:v>
              </c:pt>
              <c:pt idx="626">
                <c:v>6915.0227100000002</c:v>
              </c:pt>
              <c:pt idx="627">
                <c:v>#N/A</c:v>
              </c:pt>
              <c:pt idx="628">
                <c:v>#N/A</c:v>
              </c:pt>
              <c:pt idx="629">
                <c:v>9176.1871699999992</c:v>
              </c:pt>
              <c:pt idx="630">
                <c:v>7458.8461600000001</c:v>
              </c:pt>
              <c:pt idx="631">
                <c:v>6159.6278700000003</c:v>
              </c:pt>
              <c:pt idx="632">
                <c:v>#N/A</c:v>
              </c:pt>
              <c:pt idx="633">
                <c:v>11859.34751</c:v>
              </c:pt>
              <c:pt idx="634">
                <c:v>#N/A</c:v>
              </c:pt>
              <c:pt idx="635">
                <c:v>#N/A</c:v>
              </c:pt>
              <c:pt idx="636">
                <c:v>6560.8579099999997</c:v>
              </c:pt>
              <c:pt idx="637">
                <c:v>8080.6067499999999</c:v>
              </c:pt>
              <c:pt idx="638">
                <c:v>9580.3572499999991</c:v>
              </c:pt>
              <c:pt idx="639">
                <c:v>5107.6248400000004</c:v>
              </c:pt>
              <c:pt idx="640">
                <c:v>10589.03326</c:v>
              </c:pt>
              <c:pt idx="641">
                <c:v>#N/A</c:v>
              </c:pt>
              <c:pt idx="642">
                <c:v>#N/A</c:v>
              </c:pt>
              <c:pt idx="643">
                <c:v>#N/A</c:v>
              </c:pt>
              <c:pt idx="644">
                <c:v>7196.5639000000001</c:v>
              </c:pt>
              <c:pt idx="645">
                <c:v>7652.8458600000004</c:v>
              </c:pt>
              <c:pt idx="646">
                <c:v>6307.3232399999997</c:v>
              </c:pt>
              <c:pt idx="647">
                <c:v>12344.60987</c:v>
              </c:pt>
              <c:pt idx="648">
                <c:v>#N/A</c:v>
              </c:pt>
              <c:pt idx="649">
                <c:v>#N/A</c:v>
              </c:pt>
              <c:pt idx="650">
                <c:v>18740.057499999999</c:v>
              </c:pt>
              <c:pt idx="651">
                <c:v>14127.28565</c:v>
              </c:pt>
              <c:pt idx="652">
                <c:v>14461.881450000001</c:v>
              </c:pt>
              <c:pt idx="653">
                <c:v>20144.83093</c:v>
              </c:pt>
              <c:pt idx="654">
                <c:v>13322.99344</c:v>
              </c:pt>
              <c:pt idx="655">
                <c:v>#N/A</c:v>
              </c:pt>
              <c:pt idx="656">
                <c:v>#N/A</c:v>
              </c:pt>
              <c:pt idx="657">
                <c:v>14936.62132</c:v>
              </c:pt>
              <c:pt idx="658">
                <c:v>9736.32107</c:v>
              </c:pt>
              <c:pt idx="659">
                <c:v>12542.29184</c:v>
              </c:pt>
              <c:pt idx="660">
                <c:v>9313.3204700000006</c:v>
              </c:pt>
              <c:pt idx="661">
                <c:v>11737.467909999999</c:v>
              </c:pt>
              <c:pt idx="662">
                <c:v>#N/A</c:v>
              </c:pt>
              <c:pt idx="663">
                <c:v>#N/A</c:v>
              </c:pt>
              <c:pt idx="664">
                <c:v>9257.5570200000002</c:v>
              </c:pt>
              <c:pt idx="665">
                <c:v>9355.9308899999996</c:v>
              </c:pt>
              <c:pt idx="666">
                <c:v>8716.5411000000004</c:v>
              </c:pt>
              <c:pt idx="667">
                <c:v>9157.3172699999996</c:v>
              </c:pt>
              <c:pt idx="668">
                <c:v>12450.643099999999</c:v>
              </c:pt>
              <c:pt idx="669">
                <c:v>#N/A</c:v>
              </c:pt>
              <c:pt idx="670">
                <c:v>#N/A</c:v>
              </c:pt>
              <c:pt idx="671">
                <c:v>#N/A</c:v>
              </c:pt>
              <c:pt idx="672">
                <c:v>15716.22867</c:v>
              </c:pt>
              <c:pt idx="673">
                <c:v>12340.94476</c:v>
              </c:pt>
              <c:pt idx="674">
                <c:v>8746.2345800000003</c:v>
              </c:pt>
              <c:pt idx="675">
                <c:v>10704.63566</c:v>
              </c:pt>
              <c:pt idx="676">
                <c:v>#N/A</c:v>
              </c:pt>
              <c:pt idx="677">
                <c:v>#N/A</c:v>
              </c:pt>
              <c:pt idx="678">
                <c:v>10474.27</c:v>
              </c:pt>
              <c:pt idx="679">
                <c:v>13531.127769999999</c:v>
              </c:pt>
              <c:pt idx="680">
                <c:v>9761.0405599999995</c:v>
              </c:pt>
              <c:pt idx="681">
                <c:v>8228.0085600000002</c:v>
              </c:pt>
              <c:pt idx="682">
                <c:v>11716.33106</c:v>
              </c:pt>
              <c:pt idx="683">
                <c:v>#N/A</c:v>
              </c:pt>
              <c:pt idx="684">
                <c:v>#N/A</c:v>
              </c:pt>
              <c:pt idx="685">
                <c:v>7103.2069499999998</c:v>
              </c:pt>
              <c:pt idx="686">
                <c:v>13756.93312</c:v>
              </c:pt>
              <c:pt idx="687">
                <c:v>9039.6089699999993</c:v>
              </c:pt>
              <c:pt idx="688">
                <c:v>8443.4318600000006</c:v>
              </c:pt>
              <c:pt idx="689">
                <c:v>13373.902319999999</c:v>
              </c:pt>
              <c:pt idx="690">
                <c:v>#N/A</c:v>
              </c:pt>
              <c:pt idx="691">
                <c:v>#N/A</c:v>
              </c:pt>
              <c:pt idx="692">
                <c:v>13155.745919999999</c:v>
              </c:pt>
              <c:pt idx="693">
                <c:v>10540.24379</c:v>
              </c:pt>
              <c:pt idx="694">
                <c:v>9756.1902599999994</c:v>
              </c:pt>
              <c:pt idx="695">
                <c:v>9733.9385700000003</c:v>
              </c:pt>
              <c:pt idx="696">
                <c:v>7512.6732400000001</c:v>
              </c:pt>
              <c:pt idx="697">
                <c:v>#N/A</c:v>
              </c:pt>
              <c:pt idx="698">
                <c:v>#N/A</c:v>
              </c:pt>
              <c:pt idx="699">
                <c:v>9360.1675500000001</c:v>
              </c:pt>
              <c:pt idx="700">
                <c:v>11820.57323</c:v>
              </c:pt>
              <c:pt idx="701">
                <c:v>11995.131079999999</c:v>
              </c:pt>
              <c:pt idx="702">
                <c:v>14261.191930000001</c:v>
              </c:pt>
              <c:pt idx="703">
                <c:v>14915.708909999999</c:v>
              </c:pt>
              <c:pt idx="704">
                <c:v>#N/A</c:v>
              </c:pt>
              <c:pt idx="705">
                <c:v>#N/A</c:v>
              </c:pt>
              <c:pt idx="706">
                <c:v>9741.4874199999995</c:v>
              </c:pt>
              <c:pt idx="707">
                <c:v>9590.3969300000008</c:v>
              </c:pt>
              <c:pt idx="708">
                <c:v>7736.1621599999999</c:v>
              </c:pt>
              <c:pt idx="709">
                <c:v>6288.8406299999997</c:v>
              </c:pt>
              <c:pt idx="710">
                <c:v>10152.252140000001</c:v>
              </c:pt>
              <c:pt idx="711">
                <c:v>#N/A</c:v>
              </c:pt>
              <c:pt idx="712">
                <c:v>#N/A</c:v>
              </c:pt>
              <c:pt idx="713">
                <c:v>12175.41884</c:v>
              </c:pt>
              <c:pt idx="714">
                <c:v>7522.23236</c:v>
              </c:pt>
              <c:pt idx="715">
                <c:v>7865.9913999999999</c:v>
              </c:pt>
              <c:pt idx="716">
                <c:v>18488.39329</c:v>
              </c:pt>
              <c:pt idx="717">
                <c:v>19477.436819999999</c:v>
              </c:pt>
              <c:pt idx="718">
                <c:v>#N/A</c:v>
              </c:pt>
              <c:pt idx="719">
                <c:v>#N/A</c:v>
              </c:pt>
              <c:pt idx="720">
                <c:v>18897.917710000002</c:v>
              </c:pt>
              <c:pt idx="721">
                <c:v>14310.06301</c:v>
              </c:pt>
              <c:pt idx="722">
                <c:v>22971.894899999999</c:v>
              </c:pt>
              <c:pt idx="723">
                <c:v>15390.8964</c:v>
              </c:pt>
              <c:pt idx="724">
                <c:v>9589.8396900000007</c:v>
              </c:pt>
              <c:pt idx="725">
                <c:v>#N/A</c:v>
              </c:pt>
              <c:pt idx="726">
                <c:v>#N/A</c:v>
              </c:pt>
              <c:pt idx="727">
                <c:v>7510.3056100000003</c:v>
              </c:pt>
              <c:pt idx="728">
                <c:v>8114.1518400000004</c:v>
              </c:pt>
              <c:pt idx="729">
                <c:v>9410.8155200000001</c:v>
              </c:pt>
              <c:pt idx="730">
                <c:v>7318.35239</c:v>
              </c:pt>
              <c:pt idx="731">
                <c:v>#N/A</c:v>
              </c:pt>
              <c:pt idx="732">
                <c:v>#N/A</c:v>
              </c:pt>
              <c:pt idx="733">
                <c:v>#N/A</c:v>
              </c:pt>
              <c:pt idx="734">
                <c:v>7835.0048399999996</c:v>
              </c:pt>
              <c:pt idx="735">
                <c:v>8704.5758299999998</c:v>
              </c:pt>
              <c:pt idx="736">
                <c:v>9455.3401599999997</c:v>
              </c:pt>
              <c:pt idx="737">
                <c:v>7416.12237</c:v>
              </c:pt>
              <c:pt idx="738">
                <c:v>9357.7265000000007</c:v>
              </c:pt>
              <c:pt idx="739">
                <c:v>#N/A</c:v>
              </c:pt>
              <c:pt idx="740">
                <c:v>#N/A</c:v>
              </c:pt>
              <c:pt idx="741">
                <c:v>8344.5007100000003</c:v>
              </c:pt>
              <c:pt idx="742">
                <c:v>6561.81736</c:v>
              </c:pt>
              <c:pt idx="743">
                <c:v>16054.94008</c:v>
              </c:pt>
              <c:pt idx="744">
                <c:v>17829.510269999999</c:v>
              </c:pt>
              <c:pt idx="745">
                <c:v>14769.83301</c:v>
              </c:pt>
              <c:pt idx="746">
                <c:v>#N/A</c:v>
              </c:pt>
              <c:pt idx="747">
                <c:v>#N/A</c:v>
              </c:pt>
              <c:pt idx="748">
                <c:v>8322.4963599999992</c:v>
              </c:pt>
              <c:pt idx="749">
                <c:v>6225.8677500000003</c:v>
              </c:pt>
              <c:pt idx="750">
                <c:v>7854.6020900000003</c:v>
              </c:pt>
              <c:pt idx="751">
                <c:v>8744.5836199999994</c:v>
              </c:pt>
              <c:pt idx="752">
                <c:v>6178.06268</c:v>
              </c:pt>
              <c:pt idx="753">
                <c:v>#N/A</c:v>
              </c:pt>
              <c:pt idx="754">
                <c:v>#N/A</c:v>
              </c:pt>
              <c:pt idx="755">
                <c:v>14045.1343</c:v>
              </c:pt>
              <c:pt idx="756">
                <c:v>12183.0157</c:v>
              </c:pt>
              <c:pt idx="757">
                <c:v>8141.8953099999999</c:v>
              </c:pt>
              <c:pt idx="758">
                <c:v>9234.4207200000001</c:v>
              </c:pt>
              <c:pt idx="759">
                <c:v>11858.438529999999</c:v>
              </c:pt>
              <c:pt idx="760">
                <c:v>#N/A</c:v>
              </c:pt>
              <c:pt idx="761">
                <c:v>#N/A</c:v>
              </c:pt>
              <c:pt idx="762">
                <c:v>6143.2440800000004</c:v>
              </c:pt>
              <c:pt idx="763">
                <c:v>4296.2666499999996</c:v>
              </c:pt>
              <c:pt idx="764">
                <c:v>7285.7335999999996</c:v>
              </c:pt>
              <c:pt idx="765">
                <c:v>5237.9799599999997</c:v>
              </c:pt>
              <c:pt idx="766">
                <c:v>5301.2072500000004</c:v>
              </c:pt>
              <c:pt idx="767">
                <c:v>#N/A</c:v>
              </c:pt>
              <c:pt idx="768">
                <c:v>#N/A</c:v>
              </c:pt>
              <c:pt idx="769">
                <c:v>#N/A</c:v>
              </c:pt>
              <c:pt idx="770">
                <c:v>6107.4142899999997</c:v>
              </c:pt>
              <c:pt idx="771">
                <c:v>5819.8128500000003</c:v>
              </c:pt>
              <c:pt idx="772">
                <c:v>5730.2603900000004</c:v>
              </c:pt>
              <c:pt idx="773">
                <c:v>10515.853359999999</c:v>
              </c:pt>
              <c:pt idx="774">
                <c:v>#N/A</c:v>
              </c:pt>
              <c:pt idx="775">
                <c:v>#N/A</c:v>
              </c:pt>
              <c:pt idx="776">
                <c:v>10577.582490000001</c:v>
              </c:pt>
              <c:pt idx="777">
                <c:v>7725.4779200000003</c:v>
              </c:pt>
              <c:pt idx="778">
                <c:v>9653.2669299999998</c:v>
              </c:pt>
              <c:pt idx="779">
                <c:v>8982.4437500000004</c:v>
              </c:pt>
              <c:pt idx="780">
                <c:v>8182.7156699999996</c:v>
              </c:pt>
              <c:pt idx="781">
                <c:v>#N/A</c:v>
              </c:pt>
              <c:pt idx="782">
                <c:v>#N/A</c:v>
              </c:pt>
              <c:pt idx="783">
                <c:v>8865.38177</c:v>
              </c:pt>
              <c:pt idx="784">
                <c:v>7621.1425499999996</c:v>
              </c:pt>
              <c:pt idx="785">
                <c:v>6651.6021000000001</c:v>
              </c:pt>
              <c:pt idx="786">
                <c:v>5077.2880699999996</c:v>
              </c:pt>
              <c:pt idx="787">
                <c:v>6333.2375300000003</c:v>
              </c:pt>
              <c:pt idx="788">
                <c:v>#N/A</c:v>
              </c:pt>
              <c:pt idx="789">
                <c:v>#N/A</c:v>
              </c:pt>
              <c:pt idx="790">
                <c:v>9633.2886099999996</c:v>
              </c:pt>
              <c:pt idx="791">
                <c:v>7018.3938799999996</c:v>
              </c:pt>
              <c:pt idx="792">
                <c:v>7005.1897799999997</c:v>
              </c:pt>
              <c:pt idx="793">
                <c:v>#N/A</c:v>
              </c:pt>
              <c:pt idx="794">
                <c:v>15379.241</c:v>
              </c:pt>
              <c:pt idx="795">
                <c:v>#N/A</c:v>
              </c:pt>
              <c:pt idx="796">
                <c:v>#N/A</c:v>
              </c:pt>
              <c:pt idx="797">
                <c:v>7739.7508200000002</c:v>
              </c:pt>
              <c:pt idx="798">
                <c:v>9844.8688000000002</c:v>
              </c:pt>
              <c:pt idx="799">
                <c:v>6605.20658</c:v>
              </c:pt>
              <c:pt idx="800">
                <c:v>10139.696550000001</c:v>
              </c:pt>
              <c:pt idx="801">
                <c:v>13774.44247</c:v>
              </c:pt>
              <c:pt idx="802">
                <c:v>#N/A</c:v>
              </c:pt>
              <c:pt idx="803">
                <c:v>#N/A</c:v>
              </c:pt>
              <c:pt idx="804">
                <c:v>11368.13968</c:v>
              </c:pt>
              <c:pt idx="805">
                <c:v>9660.0221899999997</c:v>
              </c:pt>
              <c:pt idx="806">
                <c:v>6662.4175599999999</c:v>
              </c:pt>
              <c:pt idx="807">
                <c:v>6184.6745199999996</c:v>
              </c:pt>
              <c:pt idx="808">
                <c:v>#N/A</c:v>
              </c:pt>
              <c:pt idx="809">
                <c:v>#N/A</c:v>
              </c:pt>
              <c:pt idx="810">
                <c:v>#N/A</c:v>
              </c:pt>
              <c:pt idx="811">
                <c:v>6793.4934199999998</c:v>
              </c:pt>
              <c:pt idx="812">
                <c:v>5600.1053199999997</c:v>
              </c:pt>
              <c:pt idx="813">
                <c:v>8366.8549299999995</c:v>
              </c:pt>
              <c:pt idx="814">
                <c:v>7215.8563599999998</c:v>
              </c:pt>
              <c:pt idx="815">
                <c:v>7802.1176400000004</c:v>
              </c:pt>
              <c:pt idx="816">
                <c:v>#N/A</c:v>
              </c:pt>
              <c:pt idx="817">
                <c:v>#N/A</c:v>
              </c:pt>
              <c:pt idx="818">
                <c:v>6444.5915299999997</c:v>
              </c:pt>
              <c:pt idx="819">
                <c:v>8190.4493199999997</c:v>
              </c:pt>
              <c:pt idx="820">
                <c:v>9185.3657000000003</c:v>
              </c:pt>
              <c:pt idx="821">
                <c:v>8278.9274000000005</c:v>
              </c:pt>
              <c:pt idx="822">
                <c:v>9000.5237400000005</c:v>
              </c:pt>
              <c:pt idx="823">
                <c:v>#N/A</c:v>
              </c:pt>
              <c:pt idx="824">
                <c:v>#N/A</c:v>
              </c:pt>
              <c:pt idx="825">
                <c:v>6705.0016299999997</c:v>
              </c:pt>
              <c:pt idx="826">
                <c:v>6287.6551200000004</c:v>
              </c:pt>
              <c:pt idx="827">
                <c:v>6259.2490299999999</c:v>
              </c:pt>
              <c:pt idx="828">
                <c:v>7806.2135699999999</c:v>
              </c:pt>
              <c:pt idx="829">
                <c:v>5895.0737300000001</c:v>
              </c:pt>
              <c:pt idx="830">
                <c:v>#N/A</c:v>
              </c:pt>
              <c:pt idx="831">
                <c:v>#N/A</c:v>
              </c:pt>
              <c:pt idx="832">
                <c:v>6254.6786499999998</c:v>
              </c:pt>
              <c:pt idx="833">
                <c:v>9286.9223999999995</c:v>
              </c:pt>
              <c:pt idx="834">
                <c:v>18824.400000000001</c:v>
              </c:pt>
              <c:pt idx="835">
                <c:v>30033.524440000001</c:v>
              </c:pt>
              <c:pt idx="836">
                <c:v>14271.72279</c:v>
              </c:pt>
              <c:pt idx="837">
                <c:v>#N/A</c:v>
              </c:pt>
              <c:pt idx="838">
                <c:v>#N/A</c:v>
              </c:pt>
              <c:pt idx="839">
                <c:v>12267.986790000001</c:v>
              </c:pt>
              <c:pt idx="840">
                <c:v>8886.8988599999993</c:v>
              </c:pt>
              <c:pt idx="841">
                <c:v>7514.4811799999998</c:v>
              </c:pt>
              <c:pt idx="842">
                <c:v>6871.4712</c:v>
              </c:pt>
              <c:pt idx="843">
                <c:v>5631.85682</c:v>
              </c:pt>
              <c:pt idx="844">
                <c:v>#N/A</c:v>
              </c:pt>
              <c:pt idx="845">
                <c:v>#N/A</c:v>
              </c:pt>
              <c:pt idx="846">
                <c:v>5829.7748700000002</c:v>
              </c:pt>
              <c:pt idx="847">
                <c:v>11518.014349999999</c:v>
              </c:pt>
              <c:pt idx="848">
                <c:v>6873.8699399999996</c:v>
              </c:pt>
              <c:pt idx="849">
                <c:v>6347.9180299999998</c:v>
              </c:pt>
              <c:pt idx="850">
                <c:v>10502.73472</c:v>
              </c:pt>
              <c:pt idx="851">
                <c:v>#N/A</c:v>
              </c:pt>
              <c:pt idx="852">
                <c:v>#N/A</c:v>
              </c:pt>
              <c:pt idx="853">
                <c:v>12672.146360000001</c:v>
              </c:pt>
              <c:pt idx="854">
                <c:v>9233.2018000000007</c:v>
              </c:pt>
              <c:pt idx="855">
                <c:v>8896.5146299999997</c:v>
              </c:pt>
              <c:pt idx="856">
                <c:v>6560.4785000000002</c:v>
              </c:pt>
              <c:pt idx="857">
                <c:v>8010.33493</c:v>
              </c:pt>
              <c:pt idx="858">
                <c:v>#N/A</c:v>
              </c:pt>
              <c:pt idx="859">
                <c:v>#N/A</c:v>
              </c:pt>
              <c:pt idx="860">
                <c:v>5168.5103200000003</c:v>
              </c:pt>
              <c:pt idx="861">
                <c:v>5732.5173800000002</c:v>
              </c:pt>
              <c:pt idx="862">
                <c:v>6214.7898100000002</c:v>
              </c:pt>
              <c:pt idx="863">
                <c:v>5609.2556800000002</c:v>
              </c:pt>
              <c:pt idx="864">
                <c:v>6700.4123300000001</c:v>
              </c:pt>
              <c:pt idx="865">
                <c:v>#N/A</c:v>
              </c:pt>
              <c:pt idx="866">
                <c:v>#N/A</c:v>
              </c:pt>
              <c:pt idx="867">
                <c:v>#N/A</c:v>
              </c:pt>
              <c:pt idx="868">
                <c:v>6873.9084899999998</c:v>
              </c:pt>
              <c:pt idx="869">
                <c:v>5674.7926500000003</c:v>
              </c:pt>
              <c:pt idx="870">
                <c:v>8563.8657500000008</c:v>
              </c:pt>
              <c:pt idx="871">
                <c:v>7271.2561800000003</c:v>
              </c:pt>
              <c:pt idx="872">
                <c:v>#N/A</c:v>
              </c:pt>
              <c:pt idx="873">
                <c:v>#N/A</c:v>
              </c:pt>
              <c:pt idx="874">
                <c:v>9845.9639800000004</c:v>
              </c:pt>
              <c:pt idx="875">
                <c:v>8421.9542099999999</c:v>
              </c:pt>
              <c:pt idx="876">
                <c:v>9383.4139899999991</c:v>
              </c:pt>
              <c:pt idx="877">
                <c:v>5949.5939600000002</c:v>
              </c:pt>
              <c:pt idx="878">
                <c:v>6232.52718</c:v>
              </c:pt>
              <c:pt idx="879">
                <c:v>#N/A</c:v>
              </c:pt>
              <c:pt idx="880">
                <c:v>#N/A</c:v>
              </c:pt>
              <c:pt idx="881">
                <c:v>8055.1815699999997</c:v>
              </c:pt>
              <c:pt idx="882">
                <c:v>9178.5534800000005</c:v>
              </c:pt>
              <c:pt idx="883">
                <c:v>7292.3935499999998</c:v>
              </c:pt>
              <c:pt idx="884">
                <c:v>8547.5997399999997</c:v>
              </c:pt>
              <c:pt idx="885">
                <c:v>18445.133870000001</c:v>
              </c:pt>
              <c:pt idx="886">
                <c:v>#N/A</c:v>
              </c:pt>
              <c:pt idx="887">
                <c:v>#N/A</c:v>
              </c:pt>
              <c:pt idx="888">
                <c:v>8957.6867999999995</c:v>
              </c:pt>
              <c:pt idx="889">
                <c:v>8213.1560000000009</c:v>
              </c:pt>
              <c:pt idx="890">
                <c:v>6715.2791500000003</c:v>
              </c:pt>
              <c:pt idx="891">
                <c:v>7931.7544900000003</c:v>
              </c:pt>
              <c:pt idx="892">
                <c:v>7211.65139</c:v>
              </c:pt>
              <c:pt idx="893">
                <c:v>#N/A</c:v>
              </c:pt>
              <c:pt idx="894">
                <c:v>#N/A</c:v>
              </c:pt>
              <c:pt idx="895">
                <c:v>6874.0473300000003</c:v>
              </c:pt>
              <c:pt idx="896">
                <c:v>11916.60067</c:v>
              </c:pt>
              <c:pt idx="897">
                <c:v>14647.81954</c:v>
              </c:pt>
              <c:pt idx="898">
                <c:v>8299.4727800000001</c:v>
              </c:pt>
              <c:pt idx="899">
                <c:v>11478.60296</c:v>
              </c:pt>
              <c:pt idx="900">
                <c:v>#N/A</c:v>
              </c:pt>
              <c:pt idx="901">
                <c:v>#N/A</c:v>
              </c:pt>
              <c:pt idx="902">
                <c:v>15497.4298</c:v>
              </c:pt>
              <c:pt idx="903">
                <c:v>8601.8327000000008</c:v>
              </c:pt>
              <c:pt idx="904">
                <c:v>7745.9034899999997</c:v>
              </c:pt>
              <c:pt idx="905">
                <c:v>9328.1728299999995</c:v>
              </c:pt>
              <c:pt idx="906">
                <c:v>11976.05818</c:v>
              </c:pt>
              <c:pt idx="907">
                <c:v>#N/A</c:v>
              </c:pt>
              <c:pt idx="908">
                <c:v>#N/A</c:v>
              </c:pt>
              <c:pt idx="909">
                <c:v>6621.5104000000001</c:v>
              </c:pt>
              <c:pt idx="910">
                <c:v>6257.2073</c:v>
              </c:pt>
              <c:pt idx="911">
                <c:v>7352.5669399999997</c:v>
              </c:pt>
              <c:pt idx="912">
                <c:v>6420.7423099999996</c:v>
              </c:pt>
              <c:pt idx="913">
                <c:v>8769.6204400000006</c:v>
              </c:pt>
              <c:pt idx="914">
                <c:v>#N/A</c:v>
              </c:pt>
              <c:pt idx="915">
                <c:v>#N/A</c:v>
              </c:pt>
              <c:pt idx="916">
                <c:v>6516.4623600000004</c:v>
              </c:pt>
              <c:pt idx="917">
                <c:v>5607.5129399999996</c:v>
              </c:pt>
              <c:pt idx="918">
                <c:v>6405.9630399999996</c:v>
              </c:pt>
              <c:pt idx="919">
                <c:v>7234.2849200000001</c:v>
              </c:pt>
              <c:pt idx="920">
                <c:v>6756.9295000000002</c:v>
              </c:pt>
              <c:pt idx="921">
                <c:v>#N/A</c:v>
              </c:pt>
              <c:pt idx="922">
                <c:v>#N/A</c:v>
              </c:pt>
              <c:pt idx="923">
                <c:v>8500.0932900000007</c:v>
              </c:pt>
              <c:pt idx="924">
                <c:v>9162.9225999999999</c:v>
              </c:pt>
              <c:pt idx="925">
                <c:v>20158.731049999999</c:v>
              </c:pt>
              <c:pt idx="926">
                <c:v>58942.669450000001</c:v>
              </c:pt>
              <c:pt idx="927">
                <c:v>36925.587119999997</c:v>
              </c:pt>
              <c:pt idx="928">
                <c:v>#N/A</c:v>
              </c:pt>
              <c:pt idx="929">
                <c:v>#N/A</c:v>
              </c:pt>
              <c:pt idx="930">
                <c:v>21046.725119999999</c:v>
              </c:pt>
              <c:pt idx="931">
                <c:v>17161.312829999999</c:v>
              </c:pt>
              <c:pt idx="932">
                <c:v>12858.816790000001</c:v>
              </c:pt>
              <c:pt idx="933">
                <c:v>14624.77853</c:v>
              </c:pt>
              <c:pt idx="934">
                <c:v>18618.241190000001</c:v>
              </c:pt>
              <c:pt idx="935">
                <c:v>#N/A</c:v>
              </c:pt>
              <c:pt idx="936">
                <c:v>#N/A</c:v>
              </c:pt>
              <c:pt idx="937">
                <c:v>12158.2212</c:v>
              </c:pt>
              <c:pt idx="938">
                <c:v>8341.5354200000002</c:v>
              </c:pt>
              <c:pt idx="939">
                <c:v>14916.647580000001</c:v>
              </c:pt>
              <c:pt idx="940">
                <c:v>12791.73833</c:v>
              </c:pt>
              <c:pt idx="941">
                <c:v>12630.53802</c:v>
              </c:pt>
              <c:pt idx="942">
                <c:v>#N/A</c:v>
              </c:pt>
              <c:pt idx="943">
                <c:v>#N/A</c:v>
              </c:pt>
              <c:pt idx="944">
                <c:v>9933.9662800000006</c:v>
              </c:pt>
              <c:pt idx="945">
                <c:v>15241.48171</c:v>
              </c:pt>
              <c:pt idx="946">
                <c:v>14607.293079999999</c:v>
              </c:pt>
              <c:pt idx="947">
                <c:v>12138.27159</c:v>
              </c:pt>
              <c:pt idx="948">
                <c:v>12510.52181</c:v>
              </c:pt>
              <c:pt idx="949">
                <c:v>#N/A</c:v>
              </c:pt>
              <c:pt idx="950">
                <c:v>#N/A</c:v>
              </c:pt>
              <c:pt idx="951">
                <c:v>14440.351060000001</c:v>
              </c:pt>
              <c:pt idx="952">
                <c:v>16041.00086</c:v>
              </c:pt>
              <c:pt idx="953">
                <c:v>9636.8792599999997</c:v>
              </c:pt>
              <c:pt idx="954">
                <c:v>#N/A</c:v>
              </c:pt>
              <c:pt idx="955">
                <c:v>7148.9606400000002</c:v>
              </c:pt>
              <c:pt idx="956">
                <c:v>#N/A</c:v>
              </c:pt>
              <c:pt idx="957">
                <c:v>#N/A</c:v>
              </c:pt>
              <c:pt idx="958">
                <c:v>8350.4861099999998</c:v>
              </c:pt>
              <c:pt idx="959">
                <c:v>7532.8063300000003</c:v>
              </c:pt>
              <c:pt idx="960">
                <c:v>7121.5014799999999</c:v>
              </c:pt>
              <c:pt idx="961">
                <c:v>19762.958689999999</c:v>
              </c:pt>
              <c:pt idx="962">
                <c:v>14281.797759999999</c:v>
              </c:pt>
              <c:pt idx="963">
                <c:v>#N/A</c:v>
              </c:pt>
              <c:pt idx="964">
                <c:v>#N/A</c:v>
              </c:pt>
              <c:pt idx="965">
                <c:v>8775.7387999999992</c:v>
              </c:pt>
              <c:pt idx="966">
                <c:v>8538.5853299999999</c:v>
              </c:pt>
              <c:pt idx="967">
                <c:v>10994.272370000001</c:v>
              </c:pt>
              <c:pt idx="968">
                <c:v>8522.2556299999997</c:v>
              </c:pt>
              <c:pt idx="969">
                <c:v>9030.11715</c:v>
              </c:pt>
              <c:pt idx="970">
                <c:v>#N/A</c:v>
              </c:pt>
              <c:pt idx="971">
                <c:v>#N/A</c:v>
              </c:pt>
              <c:pt idx="972">
                <c:v>10068.189969999999</c:v>
              </c:pt>
              <c:pt idx="973">
                <c:v>9403.2487199999996</c:v>
              </c:pt>
              <c:pt idx="974">
                <c:v>10131.25693</c:v>
              </c:pt>
              <c:pt idx="975">
                <c:v>13461.953009999999</c:v>
              </c:pt>
              <c:pt idx="976">
                <c:v>32923.381889999997</c:v>
              </c:pt>
              <c:pt idx="977">
                <c:v>#N/A</c:v>
              </c:pt>
              <c:pt idx="978">
                <c:v>#N/A</c:v>
              </c:pt>
              <c:pt idx="979">
                <c:v>10358.68318</c:v>
              </c:pt>
              <c:pt idx="980">
                <c:v>5643.2440399999996</c:v>
              </c:pt>
              <c:pt idx="981">
                <c:v>3756.6456400000002</c:v>
              </c:pt>
              <c:pt idx="982">
                <c:v>#N/A</c:v>
              </c:pt>
              <c:pt idx="983">
                <c:v>4731.78683</c:v>
              </c:pt>
              <c:pt idx="984">
                <c:v>#N/A</c:v>
              </c:pt>
              <c:pt idx="985">
                <c:v>#N/A</c:v>
              </c:pt>
              <c:pt idx="986">
                <c:v>5603.1313399999999</c:v>
              </c:pt>
              <c:pt idx="987">
                <c:v>6118.4043000000001</c:v>
              </c:pt>
              <c:pt idx="988">
                <c:v>5241.3515699999998</c:v>
              </c:pt>
              <c:pt idx="989">
                <c:v>#N/A</c:v>
              </c:pt>
              <c:pt idx="990">
                <c:v>8927.8639199999998</c:v>
              </c:pt>
              <c:pt idx="991">
                <c:v>#N/A</c:v>
              </c:pt>
              <c:pt idx="992">
                <c:v>#N/A</c:v>
              </c:pt>
              <c:pt idx="993">
                <c:v>8046.2930699999997</c:v>
              </c:pt>
              <c:pt idx="994">
                <c:v>7315.9826800000001</c:v>
              </c:pt>
              <c:pt idx="995">
                <c:v>8333.2488300000005</c:v>
              </c:pt>
              <c:pt idx="996">
                <c:v>7702.1386700000003</c:v>
              </c:pt>
              <c:pt idx="997">
                <c:v>7598.3165300000001</c:v>
              </c:pt>
              <c:pt idx="998">
                <c:v>#N/A</c:v>
              </c:pt>
              <c:pt idx="999">
                <c:v>#N/A</c:v>
              </c:pt>
              <c:pt idx="1000">
                <c:v>9499.3565600000002</c:v>
              </c:pt>
              <c:pt idx="1001">
                <c:v>11378.80198</c:v>
              </c:pt>
              <c:pt idx="1002">
                <c:v>9557.7176199999994</c:v>
              </c:pt>
              <c:pt idx="1003">
                <c:v>8117.6168100000004</c:v>
              </c:pt>
              <c:pt idx="1004">
                <c:v>10552.01305</c:v>
              </c:pt>
              <c:pt idx="1005">
                <c:v>#N/A</c:v>
              </c:pt>
              <c:pt idx="1006">
                <c:v>#N/A</c:v>
              </c:pt>
              <c:pt idx="1007">
                <c:v>#N/A</c:v>
              </c:pt>
              <c:pt idx="1008">
                <c:v>9164.2376100000001</c:v>
              </c:pt>
              <c:pt idx="1009">
                <c:v>8884.6437299999998</c:v>
              </c:pt>
              <c:pt idx="1010">
                <c:v>13855.82948</c:v>
              </c:pt>
              <c:pt idx="1011">
                <c:v>15018.227999999999</c:v>
              </c:pt>
              <c:pt idx="1012">
                <c:v>#N/A</c:v>
              </c:pt>
              <c:pt idx="1013">
                <c:v>#N/A</c:v>
              </c:pt>
              <c:pt idx="1014">
                <c:v>10977.87587</c:v>
              </c:pt>
              <c:pt idx="1015">
                <c:v>8948.7176299999992</c:v>
              </c:pt>
              <c:pt idx="1016">
                <c:v>17192.78081</c:v>
              </c:pt>
              <c:pt idx="1017">
                <c:v>44189.996809999997</c:v>
              </c:pt>
              <c:pt idx="1018">
                <c:v>17012.986560000001</c:v>
              </c:pt>
              <c:pt idx="1019">
                <c:v>#N/A</c:v>
              </c:pt>
              <c:pt idx="1020">
                <c:v>#N/A</c:v>
              </c:pt>
              <c:pt idx="1021">
                <c:v>10147.73789</c:v>
              </c:pt>
              <c:pt idx="1022">
                <c:v>9518.2505999999994</c:v>
              </c:pt>
              <c:pt idx="1023">
                <c:v>11294.398279999999</c:v>
              </c:pt>
              <c:pt idx="1024">
                <c:v>11481.897650000001</c:v>
              </c:pt>
              <c:pt idx="1025">
                <c:v>12011.619489999999</c:v>
              </c:pt>
              <c:pt idx="1026">
                <c:v>#N/A</c:v>
              </c:pt>
              <c:pt idx="1027">
                <c:v>#N/A</c:v>
              </c:pt>
              <c:pt idx="1028">
                <c:v>10048.27139</c:v>
              </c:pt>
              <c:pt idx="1029">
                <c:v>7012.9249099999997</c:v>
              </c:pt>
              <c:pt idx="1030">
                <c:v>9578.1938599999994</c:v>
              </c:pt>
              <c:pt idx="1031">
                <c:v>9721.2277799999993</c:v>
              </c:pt>
              <c:pt idx="1032">
                <c:v>7892.4349599999996</c:v>
              </c:pt>
              <c:pt idx="1033">
                <c:v>#N/A</c:v>
              </c:pt>
              <c:pt idx="1034">
                <c:v>#N/A</c:v>
              </c:pt>
              <c:pt idx="1035">
                <c:v>#N/A</c:v>
              </c:pt>
              <c:pt idx="1036">
                <c:v>8102.8338999999996</c:v>
              </c:pt>
              <c:pt idx="1037">
                <c:v>9422.6558499999992</c:v>
              </c:pt>
              <c:pt idx="1038">
                <c:v>6470.81736</c:v>
              </c:pt>
              <c:pt idx="1039">
                <c:v>9299.5614800000003</c:v>
              </c:pt>
              <c:pt idx="1040">
                <c:v>#N/A</c:v>
              </c:pt>
              <c:pt idx="1041">
                <c:v>#N/A</c:v>
              </c:pt>
              <c:pt idx="1042">
                <c:v>5484.1155099999996</c:v>
              </c:pt>
              <c:pt idx="1043">
                <c:v>6479.7191300000004</c:v>
              </c:pt>
              <c:pt idx="1044">
                <c:v>7406.7607099999996</c:v>
              </c:pt>
              <c:pt idx="1045">
                <c:v>6989.0989300000001</c:v>
              </c:pt>
              <c:pt idx="1046">
                <c:v>10178.39712</c:v>
              </c:pt>
              <c:pt idx="1047">
                <c:v>0</c:v>
              </c:pt>
              <c:pt idx="1048">
                <c:v>0</c:v>
              </c:pt>
              <c:pt idx="1049">
                <c:v>6415.4266600000001</c:v>
              </c:pt>
              <c:pt idx="1050">
                <c:v>8033.7399699999996</c:v>
              </c:pt>
              <c:pt idx="1051">
                <c:v>7218.1973600000001</c:v>
              </c:pt>
              <c:pt idx="1052">
                <c:v>8812.9068000000007</c:v>
              </c:pt>
              <c:pt idx="1053">
                <c:v>8485.9423100000004</c:v>
              </c:pt>
              <c:pt idx="1054">
                <c:v>#N/A</c:v>
              </c:pt>
              <c:pt idx="1055">
                <c:v>#N/A</c:v>
              </c:pt>
              <c:pt idx="1056">
                <c:v>8733.1240699999998</c:v>
              </c:pt>
              <c:pt idx="1057">
                <c:v>6448.6396500000001</c:v>
              </c:pt>
              <c:pt idx="1058">
                <c:v>5878.78431</c:v>
              </c:pt>
              <c:pt idx="1059">
                <c:v>7414.0465800000002</c:v>
              </c:pt>
              <c:pt idx="1060">
                <c:v>11634.491400000001</c:v>
              </c:pt>
              <c:pt idx="1061">
                <c:v>#N/A</c:v>
              </c:pt>
              <c:pt idx="1062">
                <c:v>#N/A</c:v>
              </c:pt>
              <c:pt idx="1063">
                <c:v>9496.3628900000003</c:v>
              </c:pt>
              <c:pt idx="1064">
                <c:v>6443.7557900000002</c:v>
              </c:pt>
              <c:pt idx="1065">
                <c:v>7219.6490000000003</c:v>
              </c:pt>
              <c:pt idx="1066">
                <c:v>8037.37716</c:v>
              </c:pt>
              <c:pt idx="1067">
                <c:v>12594.43635</c:v>
              </c:pt>
              <c:pt idx="1068">
                <c:v>#N/A</c:v>
              </c:pt>
              <c:pt idx="1069">
                <c:v>#N/A</c:v>
              </c:pt>
              <c:pt idx="1070">
                <c:v>8238.1455100000003</c:v>
              </c:pt>
              <c:pt idx="1071">
                <c:v>6367.8078299999997</c:v>
              </c:pt>
              <c:pt idx="1072">
                <c:v>7486.7090900000003</c:v>
              </c:pt>
              <c:pt idx="1073">
                <c:v>19591.052930000002</c:v>
              </c:pt>
              <c:pt idx="1074">
                <c:v>15841.526019999999</c:v>
              </c:pt>
              <c:pt idx="1075">
                <c:v>#N/A</c:v>
              </c:pt>
              <c:pt idx="1076">
                <c:v>#N/A</c:v>
              </c:pt>
              <c:pt idx="1077">
                <c:v>12226.89099</c:v>
              </c:pt>
              <c:pt idx="1078">
                <c:v>18822.088360000002</c:v>
              </c:pt>
              <c:pt idx="1079">
                <c:v>13674.535980000001</c:v>
              </c:pt>
              <c:pt idx="1080">
                <c:v>7765.8645100000003</c:v>
              </c:pt>
              <c:pt idx="1081">
                <c:v>#N/A</c:v>
              </c:pt>
              <c:pt idx="1082">
                <c:v>#N/A</c:v>
              </c:pt>
              <c:pt idx="1083">
                <c:v>#N/A</c:v>
              </c:pt>
              <c:pt idx="1084">
                <c:v>5452.65834</c:v>
              </c:pt>
              <c:pt idx="1085">
                <c:v>5509.4637700000003</c:v>
              </c:pt>
              <c:pt idx="1086">
                <c:v>19619.877840000001</c:v>
              </c:pt>
              <c:pt idx="1087">
                <c:v>11947.52377</c:v>
              </c:pt>
              <c:pt idx="1088">
                <c:v>8373.8904399999992</c:v>
              </c:pt>
              <c:pt idx="1089">
                <c:v>#N/A</c:v>
              </c:pt>
              <c:pt idx="1090">
                <c:v>#N/A</c:v>
              </c:pt>
            </c:numLit>
          </c:val>
          <c:extLst>
            <c:ext xmlns:c16="http://schemas.microsoft.com/office/drawing/2014/chart" uri="{C3380CC4-5D6E-409C-BE32-E72D297353CC}">
              <c16:uniqueId val="{00000000-3EC7-45D7-9105-2AEE713A6F21}"/>
            </c:ext>
          </c:extLst>
        </c:ser>
        <c:dLbls>
          <c:showLegendKey val="0"/>
          <c:showVal val="0"/>
          <c:showCatName val="0"/>
          <c:showSerName val="0"/>
          <c:showPercent val="0"/>
          <c:showBubbleSize val="0"/>
        </c:dLbls>
        <c:gapWidth val="150"/>
        <c:axId val="308041047"/>
        <c:axId val="308040063"/>
      </c:barChart>
      <c:lineChart>
        <c:grouping val="standard"/>
        <c:varyColors val="0"/>
        <c:ser>
          <c:idx val="0"/>
          <c:order val="0"/>
          <c:spPr>
            <a:ln w="19050" cap="rnd">
              <a:solidFill>
                <a:schemeClr val="accent1"/>
              </a:solidFill>
              <a:round/>
            </a:ln>
            <a:effectLst/>
          </c:spPr>
          <c:marker>
            <c:symbol val="none"/>
          </c:marker>
          <c:trendline>
            <c:spPr>
              <a:ln w="12700" cap="rnd">
                <a:solidFill>
                  <a:srgbClr val="C00000"/>
                </a:solidFill>
                <a:prstDash val="solid"/>
              </a:ln>
              <a:effectLst/>
            </c:spPr>
            <c:trendlineType val="movingAvg"/>
            <c:period val="200"/>
            <c:dispRSqr val="0"/>
            <c:dispEq val="0"/>
          </c:trendline>
          <c:cat>
            <c:numLit>
              <c:formatCode>General</c:formatCode>
              <c:ptCount val="1090"/>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numLit>
          </c:cat>
          <c:val>
            <c:numLit>
              <c:formatCode>General</c:formatCode>
              <c:ptCount val="1090"/>
              <c:pt idx="0">
                <c:v>215.7</c:v>
              </c:pt>
              <c:pt idx="1">
                <c:v>213.07</c:v>
              </c:pt>
              <c:pt idx="2">
                <c:v>212.89</c:v>
              </c:pt>
              <c:pt idx="3">
                <c:v>#N/A</c:v>
              </c:pt>
              <c:pt idx="4">
                <c:v>#N/A</c:v>
              </c:pt>
              <c:pt idx="5">
                <c:v>212.79</c:v>
              </c:pt>
              <c:pt idx="6">
                <c:v>207.55</c:v>
              </c:pt>
              <c:pt idx="7">
                <c:v>209.4</c:v>
              </c:pt>
              <c:pt idx="8">
                <c:v>238.56</c:v>
              </c:pt>
              <c:pt idx="9">
                <c:v>240.32</c:v>
              </c:pt>
              <c:pt idx="10">
                <c:v>#N/A</c:v>
              </c:pt>
              <c:pt idx="11">
                <c:v>#N/A</c:v>
              </c:pt>
              <c:pt idx="12">
                <c:v>243.18</c:v>
              </c:pt>
              <c:pt idx="13">
                <c:v>239.24</c:v>
              </c:pt>
              <c:pt idx="14">
                <c:v>237.03</c:v>
              </c:pt>
              <c:pt idx="15">
                <c:v>233.52</c:v>
              </c:pt>
              <c:pt idx="16">
                <c:v>232.78</c:v>
              </c:pt>
              <c:pt idx="17">
                <c:v>#N/A</c:v>
              </c:pt>
              <c:pt idx="18">
                <c:v>#N/A</c:v>
              </c:pt>
              <c:pt idx="19">
                <c:v>233.27</c:v>
              </c:pt>
              <c:pt idx="20">
                <c:v>233.37</c:v>
              </c:pt>
              <c:pt idx="21">
                <c:v>233.08</c:v>
              </c:pt>
              <c:pt idx="22">
                <c:v>235.79</c:v>
              </c:pt>
              <c:pt idx="23">
                <c:v>233.81</c:v>
              </c:pt>
              <c:pt idx="24">
                <c:v>#N/A</c:v>
              </c:pt>
              <c:pt idx="25">
                <c:v>#N/A</c:v>
              </c:pt>
              <c:pt idx="26">
                <c:v>238.86</c:v>
              </c:pt>
              <c:pt idx="27">
                <c:v>238.82</c:v>
              </c:pt>
              <c:pt idx="28">
                <c:v>242.48500000000001</c:v>
              </c:pt>
              <c:pt idx="29">
                <c:v>246.85</c:v>
              </c:pt>
              <c:pt idx="30">
                <c:v>245.64</c:v>
              </c:pt>
              <c:pt idx="31">
                <c:v>#N/A</c:v>
              </c:pt>
              <c:pt idx="32">
                <c:v>#N/A</c:v>
              </c:pt>
              <c:pt idx="33">
                <c:v>248.32</c:v>
              </c:pt>
              <c:pt idx="34">
                <c:v>246.74</c:v>
              </c:pt>
              <c:pt idx="35">
                <c:v>249.21</c:v>
              </c:pt>
              <c:pt idx="36">
                <c:v>252.69</c:v>
              </c:pt>
              <c:pt idx="37">
                <c:v>262.04000000000002</c:v>
              </c:pt>
              <c:pt idx="38">
                <c:v>#N/A</c:v>
              </c:pt>
              <c:pt idx="39">
                <c:v>#N/A</c:v>
              </c:pt>
              <c:pt idx="40">
                <c:v>#N/A</c:v>
              </c:pt>
              <c:pt idx="41">
                <c:v>262.52</c:v>
              </c:pt>
              <c:pt idx="42">
                <c:v>264.72000000000003</c:v>
              </c:pt>
              <c:pt idx="43">
                <c:v>272.61</c:v>
              </c:pt>
              <c:pt idx="44">
                <c:v>#N/A</c:v>
              </c:pt>
              <c:pt idx="45">
                <c:v>#N/A</c:v>
              </c:pt>
              <c:pt idx="46">
                <c:v>#N/A</c:v>
              </c:pt>
              <c:pt idx="47">
                <c:v>271.39</c:v>
              </c:pt>
              <c:pt idx="48">
                <c:v>271.12</c:v>
              </c:pt>
              <c:pt idx="49">
                <c:v>263.60000000000002</c:v>
              </c:pt>
              <c:pt idx="50">
                <c:v>264.58</c:v>
              </c:pt>
              <c:pt idx="51">
                <c:v>264.95</c:v>
              </c:pt>
              <c:pt idx="52">
                <c:v>#N/A</c:v>
              </c:pt>
              <c:pt idx="53">
                <c:v>#N/A</c:v>
              </c:pt>
              <c:pt idx="54">
                <c:v>271.05</c:v>
              </c:pt>
              <c:pt idx="55">
                <c:v>271.32</c:v>
              </c:pt>
              <c:pt idx="56">
                <c:v>273.35000000000002</c:v>
              </c:pt>
              <c:pt idx="57">
                <c:v>281.83</c:v>
              </c:pt>
              <c:pt idx="58">
                <c:v>281</c:v>
              </c:pt>
              <c:pt idx="59">
                <c:v>#N/A</c:v>
              </c:pt>
              <c:pt idx="60">
                <c:v>#N/A</c:v>
              </c:pt>
              <c:pt idx="61">
                <c:v>#N/A</c:v>
              </c:pt>
              <c:pt idx="62">
                <c:v>284.33</c:v>
              </c:pt>
              <c:pt idx="63">
                <c:v>281.64</c:v>
              </c:pt>
              <c:pt idx="64">
                <c:v>284.88</c:v>
              </c:pt>
              <c:pt idx="65">
                <c:v>288.73</c:v>
              </c:pt>
              <c:pt idx="66">
                <c:v>#N/A</c:v>
              </c:pt>
              <c:pt idx="67">
                <c:v>#N/A</c:v>
              </c:pt>
              <c:pt idx="68">
                <c:v>278.47000000000003</c:v>
              </c:pt>
              <c:pt idx="69">
                <c:v>287.05</c:v>
              </c:pt>
              <c:pt idx="70">
                <c:v>285.29000000000002</c:v>
              </c:pt>
              <c:pt idx="71">
                <c:v>281.52999999999997</c:v>
              </c:pt>
              <c:pt idx="72">
                <c:v>286.98</c:v>
              </c:pt>
              <c:pt idx="73">
                <c:v>#N/A</c:v>
              </c:pt>
              <c:pt idx="74">
                <c:v>#N/A</c:v>
              </c:pt>
              <c:pt idx="75">
                <c:v>286.02</c:v>
              </c:pt>
              <c:pt idx="76">
                <c:v>#N/A</c:v>
              </c:pt>
              <c:pt idx="77">
                <c:v>294.37</c:v>
              </c:pt>
              <c:pt idx="78">
                <c:v>291.99</c:v>
              </c:pt>
              <c:pt idx="79">
                <c:v>290.52999999999997</c:v>
              </c:pt>
              <c:pt idx="80">
                <c:v>#N/A</c:v>
              </c:pt>
              <c:pt idx="81">
                <c:v>#N/A</c:v>
              </c:pt>
              <c:pt idx="82">
                <c:v>294.10000000000002</c:v>
              </c:pt>
              <c:pt idx="83">
                <c:v>298.29000000000002</c:v>
              </c:pt>
              <c:pt idx="84">
                <c:v>309.33999999999997</c:v>
              </c:pt>
              <c:pt idx="85">
                <c:v>313.41000000000003</c:v>
              </c:pt>
              <c:pt idx="86">
                <c:v>308.87</c:v>
              </c:pt>
              <c:pt idx="87">
                <c:v>#N/A</c:v>
              </c:pt>
              <c:pt idx="88">
                <c:v>#N/A</c:v>
              </c:pt>
              <c:pt idx="89">
                <c:v>310.62</c:v>
              </c:pt>
              <c:pt idx="90">
                <c:v>312.05</c:v>
              </c:pt>
              <c:pt idx="91">
                <c:v>316.01</c:v>
              </c:pt>
              <c:pt idx="92">
                <c:v>302.52</c:v>
              </c:pt>
              <c:pt idx="93">
                <c:v>294.26</c:v>
              </c:pt>
              <c:pt idx="94">
                <c:v>#N/A</c:v>
              </c:pt>
              <c:pt idx="95">
                <c:v>#N/A</c:v>
              </c:pt>
              <c:pt idx="96">
                <c:v>291.61</c:v>
              </c:pt>
              <c:pt idx="97">
                <c:v>294.47000000000003</c:v>
              </c:pt>
              <c:pt idx="98">
                <c:v>298.57</c:v>
              </c:pt>
              <c:pt idx="99">
                <c:v>311.70999999999998</c:v>
              </c:pt>
              <c:pt idx="100">
                <c:v>325.48</c:v>
              </c:pt>
              <c:pt idx="101">
                <c:v>#N/A</c:v>
              </c:pt>
              <c:pt idx="102">
                <c:v>#N/A</c:v>
              </c:pt>
              <c:pt idx="103">
                <c:v>318.60000000000002</c:v>
              </c:pt>
              <c:pt idx="104">
                <c:v>322.70999999999998</c:v>
              </c:pt>
              <c:pt idx="105">
                <c:v>314.31</c:v>
              </c:pt>
              <c:pt idx="106">
                <c:v>313.19</c:v>
              </c:pt>
              <c:pt idx="107">
                <c:v>310.73</c:v>
              </c:pt>
              <c:pt idx="108">
                <c:v>#N/A</c:v>
              </c:pt>
              <c:pt idx="109">
                <c:v>#N/A</c:v>
              </c:pt>
              <c:pt idx="110">
                <c:v>316.56</c:v>
              </c:pt>
              <c:pt idx="111">
                <c:v>312.64</c:v>
              </c:pt>
              <c:pt idx="112">
                <c:v>305.20999999999998</c:v>
              </c:pt>
              <c:pt idx="113">
                <c:v>305.74</c:v>
              </c:pt>
              <c:pt idx="114">
                <c:v>301.64</c:v>
              </c:pt>
              <c:pt idx="115">
                <c:v>#N/A</c:v>
              </c:pt>
              <c:pt idx="116">
                <c:v>#N/A</c:v>
              </c:pt>
              <c:pt idx="117">
                <c:v>306.19</c:v>
              </c:pt>
              <c:pt idx="118">
                <c:v>301.95</c:v>
              </c:pt>
              <c:pt idx="119">
                <c:v>294.29000000000002</c:v>
              </c:pt>
              <c:pt idx="120">
                <c:v>285.08999999999997</c:v>
              </c:pt>
              <c:pt idx="121">
                <c:v>283.25</c:v>
              </c:pt>
              <c:pt idx="122">
                <c:v>#N/A</c:v>
              </c:pt>
              <c:pt idx="123">
                <c:v>#N/A</c:v>
              </c:pt>
              <c:pt idx="124">
                <c:v>289.89999999999998</c:v>
              </c:pt>
              <c:pt idx="125">
                <c:v>287.60000000000002</c:v>
              </c:pt>
              <c:pt idx="126">
                <c:v>294.24</c:v>
              </c:pt>
              <c:pt idx="127">
                <c:v>286.75</c:v>
              </c:pt>
              <c:pt idx="128">
                <c:v>285.5</c:v>
              </c:pt>
              <c:pt idx="129">
                <c:v>#N/A</c:v>
              </c:pt>
              <c:pt idx="130">
                <c:v>#N/A</c:v>
              </c:pt>
              <c:pt idx="131">
                <c:v>290.26</c:v>
              </c:pt>
              <c:pt idx="132">
                <c:v>297.99</c:v>
              </c:pt>
              <c:pt idx="133">
                <c:v>295.10000000000002</c:v>
              </c:pt>
              <c:pt idx="134">
                <c:v>295.89</c:v>
              </c:pt>
              <c:pt idx="135">
                <c:v>296.38</c:v>
              </c:pt>
              <c:pt idx="136">
                <c:v>#N/A</c:v>
              </c:pt>
              <c:pt idx="137">
                <c:v>#N/A</c:v>
              </c:pt>
              <c:pt idx="138">
                <c:v>#N/A</c:v>
              </c:pt>
              <c:pt idx="139">
                <c:v>300.14999999999998</c:v>
              </c:pt>
              <c:pt idx="140">
                <c:v>299.17</c:v>
              </c:pt>
              <c:pt idx="141">
                <c:v>298.67</c:v>
              </c:pt>
              <c:pt idx="142">
                <c:v>297.89</c:v>
              </c:pt>
              <c:pt idx="143">
                <c:v>#N/A</c:v>
              </c:pt>
              <c:pt idx="144">
                <c:v>#N/A</c:v>
              </c:pt>
              <c:pt idx="145">
                <c:v>307.56</c:v>
              </c:pt>
              <c:pt idx="146">
                <c:v>301.66000000000003</c:v>
              </c:pt>
              <c:pt idx="147">
                <c:v>305.06</c:v>
              </c:pt>
              <c:pt idx="148">
                <c:v>311.72000000000003</c:v>
              </c:pt>
              <c:pt idx="149">
                <c:v>300.31</c:v>
              </c:pt>
              <c:pt idx="150">
                <c:v>#N/A</c:v>
              </c:pt>
              <c:pt idx="151">
                <c:v>#N/A</c:v>
              </c:pt>
              <c:pt idx="152">
                <c:v>302.55</c:v>
              </c:pt>
              <c:pt idx="153">
                <c:v>305.07</c:v>
              </c:pt>
              <c:pt idx="154">
                <c:v>299.67</c:v>
              </c:pt>
              <c:pt idx="155">
                <c:v>295.73</c:v>
              </c:pt>
              <c:pt idx="156">
                <c:v>299.08</c:v>
              </c:pt>
              <c:pt idx="157">
                <c:v>#N/A</c:v>
              </c:pt>
              <c:pt idx="158">
                <c:v>#N/A</c:v>
              </c:pt>
              <c:pt idx="159">
                <c:v>300.83</c:v>
              </c:pt>
              <c:pt idx="160">
                <c:v>298.95999999999998</c:v>
              </c:pt>
              <c:pt idx="161">
                <c:v>297.74</c:v>
              </c:pt>
              <c:pt idx="162">
                <c:v>303.95999999999998</c:v>
              </c:pt>
              <c:pt idx="163">
                <c:v>300.20999999999998</c:v>
              </c:pt>
              <c:pt idx="164">
                <c:v>#N/A</c:v>
              </c:pt>
              <c:pt idx="165">
                <c:v>#N/A</c:v>
              </c:pt>
              <c:pt idx="166">
                <c:v>306.82</c:v>
              </c:pt>
              <c:pt idx="167">
                <c:v>300.94</c:v>
              </c:pt>
              <c:pt idx="168">
                <c:v>305.58</c:v>
              </c:pt>
              <c:pt idx="169">
                <c:v>304.79000000000002</c:v>
              </c:pt>
              <c:pt idx="170">
                <c:v>315.43</c:v>
              </c:pt>
              <c:pt idx="171">
                <c:v>#N/A</c:v>
              </c:pt>
              <c:pt idx="172">
                <c:v>#N/A</c:v>
              </c:pt>
              <c:pt idx="173">
                <c:v>318.36</c:v>
              </c:pt>
              <c:pt idx="174">
                <c:v>321.83999999999997</c:v>
              </c:pt>
              <c:pt idx="175">
                <c:v>327.82</c:v>
              </c:pt>
              <c:pt idx="176">
                <c:v>324.16000000000003</c:v>
              </c:pt>
              <c:pt idx="177">
                <c:v>314.69</c:v>
              </c:pt>
              <c:pt idx="178">
                <c:v>#N/A</c:v>
              </c:pt>
              <c:pt idx="179">
                <c:v>#N/A</c:v>
              </c:pt>
              <c:pt idx="180">
                <c:v>321.14999999999998</c:v>
              </c:pt>
              <c:pt idx="181">
                <c:v>324</c:v>
              </c:pt>
              <c:pt idx="182">
                <c:v>316.97000000000003</c:v>
              </c:pt>
              <c:pt idx="183">
                <c:v>312.81</c:v>
              </c:pt>
              <c:pt idx="184">
                <c:v>308.64999999999998</c:v>
              </c:pt>
              <c:pt idx="185">
                <c:v>#N/A</c:v>
              </c:pt>
              <c:pt idx="186">
                <c:v>#N/A</c:v>
              </c:pt>
              <c:pt idx="187">
                <c:v>314.01</c:v>
              </c:pt>
              <c:pt idx="188">
                <c:v>312.55</c:v>
              </c:pt>
              <c:pt idx="189">
                <c:v>299.52999999999997</c:v>
              </c:pt>
              <c:pt idx="190">
                <c:v>288.35000000000002</c:v>
              </c:pt>
              <c:pt idx="191">
                <c:v>296.73</c:v>
              </c:pt>
              <c:pt idx="192">
                <c:v>#N/A</c:v>
              </c:pt>
              <c:pt idx="193">
                <c:v>#N/A</c:v>
              </c:pt>
              <c:pt idx="194">
                <c:v>302.66000000000003</c:v>
              </c:pt>
              <c:pt idx="195">
                <c:v>301.27</c:v>
              </c:pt>
              <c:pt idx="196">
                <c:v>311.85000000000002</c:v>
              </c:pt>
              <c:pt idx="197">
                <c:v>310.87</c:v>
              </c:pt>
              <c:pt idx="198">
                <c:v>314.60000000000002</c:v>
              </c:pt>
              <c:pt idx="199">
                <c:v>#N/A</c:v>
              </c:pt>
              <c:pt idx="200">
                <c:v>#N/A</c:v>
              </c:pt>
              <c:pt idx="201">
                <c:v>315.8</c:v>
              </c:pt>
              <c:pt idx="202">
                <c:v>318.82</c:v>
              </c:pt>
              <c:pt idx="203">
                <c:v>319.77999999999997</c:v>
              </c:pt>
              <c:pt idx="204">
                <c:v>320.55</c:v>
              </c:pt>
              <c:pt idx="205">
                <c:v>328.77</c:v>
              </c:pt>
              <c:pt idx="206">
                <c:v>#N/A</c:v>
              </c:pt>
              <c:pt idx="207">
                <c:v>#N/A</c:v>
              </c:pt>
              <c:pt idx="208">
                <c:v>329.19</c:v>
              </c:pt>
              <c:pt idx="209">
                <c:v>336.31</c:v>
              </c:pt>
              <c:pt idx="210">
                <c:v>332.71</c:v>
              </c:pt>
              <c:pt idx="211">
                <c:v>334.19</c:v>
              </c:pt>
              <c:pt idx="212">
                <c:v>335.04</c:v>
              </c:pt>
              <c:pt idx="213">
                <c:v>#N/A</c:v>
              </c:pt>
              <c:pt idx="214">
                <c:v>#N/A</c:v>
              </c:pt>
              <c:pt idx="215">
                <c:v>339.97</c:v>
              </c:pt>
              <c:pt idx="216">
                <c:v>336.98</c:v>
              </c:pt>
              <c:pt idx="217">
                <c:v>341.49</c:v>
              </c:pt>
              <c:pt idx="218">
                <c:v>#N/A</c:v>
              </c:pt>
              <c:pt idx="219">
                <c:v>338.23</c:v>
              </c:pt>
              <c:pt idx="220">
                <c:v>#N/A</c:v>
              </c:pt>
              <c:pt idx="221">
                <c:v>#N/A</c:v>
              </c:pt>
              <c:pt idx="222">
                <c:v>334.7</c:v>
              </c:pt>
              <c:pt idx="223">
                <c:v>338.99</c:v>
              </c:pt>
              <c:pt idx="224">
                <c:v>332.2</c:v>
              </c:pt>
              <c:pt idx="225">
                <c:v>327.14999999999998</c:v>
              </c:pt>
              <c:pt idx="226">
                <c:v>324.82</c:v>
              </c:pt>
              <c:pt idx="227">
                <c:v>#N/A</c:v>
              </c:pt>
              <c:pt idx="228">
                <c:v>#N/A</c:v>
              </c:pt>
              <c:pt idx="229">
                <c:v>320.02</c:v>
              </c:pt>
              <c:pt idx="230">
                <c:v>318.29000000000002</c:v>
              </c:pt>
              <c:pt idx="231">
                <c:v>317.45</c:v>
              </c:pt>
              <c:pt idx="232">
                <c:v>326.58999999999997</c:v>
              </c:pt>
              <c:pt idx="233">
                <c:v>332.75</c:v>
              </c:pt>
              <c:pt idx="234">
                <c:v>#N/A</c:v>
              </c:pt>
              <c:pt idx="235">
                <c:v>#N/A</c:v>
              </c:pt>
              <c:pt idx="236">
                <c:v>325.27999999999997</c:v>
              </c:pt>
              <c:pt idx="237">
                <c:v>334.22</c:v>
              </c:pt>
              <c:pt idx="238">
                <c:v>334.74</c:v>
              </c:pt>
              <c:pt idx="239">
                <c:v>333.17</c:v>
              </c:pt>
              <c:pt idx="240">
                <c:v>334.92</c:v>
              </c:pt>
              <c:pt idx="241">
                <c:v>#N/A</c:v>
              </c:pt>
              <c:pt idx="242">
                <c:v>#N/A</c:v>
              </c:pt>
              <c:pt idx="243">
                <c:v>344.62</c:v>
              </c:pt>
              <c:pt idx="244">
                <c:v>350.36</c:v>
              </c:pt>
              <c:pt idx="245">
                <c:v>349.28</c:v>
              </c:pt>
              <c:pt idx="246">
                <c:v>354.09</c:v>
              </c:pt>
              <c:pt idx="247">
                <c:v>353.39</c:v>
              </c:pt>
              <c:pt idx="248">
                <c:v>#N/A</c:v>
              </c:pt>
              <c:pt idx="249">
                <c:v>#N/A</c:v>
              </c:pt>
              <c:pt idx="250">
                <c:v>#N/A</c:v>
              </c:pt>
              <c:pt idx="251">
                <c:v>354.83</c:v>
              </c:pt>
              <c:pt idx="252">
                <c:v>357.83</c:v>
              </c:pt>
              <c:pt idx="253">
                <c:v>358.32</c:v>
              </c:pt>
              <c:pt idx="254">
                <c:v>353.96</c:v>
              </c:pt>
              <c:pt idx="255">
                <c:v>#N/A</c:v>
              </c:pt>
              <c:pt idx="256">
                <c:v>#N/A</c:v>
              </c:pt>
              <c:pt idx="257">
                <c:v>#N/A</c:v>
              </c:pt>
              <c:pt idx="258">
                <c:v>346.29</c:v>
              </c:pt>
              <c:pt idx="259">
                <c:v>344.47</c:v>
              </c:pt>
              <c:pt idx="260">
                <c:v>347.12</c:v>
              </c:pt>
              <c:pt idx="261">
                <c:v>351.95</c:v>
              </c:pt>
              <c:pt idx="262">
                <c:v>#N/A</c:v>
              </c:pt>
              <c:pt idx="263">
                <c:v>#N/A</c:v>
              </c:pt>
              <c:pt idx="264">
                <c:v>358.66</c:v>
              </c:pt>
              <c:pt idx="265">
                <c:v>357.43</c:v>
              </c:pt>
              <c:pt idx="266">
                <c:v>370.47</c:v>
              </c:pt>
              <c:pt idx="267">
                <c:v>369.67</c:v>
              </c:pt>
              <c:pt idx="268">
                <c:v>374.49</c:v>
              </c:pt>
              <c:pt idx="269">
                <c:v>#N/A</c:v>
              </c:pt>
              <c:pt idx="270">
                <c:v>#N/A</c:v>
              </c:pt>
              <c:pt idx="271">
                <c:v>#N/A</c:v>
              </c:pt>
              <c:pt idx="272">
                <c:v>367.46</c:v>
              </c:pt>
              <c:pt idx="273">
                <c:v>368.37</c:v>
              </c:pt>
              <c:pt idx="274">
                <c:v>376.13</c:v>
              </c:pt>
              <c:pt idx="275">
                <c:v>383.45</c:v>
              </c:pt>
              <c:pt idx="276">
                <c:v>#N/A</c:v>
              </c:pt>
              <c:pt idx="277">
                <c:v>#N/A</c:v>
              </c:pt>
              <c:pt idx="278">
                <c:v>381.78</c:v>
              </c:pt>
              <c:pt idx="279">
                <c:v>385.2</c:v>
              </c:pt>
              <c:pt idx="280">
                <c:v>390.7</c:v>
              </c:pt>
              <c:pt idx="281">
                <c:v>393.18</c:v>
              </c:pt>
              <c:pt idx="282">
                <c:v>394.14</c:v>
              </c:pt>
              <c:pt idx="283">
                <c:v>#N/A</c:v>
              </c:pt>
              <c:pt idx="284">
                <c:v>#N/A</c:v>
              </c:pt>
              <c:pt idx="285">
                <c:v>401.02</c:v>
              </c:pt>
              <c:pt idx="286">
                <c:v>400.06</c:v>
              </c:pt>
              <c:pt idx="287">
                <c:v>390.14</c:v>
              </c:pt>
              <c:pt idx="288">
                <c:v>394.78</c:v>
              </c:pt>
              <c:pt idx="289">
                <c:v>474.99</c:v>
              </c:pt>
              <c:pt idx="290">
                <c:v>#N/A</c:v>
              </c:pt>
              <c:pt idx="291">
                <c:v>#N/A</c:v>
              </c:pt>
              <c:pt idx="292">
                <c:v>459.41</c:v>
              </c:pt>
              <c:pt idx="293">
                <c:v>454.72</c:v>
              </c:pt>
              <c:pt idx="294">
                <c:v>469.59</c:v>
              </c:pt>
              <c:pt idx="295">
                <c:v>470</c:v>
              </c:pt>
              <c:pt idx="296">
                <c:v>468.11</c:v>
              </c:pt>
              <c:pt idx="297">
                <c:v>#N/A</c:v>
              </c:pt>
              <c:pt idx="298">
                <c:v>#N/A</c:v>
              </c:pt>
              <c:pt idx="299">
                <c:v>468.9</c:v>
              </c:pt>
              <c:pt idx="300">
                <c:v>460.12</c:v>
              </c:pt>
              <c:pt idx="301">
                <c:v>473.28</c:v>
              </c:pt>
              <c:pt idx="302">
                <c:v>484.03</c:v>
              </c:pt>
              <c:pt idx="303">
                <c:v>473.32</c:v>
              </c:pt>
              <c:pt idx="304">
                <c:v>#N/A</c:v>
              </c:pt>
              <c:pt idx="305">
                <c:v>#N/A</c:v>
              </c:pt>
              <c:pt idx="306">
                <c:v>#N/A</c:v>
              </c:pt>
              <c:pt idx="307">
                <c:v>471.75</c:v>
              </c:pt>
              <c:pt idx="308">
                <c:v>468.03</c:v>
              </c:pt>
              <c:pt idx="309">
                <c:v>486.13</c:v>
              </c:pt>
              <c:pt idx="310">
                <c:v>484.03</c:v>
              </c:pt>
              <c:pt idx="311">
                <c:v>#N/A</c:v>
              </c:pt>
              <c:pt idx="312">
                <c:v>#N/A</c:v>
              </c:pt>
              <c:pt idx="313">
                <c:v>481.74</c:v>
              </c:pt>
              <c:pt idx="314">
                <c:v>487.05</c:v>
              </c:pt>
              <c:pt idx="315">
                <c:v>484.02</c:v>
              </c:pt>
              <c:pt idx="316">
                <c:v>490.13</c:v>
              </c:pt>
              <c:pt idx="317">
                <c:v>502.3</c:v>
              </c:pt>
              <c:pt idx="318">
                <c:v>#N/A</c:v>
              </c:pt>
              <c:pt idx="319">
                <c:v>#N/A</c:v>
              </c:pt>
              <c:pt idx="320">
                <c:v>498.19</c:v>
              </c:pt>
              <c:pt idx="321">
                <c:v>490.22</c:v>
              </c:pt>
              <c:pt idx="322">
                <c:v>496.09</c:v>
              </c:pt>
              <c:pt idx="323">
                <c:v>512.19000000000005</c:v>
              </c:pt>
              <c:pt idx="324">
                <c:v>505.95</c:v>
              </c:pt>
              <c:pt idx="325">
                <c:v>#N/A</c:v>
              </c:pt>
              <c:pt idx="326">
                <c:v>#N/A</c:v>
              </c:pt>
              <c:pt idx="327">
                <c:v>483.59</c:v>
              </c:pt>
              <c:pt idx="328">
                <c:v>499.75</c:v>
              </c:pt>
              <c:pt idx="329">
                <c:v>495.57</c:v>
              </c:pt>
              <c:pt idx="330">
                <c:v>491.83</c:v>
              </c:pt>
              <c:pt idx="331">
                <c:v>484.1</c:v>
              </c:pt>
              <c:pt idx="332">
                <c:v>#N/A</c:v>
              </c:pt>
              <c:pt idx="333">
                <c:v>#N/A</c:v>
              </c:pt>
              <c:pt idx="334">
                <c:v>496.98</c:v>
              </c:pt>
              <c:pt idx="335">
                <c:v>496.24</c:v>
              </c:pt>
              <c:pt idx="336">
                <c:v>505.52</c:v>
              </c:pt>
              <c:pt idx="337">
                <c:v>507.76</c:v>
              </c:pt>
              <c:pt idx="338">
                <c:v>509.58</c:v>
              </c:pt>
              <c:pt idx="339">
                <c:v>#N/A</c:v>
              </c:pt>
              <c:pt idx="340">
                <c:v>#N/A</c:v>
              </c:pt>
              <c:pt idx="341">
                <c:v>503.02</c:v>
              </c:pt>
              <c:pt idx="342">
                <c:v>495.89</c:v>
              </c:pt>
              <c:pt idx="343">
                <c:v>493.86</c:v>
              </c:pt>
              <c:pt idx="344">
                <c:v>485.58</c:v>
              </c:pt>
              <c:pt idx="345">
                <c:v>#N/A</c:v>
              </c:pt>
              <c:pt idx="346">
                <c:v>#N/A</c:v>
              </c:pt>
              <c:pt idx="347">
                <c:v>#N/A</c:v>
              </c:pt>
              <c:pt idx="348">
                <c:v>491.35</c:v>
              </c:pt>
              <c:pt idx="349">
                <c:v>497.37</c:v>
              </c:pt>
              <c:pt idx="350">
                <c:v>506.74</c:v>
              </c:pt>
              <c:pt idx="351">
                <c:v>510.92</c:v>
              </c:pt>
              <c:pt idx="352">
                <c:v>527.34</c:v>
              </c:pt>
              <c:pt idx="353">
                <c:v>#N/A</c:v>
              </c:pt>
              <c:pt idx="354">
                <c:v>#N/A</c:v>
              </c:pt>
              <c:pt idx="355">
                <c:v>519.25</c:v>
              </c:pt>
              <c:pt idx="356">
                <c:v>516.9</c:v>
              </c:pt>
              <c:pt idx="357">
                <c:v>519.83000000000004</c:v>
              </c:pt>
              <c:pt idx="358">
                <c:v>523.16</c:v>
              </c:pt>
              <c:pt idx="359">
                <c:v>511.9</c:v>
              </c:pt>
              <c:pt idx="360">
                <c:v>#N/A</c:v>
              </c:pt>
              <c:pt idx="361">
                <c:v>#N/A</c:v>
              </c:pt>
              <c:pt idx="362">
                <c:v>500.23</c:v>
              </c:pt>
              <c:pt idx="363">
                <c:v>499.76</c:v>
              </c:pt>
              <c:pt idx="364">
                <c:v>494.17</c:v>
              </c:pt>
              <c:pt idx="365">
                <c:v>501.8</c:v>
              </c:pt>
              <c:pt idx="366">
                <c:v>481.07</c:v>
              </c:pt>
              <c:pt idx="367">
                <c:v>#N/A</c:v>
              </c:pt>
              <c:pt idx="368">
                <c:v>#N/A</c:v>
              </c:pt>
              <c:pt idx="369">
                <c:v>481.73</c:v>
              </c:pt>
              <c:pt idx="370">
                <c:v>496.1</c:v>
              </c:pt>
              <c:pt idx="371">
                <c:v>493.5</c:v>
              </c:pt>
              <c:pt idx="372">
                <c:v>441.38</c:v>
              </c:pt>
              <c:pt idx="373">
                <c:v>443.29</c:v>
              </c:pt>
              <c:pt idx="374">
                <c:v>#N/A</c:v>
              </c:pt>
              <c:pt idx="375">
                <c:v>#N/A</c:v>
              </c:pt>
              <c:pt idx="376">
                <c:v>432.62</c:v>
              </c:pt>
              <c:pt idx="377">
                <c:v>430.17</c:v>
              </c:pt>
              <c:pt idx="378">
                <c:v>439.19</c:v>
              </c:pt>
              <c:pt idx="379">
                <c:v>441.68</c:v>
              </c:pt>
              <c:pt idx="380">
                <c:v>451.96</c:v>
              </c:pt>
              <c:pt idx="381">
                <c:v>#N/A</c:v>
              </c:pt>
              <c:pt idx="382">
                <c:v>#N/A</c:v>
              </c:pt>
              <c:pt idx="383">
                <c:v>465.68</c:v>
              </c:pt>
              <c:pt idx="384">
                <c:v>468.24</c:v>
              </c:pt>
              <c:pt idx="385">
                <c:v>472.6</c:v>
              </c:pt>
              <c:pt idx="386">
                <c:v>475.42</c:v>
              </c:pt>
              <c:pt idx="387">
                <c:v>476.2</c:v>
              </c:pt>
              <c:pt idx="388">
                <c:v>#N/A</c:v>
              </c:pt>
              <c:pt idx="389">
                <c:v>#N/A</c:v>
              </c:pt>
              <c:pt idx="390">
                <c:v>468.01</c:v>
              </c:pt>
              <c:pt idx="391">
                <c:v>471.85</c:v>
              </c:pt>
              <c:pt idx="392">
                <c:v>481.54</c:v>
              </c:pt>
              <c:pt idx="393">
                <c:v>473.23</c:v>
              </c:pt>
              <c:pt idx="394">
                <c:v>471.91</c:v>
              </c:pt>
              <c:pt idx="395">
                <c:v>#N/A</c:v>
              </c:pt>
              <c:pt idx="396">
                <c:v>#N/A</c:v>
              </c:pt>
              <c:pt idx="397">
                <c:v>468.84</c:v>
              </c:pt>
              <c:pt idx="398">
                <c:v>464.63</c:v>
              </c:pt>
              <c:pt idx="399">
                <c:v>467.78</c:v>
              </c:pt>
              <c:pt idx="400">
                <c:v>465.78</c:v>
              </c:pt>
              <c:pt idx="401">
                <c:v>478.22</c:v>
              </c:pt>
              <c:pt idx="402">
                <c:v>#N/A</c:v>
              </c:pt>
              <c:pt idx="403">
                <c:v>#N/A</c:v>
              </c:pt>
              <c:pt idx="404">
                <c:v>#N/A</c:v>
              </c:pt>
              <c:pt idx="405">
                <c:v>479.92</c:v>
              </c:pt>
              <c:pt idx="406">
                <c:v>474.36</c:v>
              </c:pt>
              <c:pt idx="407">
                <c:v>467.05</c:v>
              </c:pt>
              <c:pt idx="408">
                <c:v>466.83</c:v>
              </c:pt>
              <c:pt idx="409">
                <c:v>#N/A</c:v>
              </c:pt>
              <c:pt idx="410">
                <c:v>#N/A</c:v>
              </c:pt>
              <c:pt idx="411">
                <c:v>477.49</c:v>
              </c:pt>
              <c:pt idx="412">
                <c:v>476.99</c:v>
              </c:pt>
              <c:pt idx="413">
                <c:v>495.06</c:v>
              </c:pt>
              <c:pt idx="414">
                <c:v>493.76</c:v>
              </c:pt>
              <c:pt idx="415">
                <c:v>492.96</c:v>
              </c:pt>
              <c:pt idx="416">
                <c:v>#N/A</c:v>
              </c:pt>
              <c:pt idx="417">
                <c:v>#N/A</c:v>
              </c:pt>
              <c:pt idx="418">
                <c:v>502.6</c:v>
              </c:pt>
              <c:pt idx="419">
                <c:v>507.47</c:v>
              </c:pt>
              <c:pt idx="420">
                <c:v>508.84</c:v>
              </c:pt>
              <c:pt idx="421">
                <c:v>504.1</c:v>
              </c:pt>
              <c:pt idx="422">
                <c:v>504.16</c:v>
              </c:pt>
              <c:pt idx="423">
                <c:v>#N/A</c:v>
              </c:pt>
              <c:pt idx="424">
                <c:v>#N/A</c:v>
              </c:pt>
              <c:pt idx="425">
                <c:v>506.63</c:v>
              </c:pt>
              <c:pt idx="426">
                <c:v>499.49</c:v>
              </c:pt>
              <c:pt idx="427">
                <c:v>#N/A</c:v>
              </c:pt>
              <c:pt idx="428">
                <c:v>501.7</c:v>
              </c:pt>
              <c:pt idx="429">
                <c:v>494.78</c:v>
              </c:pt>
              <c:pt idx="430">
                <c:v>#N/A</c:v>
              </c:pt>
              <c:pt idx="431">
                <c:v>#N/A</c:v>
              </c:pt>
              <c:pt idx="432">
                <c:v>498.91</c:v>
              </c:pt>
              <c:pt idx="433">
                <c:v>510.6</c:v>
              </c:pt>
              <c:pt idx="434">
                <c:v>513.12</c:v>
              </c:pt>
              <c:pt idx="435">
                <c:v>519.55999999999995</c:v>
              </c:pt>
              <c:pt idx="436">
                <c:v>504.22</c:v>
              </c:pt>
              <c:pt idx="437">
                <c:v>#N/A</c:v>
              </c:pt>
              <c:pt idx="438">
                <c:v>#N/A</c:v>
              </c:pt>
              <c:pt idx="439">
                <c:v>504.68</c:v>
              </c:pt>
              <c:pt idx="440">
                <c:v>509.5</c:v>
              </c:pt>
              <c:pt idx="441">
                <c:v>509.96</c:v>
              </c:pt>
              <c:pt idx="442">
                <c:v>#N/A</c:v>
              </c:pt>
              <c:pt idx="443">
                <c:v>539.91</c:v>
              </c:pt>
              <c:pt idx="444">
                <c:v>#N/A</c:v>
              </c:pt>
              <c:pt idx="445">
                <c:v>#N/A</c:v>
              </c:pt>
              <c:pt idx="446">
                <c:v>529.32000000000005</c:v>
              </c:pt>
              <c:pt idx="447">
                <c:v>530</c:v>
              </c:pt>
              <c:pt idx="448">
                <c:v>534.69000000000005</c:v>
              </c:pt>
              <c:pt idx="449">
                <c:v>512.70000000000005</c:v>
              </c:pt>
              <c:pt idx="450">
                <c:v>498.87</c:v>
              </c:pt>
              <c:pt idx="451">
                <c:v>#N/A</c:v>
              </c:pt>
              <c:pt idx="452">
                <c:v>#N/A</c:v>
              </c:pt>
              <c:pt idx="453">
                <c:v>496.16</c:v>
              </c:pt>
              <c:pt idx="454">
                <c:v>489.79</c:v>
              </c:pt>
              <c:pt idx="455">
                <c:v>461.99</c:v>
              </c:pt>
              <c:pt idx="456">
                <c:v>475.85</c:v>
              </c:pt>
              <c:pt idx="457">
                <c:v>476.79</c:v>
              </c:pt>
              <c:pt idx="458">
                <c:v>#N/A</c:v>
              </c:pt>
              <c:pt idx="459">
                <c:v>#N/A</c:v>
              </c:pt>
              <c:pt idx="460">
                <c:v>487.4</c:v>
              </c:pt>
              <c:pt idx="461">
                <c:v>488.69</c:v>
              </c:pt>
              <c:pt idx="462">
                <c:v>461.27</c:v>
              </c:pt>
              <c:pt idx="463">
                <c:v>453.41</c:v>
              </c:pt>
              <c:pt idx="464">
                <c:v>465.7</c:v>
              </c:pt>
              <c:pt idx="465">
                <c:v>#N/A</c:v>
              </c:pt>
              <c:pt idx="466">
                <c:v>#N/A</c:v>
              </c:pt>
              <c:pt idx="467">
                <c:v>465.71</c:v>
              </c:pt>
              <c:pt idx="468">
                <c:v>463.19</c:v>
              </c:pt>
              <c:pt idx="469">
                <c:v>474.83</c:v>
              </c:pt>
              <c:pt idx="470">
                <c:v>497.74</c:v>
              </c:pt>
              <c:pt idx="471">
                <c:v>488.14</c:v>
              </c:pt>
              <c:pt idx="472">
                <c:v>#N/A</c:v>
              </c:pt>
              <c:pt idx="473">
                <c:v>#N/A</c:v>
              </c:pt>
              <c:pt idx="474">
                <c:v>475.73</c:v>
              </c:pt>
              <c:pt idx="475">
                <c:v>494.09</c:v>
              </c:pt>
              <c:pt idx="476">
                <c:v>488.92</c:v>
              </c:pt>
              <c:pt idx="477">
                <c:v>509.63</c:v>
              </c:pt>
              <c:pt idx="478">
                <c:v>517.77</c:v>
              </c:pt>
              <c:pt idx="479">
                <c:v>#N/A</c:v>
              </c:pt>
              <c:pt idx="480">
                <c:v>#N/A</c:v>
              </c:pt>
              <c:pt idx="481">
                <c:v>515.95000000000005</c:v>
              </c:pt>
              <c:pt idx="482">
                <c:v>528.54</c:v>
              </c:pt>
              <c:pt idx="483">
                <c:v>526.76</c:v>
              </c:pt>
              <c:pt idx="484">
                <c:v>537.33000000000004</c:v>
              </c:pt>
              <c:pt idx="485">
                <c:v>527.41999999999996</c:v>
              </c:pt>
              <c:pt idx="486">
                <c:v>#N/A</c:v>
              </c:pt>
              <c:pt idx="487">
                <c:v>#N/A</c:v>
              </c:pt>
              <c:pt idx="488">
                <c:v>529.28</c:v>
              </c:pt>
              <c:pt idx="489">
                <c:v>526.73</c:v>
              </c:pt>
              <c:pt idx="490">
                <c:v>535.16</c:v>
              </c:pt>
              <c:pt idx="491">
                <c:v>531.92999999999995</c:v>
              </c:pt>
              <c:pt idx="492">
                <c:v>528</c:v>
              </c:pt>
              <c:pt idx="493">
                <c:v>#N/A</c:v>
              </c:pt>
              <c:pt idx="494">
                <c:v>#N/A</c:v>
              </c:pt>
              <c:pt idx="495">
                <c:v>521.12</c:v>
              </c:pt>
              <c:pt idx="496">
                <c:v>519.1</c:v>
              </c:pt>
              <c:pt idx="497">
                <c:v>516.78</c:v>
              </c:pt>
              <c:pt idx="498">
                <c:v>518.22</c:v>
              </c:pt>
              <c:pt idx="499">
                <c:v>521.30999999999995</c:v>
              </c:pt>
              <c:pt idx="500">
                <c:v>#N/A</c:v>
              </c:pt>
              <c:pt idx="501">
                <c:v>#N/A</c:v>
              </c:pt>
              <c:pt idx="502">
                <c:v>#N/A</c:v>
              </c:pt>
              <c:pt idx="503">
                <c:v>511.76</c:v>
              </c:pt>
              <c:pt idx="504">
                <c:v>512.74</c:v>
              </c:pt>
              <c:pt idx="505">
                <c:v>516.86</c:v>
              </c:pt>
              <c:pt idx="506">
                <c:v>500.27</c:v>
              </c:pt>
              <c:pt idx="507">
                <c:v>#N/A</c:v>
              </c:pt>
              <c:pt idx="508">
                <c:v>#N/A</c:v>
              </c:pt>
              <c:pt idx="509">
                <c:v>504.79</c:v>
              </c:pt>
              <c:pt idx="510">
                <c:v>#N/A</c:v>
              </c:pt>
              <c:pt idx="511">
                <c:v>511.83</c:v>
              </c:pt>
              <c:pt idx="512">
                <c:v>525.6</c:v>
              </c:pt>
              <c:pt idx="513">
                <c:v>524.62</c:v>
              </c:pt>
              <c:pt idx="514">
                <c:v>#N/A</c:v>
              </c:pt>
              <c:pt idx="515">
                <c:v>#N/A</c:v>
              </c:pt>
              <c:pt idx="516">
                <c:v>533.28</c:v>
              </c:pt>
              <c:pt idx="517">
                <c:v>536.31500000000005</c:v>
              </c:pt>
              <c:pt idx="518">
                <c:v>537.95000000000005</c:v>
              </c:pt>
              <c:pt idx="519">
                <c:v>559.1</c:v>
              </c:pt>
              <c:pt idx="520">
                <c:v>561.35</c:v>
              </c:pt>
              <c:pt idx="521">
                <c:v>#N/A</c:v>
              </c:pt>
              <c:pt idx="522">
                <c:v>#N/A</c:v>
              </c:pt>
              <c:pt idx="523">
                <c:v>564.41</c:v>
              </c:pt>
              <c:pt idx="524">
                <c:v>563.33000000000004</c:v>
              </c:pt>
              <c:pt idx="525">
                <c:v>568.30999999999995</c:v>
              </c:pt>
              <c:pt idx="526">
                <c:v>567.84</c:v>
              </c:pt>
              <c:pt idx="527">
                <c:v>567.36</c:v>
              </c:pt>
              <c:pt idx="528">
                <c:v>#N/A</c:v>
              </c:pt>
              <c:pt idx="529">
                <c:v>#N/A</c:v>
              </c:pt>
              <c:pt idx="530">
                <c:v>572.44000000000005</c:v>
              </c:pt>
              <c:pt idx="531">
                <c:v>576.47</c:v>
              </c:pt>
              <c:pt idx="532">
                <c:v>572.80999999999995</c:v>
              </c:pt>
              <c:pt idx="533">
                <c:v>582.77</c:v>
              </c:pt>
              <c:pt idx="534">
                <c:v>595.94000000000005</c:v>
              </c:pt>
              <c:pt idx="535">
                <c:v>#N/A</c:v>
              </c:pt>
              <c:pt idx="536">
                <c:v>#N/A</c:v>
              </c:pt>
              <c:pt idx="537">
                <c:v>584.78</c:v>
              </c:pt>
              <c:pt idx="538">
                <c:v>592.89</c:v>
              </c:pt>
              <c:pt idx="539">
                <c:v>590.51</c:v>
              </c:pt>
              <c:pt idx="540">
                <c:v>583.83000000000004</c:v>
              </c:pt>
              <c:pt idx="541">
                <c:v>589.95000000000005</c:v>
              </c:pt>
              <c:pt idx="542">
                <c:v>#N/A</c:v>
              </c:pt>
              <c:pt idx="543">
                <c:v>#N/A</c:v>
              </c:pt>
              <c:pt idx="544">
                <c:v>590.41999999999996</c:v>
              </c:pt>
              <c:pt idx="545">
                <c:v>586.27</c:v>
              </c:pt>
              <c:pt idx="546">
                <c:v>576.79</c:v>
              </c:pt>
              <c:pt idx="547">
                <c:v>576.92999999999995</c:v>
              </c:pt>
              <c:pt idx="548">
                <c:v>576.47</c:v>
              </c:pt>
              <c:pt idx="549">
                <c:v>#N/A</c:v>
              </c:pt>
              <c:pt idx="550">
                <c:v>#N/A</c:v>
              </c:pt>
              <c:pt idx="551">
                <c:v>575.16</c:v>
              </c:pt>
              <c:pt idx="552">
                <c:v>582.01</c:v>
              </c:pt>
              <c:pt idx="553">
                <c:v>563.69000000000005</c:v>
              </c:pt>
              <c:pt idx="554">
                <c:v>567.78</c:v>
              </c:pt>
              <c:pt idx="555">
                <c:v>573.25</c:v>
              </c:pt>
              <c:pt idx="556">
                <c:v>#N/A</c:v>
              </c:pt>
              <c:pt idx="557">
                <c:v>#N/A</c:v>
              </c:pt>
              <c:pt idx="558">
                <c:v>578.16</c:v>
              </c:pt>
              <c:pt idx="559">
                <c:v>593.28</c:v>
              </c:pt>
              <c:pt idx="560">
                <c:v>591.79999999999995</c:v>
              </c:pt>
              <c:pt idx="561">
                <c:v>567.58000000000004</c:v>
              </c:pt>
              <c:pt idx="562">
                <c:v>567.16</c:v>
              </c:pt>
              <c:pt idx="563">
                <c:v>#N/A</c:v>
              </c:pt>
              <c:pt idx="564">
                <c:v>#N/A</c:v>
              </c:pt>
              <c:pt idx="565">
                <c:v>560.67999999999995</c:v>
              </c:pt>
              <c:pt idx="566">
                <c:v>572.42999999999995</c:v>
              </c:pt>
              <c:pt idx="567">
                <c:v>572.04999999999995</c:v>
              </c:pt>
              <c:pt idx="568">
                <c:v>591.70000000000005</c:v>
              </c:pt>
              <c:pt idx="569">
                <c:v>589.34</c:v>
              </c:pt>
              <c:pt idx="570">
                <c:v>#N/A</c:v>
              </c:pt>
              <c:pt idx="571">
                <c:v>#N/A</c:v>
              </c:pt>
              <c:pt idx="572">
                <c:v>583.16999999999996</c:v>
              </c:pt>
              <c:pt idx="573">
                <c:v>584.82000000000005</c:v>
              </c:pt>
              <c:pt idx="574">
                <c:v>580</c:v>
              </c:pt>
              <c:pt idx="575">
                <c:v>577.16</c:v>
              </c:pt>
              <c:pt idx="576">
                <c:v>554.08000000000004</c:v>
              </c:pt>
              <c:pt idx="577">
                <c:v>#N/A</c:v>
              </c:pt>
              <c:pt idx="578">
                <c:v>#N/A</c:v>
              </c:pt>
              <c:pt idx="579">
                <c:v>554.4</c:v>
              </c:pt>
              <c:pt idx="580">
                <c:v>561.09</c:v>
              </c:pt>
              <c:pt idx="581">
                <c:v>565.52</c:v>
              </c:pt>
              <c:pt idx="582">
                <c:v>563.09</c:v>
              </c:pt>
              <c:pt idx="583">
                <c:v>559.14</c:v>
              </c:pt>
              <c:pt idx="584">
                <c:v>#N/A</c:v>
              </c:pt>
              <c:pt idx="585">
                <c:v>#N/A</c:v>
              </c:pt>
              <c:pt idx="586">
                <c:v>565.11</c:v>
              </c:pt>
              <c:pt idx="587">
                <c:v>573.54</c:v>
              </c:pt>
              <c:pt idx="588">
                <c:v>569.20000000000005</c:v>
              </c:pt>
              <c:pt idx="589">
                <c:v>#N/A</c:v>
              </c:pt>
              <c:pt idx="590">
                <c:v>574.32000000000005</c:v>
              </c:pt>
              <c:pt idx="591">
                <c:v>#N/A</c:v>
              </c:pt>
              <c:pt idx="592">
                <c:v>#N/A</c:v>
              </c:pt>
              <c:pt idx="593">
                <c:v>592.83000000000004</c:v>
              </c:pt>
              <c:pt idx="594">
                <c:v>613.65</c:v>
              </c:pt>
              <c:pt idx="595">
                <c:v>613.78</c:v>
              </c:pt>
              <c:pt idx="596">
                <c:v>608.92999999999995</c:v>
              </c:pt>
              <c:pt idx="597">
                <c:v>623.77</c:v>
              </c:pt>
              <c:pt idx="598">
                <c:v>#N/A</c:v>
              </c:pt>
              <c:pt idx="599">
                <c:v>#N/A</c:v>
              </c:pt>
              <c:pt idx="600">
                <c:v>613.57000000000005</c:v>
              </c:pt>
              <c:pt idx="601">
                <c:v>619.32000000000005</c:v>
              </c:pt>
              <c:pt idx="602">
                <c:v>632.67999999999995</c:v>
              </c:pt>
              <c:pt idx="603">
                <c:v>630.79</c:v>
              </c:pt>
              <c:pt idx="604">
                <c:v>620.35</c:v>
              </c:pt>
              <c:pt idx="605">
                <c:v>#N/A</c:v>
              </c:pt>
              <c:pt idx="606">
                <c:v>#N/A</c:v>
              </c:pt>
              <c:pt idx="607">
                <c:v>624.24</c:v>
              </c:pt>
              <c:pt idx="608">
                <c:v>619.44000000000005</c:v>
              </c:pt>
              <c:pt idx="609">
                <c:v>597.19000000000005</c:v>
              </c:pt>
              <c:pt idx="610">
                <c:v>595.57000000000005</c:v>
              </c:pt>
              <c:pt idx="611">
                <c:v>585.25</c:v>
              </c:pt>
              <c:pt idx="612">
                <c:v>#N/A</c:v>
              </c:pt>
              <c:pt idx="613">
                <c:v>#N/A</c:v>
              </c:pt>
              <c:pt idx="614">
                <c:v>599.85</c:v>
              </c:pt>
              <c:pt idx="615">
                <c:v>607.75</c:v>
              </c:pt>
              <c:pt idx="616">
                <c:v>#N/A</c:v>
              </c:pt>
              <c:pt idx="617">
                <c:v>603.35</c:v>
              </c:pt>
              <c:pt idx="618">
                <c:v>599.80999999999995</c:v>
              </c:pt>
              <c:pt idx="619">
                <c:v>#N/A</c:v>
              </c:pt>
              <c:pt idx="620">
                <c:v>#N/A</c:v>
              </c:pt>
              <c:pt idx="621">
                <c:v>591.24</c:v>
              </c:pt>
              <c:pt idx="622">
                <c:v>585.51</c:v>
              </c:pt>
              <c:pt idx="623">
                <c:v>#N/A</c:v>
              </c:pt>
              <c:pt idx="624">
                <c:v>599.24</c:v>
              </c:pt>
              <c:pt idx="625">
                <c:v>604.63</c:v>
              </c:pt>
              <c:pt idx="626">
                <c:v>#N/A</c:v>
              </c:pt>
              <c:pt idx="627">
                <c:v>#N/A</c:v>
              </c:pt>
              <c:pt idx="628">
                <c:v>630.20000000000005</c:v>
              </c:pt>
              <c:pt idx="629">
                <c:v>617.89</c:v>
              </c:pt>
              <c:pt idx="630">
                <c:v>610.72</c:v>
              </c:pt>
              <c:pt idx="631">
                <c:v>#N/A</c:v>
              </c:pt>
              <c:pt idx="632">
                <c:v>615.86</c:v>
              </c:pt>
              <c:pt idx="633">
                <c:v>#N/A</c:v>
              </c:pt>
              <c:pt idx="634">
                <c:v>#N/A</c:v>
              </c:pt>
              <c:pt idx="635">
                <c:v>608.33000000000004</c:v>
              </c:pt>
              <c:pt idx="636">
                <c:v>594.25</c:v>
              </c:pt>
              <c:pt idx="637">
                <c:v>617.12</c:v>
              </c:pt>
              <c:pt idx="638">
                <c:v>611.29999999999995</c:v>
              </c:pt>
              <c:pt idx="639">
                <c:v>612.77</c:v>
              </c:pt>
              <c:pt idx="640">
                <c:v>#N/A</c:v>
              </c:pt>
              <c:pt idx="641">
                <c:v>#N/A</c:v>
              </c:pt>
              <c:pt idx="642">
                <c:v>#N/A</c:v>
              </c:pt>
              <c:pt idx="643">
                <c:v>616.46</c:v>
              </c:pt>
              <c:pt idx="644">
                <c:v>623.5</c:v>
              </c:pt>
              <c:pt idx="645">
                <c:v>636.45000000000005</c:v>
              </c:pt>
              <c:pt idx="646">
                <c:v>647.49</c:v>
              </c:pt>
              <c:pt idx="647">
                <c:v>#N/A</c:v>
              </c:pt>
              <c:pt idx="648">
                <c:v>#N/A</c:v>
              </c:pt>
              <c:pt idx="649">
                <c:v>659.88</c:v>
              </c:pt>
              <c:pt idx="650">
                <c:v>674.33</c:v>
              </c:pt>
              <c:pt idx="651">
                <c:v>676.49</c:v>
              </c:pt>
              <c:pt idx="652">
                <c:v>687</c:v>
              </c:pt>
              <c:pt idx="653">
                <c:v>689.18</c:v>
              </c:pt>
              <c:pt idx="654">
                <c:v>#N/A</c:v>
              </c:pt>
              <c:pt idx="655">
                <c:v>#N/A</c:v>
              </c:pt>
              <c:pt idx="656">
                <c:v>697.46</c:v>
              </c:pt>
              <c:pt idx="657">
                <c:v>704.19</c:v>
              </c:pt>
              <c:pt idx="658">
                <c:v>704.87</c:v>
              </c:pt>
              <c:pt idx="659">
                <c:v>711.99</c:v>
              </c:pt>
              <c:pt idx="660">
                <c:v>714.52</c:v>
              </c:pt>
              <c:pt idx="661">
                <c:v>#N/A</c:v>
              </c:pt>
              <c:pt idx="662">
                <c:v>#N/A</c:v>
              </c:pt>
              <c:pt idx="663">
                <c:v>717.4</c:v>
              </c:pt>
              <c:pt idx="664">
                <c:v>719.8</c:v>
              </c:pt>
              <c:pt idx="665">
                <c:v>725.38</c:v>
              </c:pt>
              <c:pt idx="666">
                <c:v>728.56</c:v>
              </c:pt>
              <c:pt idx="667">
                <c:v>736.67</c:v>
              </c:pt>
              <c:pt idx="668">
                <c:v>#N/A</c:v>
              </c:pt>
              <c:pt idx="669">
                <c:v>#N/A</c:v>
              </c:pt>
              <c:pt idx="670">
                <c:v>#N/A</c:v>
              </c:pt>
              <c:pt idx="671">
                <c:v>716.37</c:v>
              </c:pt>
              <c:pt idx="672">
                <c:v>703.77</c:v>
              </c:pt>
              <c:pt idx="673">
                <c:v>694.84</c:v>
              </c:pt>
              <c:pt idx="674">
                <c:v>683.55</c:v>
              </c:pt>
              <c:pt idx="675">
                <c:v>#N/A</c:v>
              </c:pt>
              <c:pt idx="676">
                <c:v>#N/A</c:v>
              </c:pt>
              <c:pt idx="677">
                <c:v>668.13</c:v>
              </c:pt>
              <c:pt idx="678">
                <c:v>657.5</c:v>
              </c:pt>
              <c:pt idx="679">
                <c:v>673.7</c:v>
              </c:pt>
              <c:pt idx="680">
                <c:v>658.24</c:v>
              </c:pt>
              <c:pt idx="681">
                <c:v>668.2</c:v>
              </c:pt>
              <c:pt idx="682">
                <c:v>#N/A</c:v>
              </c:pt>
              <c:pt idx="683">
                <c:v>#N/A</c:v>
              </c:pt>
              <c:pt idx="684">
                <c:v>655.04999999999995</c:v>
              </c:pt>
              <c:pt idx="685">
                <c:v>640</c:v>
              </c:pt>
              <c:pt idx="686">
                <c:v>656.47</c:v>
              </c:pt>
              <c:pt idx="687">
                <c:v>627.92999999999995</c:v>
              </c:pt>
              <c:pt idx="688">
                <c:v>625.66</c:v>
              </c:pt>
              <c:pt idx="689">
                <c:v>#N/A</c:v>
              </c:pt>
              <c:pt idx="690">
                <c:v>#N/A</c:v>
              </c:pt>
              <c:pt idx="691">
                <c:v>597.99</c:v>
              </c:pt>
              <c:pt idx="692">
                <c:v>605.71</c:v>
              </c:pt>
              <c:pt idx="693">
                <c:v>619.55999999999995</c:v>
              </c:pt>
              <c:pt idx="694">
                <c:v>590.64</c:v>
              </c:pt>
              <c:pt idx="695">
                <c:v>607.6</c:v>
              </c:pt>
              <c:pt idx="696">
                <c:v>#N/A</c:v>
              </c:pt>
              <c:pt idx="697">
                <c:v>#N/A</c:v>
              </c:pt>
              <c:pt idx="698">
                <c:v>604.9</c:v>
              </c:pt>
              <c:pt idx="699">
                <c:v>582.36</c:v>
              </c:pt>
              <c:pt idx="700">
                <c:v>584.05999999999995</c:v>
              </c:pt>
              <c:pt idx="701">
                <c:v>586</c:v>
              </c:pt>
              <c:pt idx="702">
                <c:v>596.25</c:v>
              </c:pt>
              <c:pt idx="703">
                <c:v>#N/A</c:v>
              </c:pt>
              <c:pt idx="704">
                <c:v>#N/A</c:v>
              </c:pt>
              <c:pt idx="705">
                <c:v>618.85</c:v>
              </c:pt>
              <c:pt idx="706">
                <c:v>626.30999999999995</c:v>
              </c:pt>
              <c:pt idx="707">
                <c:v>610.98</c:v>
              </c:pt>
              <c:pt idx="708">
                <c:v>602.58000000000004</c:v>
              </c:pt>
              <c:pt idx="709">
                <c:v>576.74</c:v>
              </c:pt>
              <c:pt idx="710">
                <c:v>#N/A</c:v>
              </c:pt>
              <c:pt idx="711">
                <c:v>#N/A</c:v>
              </c:pt>
              <c:pt idx="712">
                <c:v>576.36</c:v>
              </c:pt>
              <c:pt idx="713">
                <c:v>586</c:v>
              </c:pt>
              <c:pt idx="714">
                <c:v>583.92999999999995</c:v>
              </c:pt>
              <c:pt idx="715">
                <c:v>531.62</c:v>
              </c:pt>
              <c:pt idx="716">
                <c:v>504.73</c:v>
              </c:pt>
              <c:pt idx="717">
                <c:v>#N/A</c:v>
              </c:pt>
              <c:pt idx="718">
                <c:v>#N/A</c:v>
              </c:pt>
              <c:pt idx="719">
                <c:v>516.25</c:v>
              </c:pt>
              <c:pt idx="720">
                <c:v>510.45</c:v>
              </c:pt>
              <c:pt idx="721">
                <c:v>585.77</c:v>
              </c:pt>
              <c:pt idx="722">
                <c:v>546.29</c:v>
              </c:pt>
              <c:pt idx="723">
                <c:v>543.57000000000005</c:v>
              </c:pt>
              <c:pt idx="724">
                <c:v>#N/A</c:v>
              </c:pt>
              <c:pt idx="725">
                <c:v>#N/A</c:v>
              </c:pt>
              <c:pt idx="726">
                <c:v>531.48</c:v>
              </c:pt>
              <c:pt idx="727">
                <c:v>521.52</c:v>
              </c:pt>
              <c:pt idx="728">
                <c:v>502.31</c:v>
              </c:pt>
              <c:pt idx="729">
                <c:v>501.48</c:v>
              </c:pt>
              <c:pt idx="730">
                <c:v>#N/A</c:v>
              </c:pt>
              <c:pt idx="731">
                <c:v>#N/A</c:v>
              </c:pt>
              <c:pt idx="732">
                <c:v>#N/A</c:v>
              </c:pt>
              <c:pt idx="733">
                <c:v>484.66</c:v>
              </c:pt>
              <c:pt idx="734">
                <c:v>500.28</c:v>
              </c:pt>
              <c:pt idx="735">
                <c:v>520.27</c:v>
              </c:pt>
              <c:pt idx="736">
                <c:v>533.15</c:v>
              </c:pt>
              <c:pt idx="737">
                <c:v>547.27</c:v>
              </c:pt>
              <c:pt idx="738">
                <c:v>#N/A</c:v>
              </c:pt>
              <c:pt idx="739">
                <c:v>#N/A</c:v>
              </c:pt>
              <c:pt idx="740">
                <c:v>549.74</c:v>
              </c:pt>
              <c:pt idx="741">
                <c:v>554.44000000000005</c:v>
              </c:pt>
              <c:pt idx="742">
                <c:v>549</c:v>
              </c:pt>
              <c:pt idx="743">
                <c:v>572.21</c:v>
              </c:pt>
              <c:pt idx="744">
                <c:v>597.02</c:v>
              </c:pt>
              <c:pt idx="745">
                <c:v>#N/A</c:v>
              </c:pt>
              <c:pt idx="746">
                <c:v>#N/A</c:v>
              </c:pt>
              <c:pt idx="747">
                <c:v>599.27</c:v>
              </c:pt>
              <c:pt idx="748">
                <c:v>587.30999999999995</c:v>
              </c:pt>
              <c:pt idx="749">
                <c:v>596.80999999999995</c:v>
              </c:pt>
              <c:pt idx="750">
                <c:v>598.01</c:v>
              </c:pt>
              <c:pt idx="751">
                <c:v>592.49</c:v>
              </c:pt>
              <c:pt idx="752">
                <c:v>#N/A</c:v>
              </c:pt>
              <c:pt idx="753">
                <c:v>#N/A</c:v>
              </c:pt>
              <c:pt idx="754">
                <c:v>639.42999999999995</c:v>
              </c:pt>
              <c:pt idx="755">
                <c:v>656.03</c:v>
              </c:pt>
              <c:pt idx="756">
                <c:v>659.36</c:v>
              </c:pt>
              <c:pt idx="757">
                <c:v>643.88</c:v>
              </c:pt>
              <c:pt idx="758">
                <c:v>640.34</c:v>
              </c:pt>
              <c:pt idx="759">
                <c:v>#N/A</c:v>
              </c:pt>
              <c:pt idx="760">
                <c:v>#N/A</c:v>
              </c:pt>
              <c:pt idx="761">
                <c:v>640.42999999999995</c:v>
              </c:pt>
              <c:pt idx="762">
                <c:v>637.1</c:v>
              </c:pt>
              <c:pt idx="763">
                <c:v>635.5</c:v>
              </c:pt>
              <c:pt idx="764">
                <c:v>636.57000000000005</c:v>
              </c:pt>
              <c:pt idx="765">
                <c:v>627.05999999999995</c:v>
              </c:pt>
              <c:pt idx="766">
                <c:v>#N/A</c:v>
              </c:pt>
              <c:pt idx="767">
                <c:v>#N/A</c:v>
              </c:pt>
              <c:pt idx="768">
                <c:v>#N/A</c:v>
              </c:pt>
              <c:pt idx="769">
                <c:v>642.32000000000005</c:v>
              </c:pt>
              <c:pt idx="770">
                <c:v>643.58000000000004</c:v>
              </c:pt>
              <c:pt idx="771">
                <c:v>645.04999999999995</c:v>
              </c:pt>
              <c:pt idx="772">
                <c:v>647.49</c:v>
              </c:pt>
              <c:pt idx="773">
                <c:v>#N/A</c:v>
              </c:pt>
              <c:pt idx="774">
                <c:v>#N/A</c:v>
              </c:pt>
              <c:pt idx="775">
                <c:v>670.9</c:v>
              </c:pt>
              <c:pt idx="776">
                <c:v>666.85</c:v>
              </c:pt>
              <c:pt idx="777">
                <c:v>687.95</c:v>
              </c:pt>
              <c:pt idx="778">
                <c:v>684.62</c:v>
              </c:pt>
              <c:pt idx="779">
                <c:v>697.71</c:v>
              </c:pt>
              <c:pt idx="780">
                <c:v>#N/A</c:v>
              </c:pt>
              <c:pt idx="781">
                <c:v>#N/A</c:v>
              </c:pt>
              <c:pt idx="782">
                <c:v>694.06</c:v>
              </c:pt>
              <c:pt idx="783">
                <c:v>702.4</c:v>
              </c:pt>
              <c:pt idx="784">
                <c:v>694.14</c:v>
              </c:pt>
              <c:pt idx="785">
                <c:v>693.36</c:v>
              </c:pt>
              <c:pt idx="786">
                <c:v>682.87</c:v>
              </c:pt>
              <c:pt idx="787">
                <c:v>#N/A</c:v>
              </c:pt>
              <c:pt idx="788">
                <c:v>#N/A</c:v>
              </c:pt>
              <c:pt idx="789">
                <c:v>702.12</c:v>
              </c:pt>
              <c:pt idx="790">
                <c:v>697.23</c:v>
              </c:pt>
              <c:pt idx="791">
                <c:v>695.77</c:v>
              </c:pt>
              <c:pt idx="792">
                <c:v>#N/A</c:v>
              </c:pt>
              <c:pt idx="793">
                <c:v>682.35</c:v>
              </c:pt>
              <c:pt idx="794">
                <c:v>#N/A</c:v>
              </c:pt>
              <c:pt idx="795">
                <c:v>#N/A</c:v>
              </c:pt>
              <c:pt idx="796">
                <c:v>698.53</c:v>
              </c:pt>
              <c:pt idx="797">
                <c:v>712.2</c:v>
              </c:pt>
              <c:pt idx="798">
                <c:v>708.68</c:v>
              </c:pt>
              <c:pt idx="799">
                <c:v>726.09</c:v>
              </c:pt>
              <c:pt idx="800">
                <c:v>733.63</c:v>
              </c:pt>
              <c:pt idx="801">
                <c:v>#N/A</c:v>
              </c:pt>
              <c:pt idx="802">
                <c:v>#N/A</c:v>
              </c:pt>
              <c:pt idx="803">
                <c:v>738.09</c:v>
              </c:pt>
              <c:pt idx="804">
                <c:v>719.22</c:v>
              </c:pt>
              <c:pt idx="805">
                <c:v>713.57</c:v>
              </c:pt>
              <c:pt idx="806">
                <c:v>719.01</c:v>
              </c:pt>
              <c:pt idx="807">
                <c:v>#N/A</c:v>
              </c:pt>
              <c:pt idx="808">
                <c:v>#N/A</c:v>
              </c:pt>
              <c:pt idx="809">
                <c:v>#N/A</c:v>
              </c:pt>
              <c:pt idx="810">
                <c:v>718.35</c:v>
              </c:pt>
              <c:pt idx="811">
                <c:v>720.67</c:v>
              </c:pt>
              <c:pt idx="812">
                <c:v>732.78</c:v>
              </c:pt>
              <c:pt idx="813">
                <c:v>727.24</c:v>
              </c:pt>
              <c:pt idx="814">
                <c:v>717.51</c:v>
              </c:pt>
              <c:pt idx="815">
                <c:v>#N/A</c:v>
              </c:pt>
              <c:pt idx="816">
                <c:v>#N/A</c:v>
              </c:pt>
              <c:pt idx="817">
                <c:v>720.92</c:v>
              </c:pt>
              <c:pt idx="818">
                <c:v>710.39</c:v>
              </c:pt>
              <c:pt idx="819">
                <c:v>702.91</c:v>
              </c:pt>
              <c:pt idx="820">
                <c:v>701.41</c:v>
              </c:pt>
              <c:pt idx="821">
                <c:v>704.28</c:v>
              </c:pt>
              <c:pt idx="822">
                <c:v>#N/A</c:v>
              </c:pt>
              <c:pt idx="823">
                <c:v>#N/A</c:v>
              </c:pt>
              <c:pt idx="824">
                <c:v>712.96500000000003</c:v>
              </c:pt>
              <c:pt idx="825">
                <c:v>704.81</c:v>
              </c:pt>
              <c:pt idx="826">
                <c:v>713.58</c:v>
              </c:pt>
              <c:pt idx="827">
                <c:v>714.8</c:v>
              </c:pt>
              <c:pt idx="828">
                <c:v>712.68</c:v>
              </c:pt>
              <c:pt idx="829">
                <c:v>#N/A</c:v>
              </c:pt>
              <c:pt idx="830">
                <c:v>#N/A</c:v>
              </c:pt>
              <c:pt idx="831">
                <c:v>717.63</c:v>
              </c:pt>
              <c:pt idx="832">
                <c:v>700</c:v>
              </c:pt>
              <c:pt idx="833">
                <c:v>695.21</c:v>
              </c:pt>
              <c:pt idx="834">
                <c:v>773.44</c:v>
              </c:pt>
              <c:pt idx="835">
                <c:v>750.01</c:v>
              </c:pt>
              <c:pt idx="836">
                <c:v>#N/A</c:v>
              </c:pt>
              <c:pt idx="837">
                <c:v>#N/A</c:v>
              </c:pt>
              <c:pt idx="838">
                <c:v>776.37</c:v>
              </c:pt>
              <c:pt idx="839">
                <c:v>763.46</c:v>
              </c:pt>
              <c:pt idx="840">
                <c:v>771.99</c:v>
              </c:pt>
              <c:pt idx="841">
                <c:v>761.83</c:v>
              </c:pt>
              <c:pt idx="842">
                <c:v>769.3</c:v>
              </c:pt>
              <c:pt idx="843">
                <c:v>#N/A</c:v>
              </c:pt>
              <c:pt idx="844">
                <c:v>#N/A</c:v>
              </c:pt>
              <c:pt idx="845">
                <c:v>765.87</c:v>
              </c:pt>
              <c:pt idx="846">
                <c:v>790</c:v>
              </c:pt>
              <c:pt idx="847">
                <c:v>780.08</c:v>
              </c:pt>
              <c:pt idx="848">
                <c:v>782.13</c:v>
              </c:pt>
              <c:pt idx="849">
                <c:v>785.23</c:v>
              </c:pt>
              <c:pt idx="850">
                <c:v>#N/A</c:v>
              </c:pt>
              <c:pt idx="851">
                <c:v>#N/A</c:v>
              </c:pt>
              <c:pt idx="852">
                <c:v>767.37</c:v>
              </c:pt>
              <c:pt idx="853">
                <c:v>751.48</c:v>
              </c:pt>
              <c:pt idx="854">
                <c:v>747.72</c:v>
              </c:pt>
              <c:pt idx="855">
                <c:v>739.1</c:v>
              </c:pt>
              <c:pt idx="856">
                <c:v>754.79</c:v>
              </c:pt>
              <c:pt idx="857">
                <c:v>#N/A</c:v>
              </c:pt>
              <c:pt idx="858">
                <c:v>#N/A</c:v>
              </c:pt>
              <c:pt idx="859">
                <c:v>753.3</c:v>
              </c:pt>
              <c:pt idx="860">
                <c:v>754.1</c:v>
              </c:pt>
              <c:pt idx="861">
                <c:v>747.38</c:v>
              </c:pt>
              <c:pt idx="862">
                <c:v>751.11</c:v>
              </c:pt>
              <c:pt idx="863">
                <c:v>738.7</c:v>
              </c:pt>
              <c:pt idx="864">
                <c:v>#N/A</c:v>
              </c:pt>
              <c:pt idx="865">
                <c:v>#N/A</c:v>
              </c:pt>
              <c:pt idx="866">
                <c:v>#N/A</c:v>
              </c:pt>
              <c:pt idx="867">
                <c:v>735.11</c:v>
              </c:pt>
              <c:pt idx="868">
                <c:v>737.05</c:v>
              </c:pt>
              <c:pt idx="869">
                <c:v>748.65</c:v>
              </c:pt>
              <c:pt idx="870">
                <c:v>752.45</c:v>
              </c:pt>
              <c:pt idx="871">
                <c:v>#N/A</c:v>
              </c:pt>
              <c:pt idx="872">
                <c:v>#N/A</c:v>
              </c:pt>
              <c:pt idx="873">
                <c:v>752.3</c:v>
              </c:pt>
              <c:pt idx="874">
                <c:v>765.7</c:v>
              </c:pt>
              <c:pt idx="875">
                <c:v>751.98</c:v>
              </c:pt>
              <c:pt idx="876">
                <c:v>750.9</c:v>
              </c:pt>
              <c:pt idx="877">
                <c:v>755.59</c:v>
              </c:pt>
              <c:pt idx="878">
                <c:v>#N/A</c:v>
              </c:pt>
              <c:pt idx="879">
                <c:v>#N/A</c:v>
              </c:pt>
              <c:pt idx="880">
                <c:v>764.7</c:v>
              </c:pt>
              <c:pt idx="881">
                <c:v>779</c:v>
              </c:pt>
              <c:pt idx="882">
                <c:v>775.71500000000003</c:v>
              </c:pt>
              <c:pt idx="883">
                <c:v>780.25</c:v>
              </c:pt>
              <c:pt idx="884">
                <c:v>778.38</c:v>
              </c:pt>
              <c:pt idx="885">
                <c:v>#N/A</c:v>
              </c:pt>
              <c:pt idx="886">
                <c:v>#N/A</c:v>
              </c:pt>
              <c:pt idx="887">
                <c:v>765.16</c:v>
              </c:pt>
              <c:pt idx="888">
                <c:v>755.4</c:v>
              </c:pt>
              <c:pt idx="889">
                <c:v>760.66</c:v>
              </c:pt>
              <c:pt idx="890">
                <c:v>748.91</c:v>
              </c:pt>
              <c:pt idx="891">
                <c:v>743.75</c:v>
              </c:pt>
              <c:pt idx="892">
                <c:v>#N/A</c:v>
              </c:pt>
              <c:pt idx="893">
                <c:v>#N/A</c:v>
              </c:pt>
              <c:pt idx="894">
                <c:v>743.4</c:v>
              </c:pt>
              <c:pt idx="895">
                <c:v>734.38</c:v>
              </c:pt>
              <c:pt idx="896">
                <c:v>717.34</c:v>
              </c:pt>
              <c:pt idx="897">
                <c:v>727.05</c:v>
              </c:pt>
              <c:pt idx="898">
                <c:v>710.56</c:v>
              </c:pt>
              <c:pt idx="899">
                <c:v>#N/A</c:v>
              </c:pt>
              <c:pt idx="900">
                <c:v>#N/A</c:v>
              </c:pt>
              <c:pt idx="901">
                <c:v>715.66</c:v>
              </c:pt>
              <c:pt idx="902">
                <c:v>713.08</c:v>
              </c:pt>
              <c:pt idx="903">
                <c:v>717.84</c:v>
              </c:pt>
              <c:pt idx="904">
                <c:v>733.51</c:v>
              </c:pt>
              <c:pt idx="905">
                <c:v>705.3</c:v>
              </c:pt>
              <c:pt idx="906">
                <c:v>#N/A</c:v>
              </c:pt>
              <c:pt idx="907">
                <c:v>#N/A</c:v>
              </c:pt>
              <c:pt idx="908">
                <c:v>715.7</c:v>
              </c:pt>
              <c:pt idx="909">
                <c:v>708.65</c:v>
              </c:pt>
              <c:pt idx="910">
                <c:v>717.55</c:v>
              </c:pt>
              <c:pt idx="911">
                <c:v>712.07</c:v>
              </c:pt>
              <c:pt idx="912">
                <c:v>716.91499999999996</c:v>
              </c:pt>
              <c:pt idx="913">
                <c:v>#N/A</c:v>
              </c:pt>
              <c:pt idx="914">
                <c:v>#N/A</c:v>
              </c:pt>
              <c:pt idx="915">
                <c:v>732.17</c:v>
              </c:pt>
              <c:pt idx="916">
                <c:v>733.27</c:v>
              </c:pt>
              <c:pt idx="917">
                <c:v>733.41</c:v>
              </c:pt>
              <c:pt idx="918">
                <c:v>734</c:v>
              </c:pt>
              <c:pt idx="919">
                <c:v>738.36</c:v>
              </c:pt>
              <c:pt idx="920">
                <c:v>#N/A</c:v>
              </c:pt>
              <c:pt idx="921">
                <c:v>#N/A</c:v>
              </c:pt>
              <c:pt idx="922">
                <c:v>750.82</c:v>
              </c:pt>
              <c:pt idx="923">
                <c:v>751.44</c:v>
              </c:pt>
              <c:pt idx="924">
                <c:v>751.67</c:v>
              </c:pt>
              <c:pt idx="925">
                <c:v>666.47</c:v>
              </c:pt>
              <c:pt idx="926">
                <c:v>648.35</c:v>
              </c:pt>
              <c:pt idx="927">
                <c:v>#N/A</c:v>
              </c:pt>
              <c:pt idx="928">
                <c:v>#N/A</c:v>
              </c:pt>
              <c:pt idx="929">
                <c:v>637.71</c:v>
              </c:pt>
              <c:pt idx="930">
                <c:v>627.32000000000005</c:v>
              </c:pt>
              <c:pt idx="931">
                <c:v>635.95000000000005</c:v>
              </c:pt>
              <c:pt idx="932">
                <c:v>618.94000000000005</c:v>
              </c:pt>
              <c:pt idx="933">
                <c:v>621.71</c:v>
              </c:pt>
              <c:pt idx="934">
                <c:v>#N/A</c:v>
              </c:pt>
              <c:pt idx="935">
                <c:v>#N/A</c:v>
              </c:pt>
              <c:pt idx="936">
                <c:v>631.76</c:v>
              </c:pt>
              <c:pt idx="937">
                <c:v>627.08000000000004</c:v>
              </c:pt>
              <c:pt idx="938">
                <c:v>609.01</c:v>
              </c:pt>
              <c:pt idx="939">
                <c:v>609.89</c:v>
              </c:pt>
              <c:pt idx="940">
                <c:v>609.46</c:v>
              </c:pt>
              <c:pt idx="941">
                <c:v>#N/A</c:v>
              </c:pt>
              <c:pt idx="942">
                <c:v>#N/A</c:v>
              </c:pt>
              <c:pt idx="943">
                <c:v>602.01</c:v>
              </c:pt>
              <c:pt idx="944">
                <c:v>597.69000000000005</c:v>
              </c:pt>
              <c:pt idx="945">
                <c:v>590.32000000000005</c:v>
              </c:pt>
              <c:pt idx="946">
                <c:v>589.15</c:v>
              </c:pt>
              <c:pt idx="947">
                <c:v>594.25</c:v>
              </c:pt>
              <c:pt idx="948">
                <c:v>#N/A</c:v>
              </c:pt>
              <c:pt idx="949">
                <c:v>#N/A</c:v>
              </c:pt>
              <c:pt idx="950">
                <c:v>613.04999999999995</c:v>
              </c:pt>
              <c:pt idx="951">
                <c:v>636.22</c:v>
              </c:pt>
              <c:pt idx="952">
                <c:v>633.61</c:v>
              </c:pt>
              <c:pt idx="953">
                <c:v>#N/A</c:v>
              </c:pt>
              <c:pt idx="954">
                <c:v>647.95000000000005</c:v>
              </c:pt>
              <c:pt idx="955">
                <c:v>#N/A</c:v>
              </c:pt>
              <c:pt idx="956">
                <c:v>#N/A</c:v>
              </c:pt>
              <c:pt idx="957">
                <c:v>640.87</c:v>
              </c:pt>
              <c:pt idx="958">
                <c:v>647.1</c:v>
              </c:pt>
              <c:pt idx="959">
                <c:v>639.6</c:v>
              </c:pt>
              <c:pt idx="960">
                <c:v>661.53</c:v>
              </c:pt>
              <c:pt idx="961">
                <c:v>673.42</c:v>
              </c:pt>
              <c:pt idx="962">
                <c:v>#N/A</c:v>
              </c:pt>
              <c:pt idx="963">
                <c:v>#N/A</c:v>
              </c:pt>
              <c:pt idx="964">
                <c:v>666.8</c:v>
              </c:pt>
              <c:pt idx="965">
                <c:v>656.96</c:v>
              </c:pt>
              <c:pt idx="966">
                <c:v>650.13</c:v>
              </c:pt>
              <c:pt idx="967">
                <c:v>652.71</c:v>
              </c:pt>
              <c:pt idx="968">
                <c:v>644.23</c:v>
              </c:pt>
              <c:pt idx="969">
                <c:v>#N/A</c:v>
              </c:pt>
              <c:pt idx="970">
                <c:v>#N/A</c:v>
              </c:pt>
              <c:pt idx="971">
                <c:v>647.51</c:v>
              </c:pt>
              <c:pt idx="972">
                <c:v>657.15</c:v>
              </c:pt>
              <c:pt idx="973">
                <c:v>649.5</c:v>
              </c:pt>
              <c:pt idx="974">
                <c:v>664.45</c:v>
              </c:pt>
              <c:pt idx="975">
                <c:v>658.77</c:v>
              </c:pt>
              <c:pt idx="976">
                <c:v>#N/A</c:v>
              </c:pt>
              <c:pt idx="977">
                <c:v>#N/A</c:v>
              </c:pt>
              <c:pt idx="978">
                <c:v>661.5</c:v>
              </c:pt>
              <c:pt idx="979">
                <c:v>664.94</c:v>
              </c:pt>
              <c:pt idx="980">
                <c:v>667.55</c:v>
              </c:pt>
              <c:pt idx="981">
                <c:v>#N/A</c:v>
              </c:pt>
              <c:pt idx="982">
                <c:v>663.29</c:v>
              </c:pt>
              <c:pt idx="983">
                <c:v>#N/A</c:v>
              </c:pt>
              <c:pt idx="984">
                <c:v>#N/A</c:v>
              </c:pt>
              <c:pt idx="985">
                <c:v>658.69</c:v>
              </c:pt>
              <c:pt idx="986">
                <c:v>665.95</c:v>
              </c:pt>
              <c:pt idx="987">
                <c:v>660.09</c:v>
              </c:pt>
              <c:pt idx="988">
                <c:v>#N/A</c:v>
              </c:pt>
              <c:pt idx="989">
                <c:v>650.41</c:v>
              </c:pt>
              <c:pt idx="990">
                <c:v>#N/A</c:v>
              </c:pt>
              <c:pt idx="991">
                <c:v>#N/A</c:v>
              </c:pt>
              <c:pt idx="992">
                <c:v>658.79</c:v>
              </c:pt>
              <c:pt idx="993">
                <c:v>660.62</c:v>
              </c:pt>
              <c:pt idx="994">
                <c:v>648.69000000000005</c:v>
              </c:pt>
              <c:pt idx="995">
                <c:v>646.05999999999995</c:v>
              </c:pt>
              <c:pt idx="996">
                <c:v>653.05999999999995</c:v>
              </c:pt>
              <c:pt idx="997">
                <c:v>#N/A</c:v>
              </c:pt>
              <c:pt idx="998">
                <c:v>#N/A</c:v>
              </c:pt>
              <c:pt idx="999">
                <c:v>641.97</c:v>
              </c:pt>
              <c:pt idx="1000">
                <c:v>631.09</c:v>
              </c:pt>
              <c:pt idx="1001">
                <c:v>615.52</c:v>
              </c:pt>
              <c:pt idx="1002">
                <c:v>620.79999999999995</c:v>
              </c:pt>
              <c:pt idx="1003">
                <c:v>620.25</c:v>
              </c:pt>
              <c:pt idx="1004">
                <c:v>#N/A</c:v>
              </c:pt>
              <c:pt idx="1005">
                <c:v>#N/A</c:v>
              </c:pt>
              <c:pt idx="1006">
                <c:v>#N/A</c:v>
              </c:pt>
              <c:pt idx="1007">
                <c:v>604.12</c:v>
              </c:pt>
              <c:pt idx="1008">
                <c:v>612.96</c:v>
              </c:pt>
              <c:pt idx="1009">
                <c:v>647.63</c:v>
              </c:pt>
              <c:pt idx="1010">
                <c:v>658.76</c:v>
              </c:pt>
              <c:pt idx="1011">
                <c:v>#N/A</c:v>
              </c:pt>
              <c:pt idx="1012">
                <c:v>#N/A</c:v>
              </c:pt>
              <c:pt idx="1013">
                <c:v>672.36</c:v>
              </c:pt>
              <c:pt idx="1014">
                <c:v>672.97</c:v>
              </c:pt>
              <c:pt idx="1015">
                <c:v>668.73</c:v>
              </c:pt>
              <c:pt idx="1016">
                <c:v>738.31</c:v>
              </c:pt>
              <c:pt idx="1017">
                <c:v>716.5</c:v>
              </c:pt>
              <c:pt idx="1018">
                <c:v>#N/A</c:v>
              </c:pt>
              <c:pt idx="1019">
                <c:v>#N/A</c:v>
              </c:pt>
              <c:pt idx="1020">
                <c:v>706.41</c:v>
              </c:pt>
              <c:pt idx="1021">
                <c:v>691.7</c:v>
              </c:pt>
              <c:pt idx="1022">
                <c:v>668.99</c:v>
              </c:pt>
              <c:pt idx="1023">
                <c:v>670.21</c:v>
              </c:pt>
              <c:pt idx="1024">
                <c:v>661.46</c:v>
              </c:pt>
              <c:pt idx="1025">
                <c:v>#N/A</c:v>
              </c:pt>
              <c:pt idx="1026">
                <c:v>#N/A</c:v>
              </c:pt>
              <c:pt idx="1027">
                <c:v>677.22</c:v>
              </c:pt>
              <c:pt idx="1028">
                <c:v>670.72</c:v>
              </c:pt>
              <c:pt idx="1029">
                <c:v>668.69</c:v>
              </c:pt>
              <c:pt idx="1030">
                <c:v>649.80999999999995</c:v>
              </c:pt>
              <c:pt idx="1031">
                <c:v>639.77</c:v>
              </c:pt>
              <c:pt idx="1032">
                <c:v>#N/A</c:v>
              </c:pt>
              <c:pt idx="1033">
                <c:v>#N/A</c:v>
              </c:pt>
              <c:pt idx="1034">
                <c:v>#N/A</c:v>
              </c:pt>
              <c:pt idx="1035">
                <c:v>639.29</c:v>
              </c:pt>
              <c:pt idx="1036">
                <c:v>643.22</c:v>
              </c:pt>
              <c:pt idx="1037">
                <c:v>644.78</c:v>
              </c:pt>
              <c:pt idx="1038">
                <c:v>655.66</c:v>
              </c:pt>
              <c:pt idx="1039">
                <c:v>#N/A</c:v>
              </c:pt>
              <c:pt idx="1040">
                <c:v>#N/A</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#N/A</c:v>
              </c:pt>
              <c:pt idx="1054">
                <c:v>#N/A</c:v>
              </c:pt>
              <c:pt idx="1055">
                <c:v>647.39</c:v>
              </c:pt>
              <c:pt idx="1056">
                <c:v>654.07000000000005</c:v>
              </c:pt>
              <c:pt idx="1057">
                <c:v>654.86</c:v>
              </c:pt>
              <c:pt idx="1058">
                <c:v>638.17999999999995</c:v>
              </c:pt>
              <c:pt idx="1059">
                <c:v>613.71</c:v>
              </c:pt>
              <c:pt idx="1060">
                <c:v>#N/A</c:v>
              </c:pt>
              <c:pt idx="1061">
                <c:v>#N/A</c:v>
              </c:pt>
              <c:pt idx="1062">
                <c:v>627.45000000000005</c:v>
              </c:pt>
              <c:pt idx="1063">
                <c:v>622.66</c:v>
              </c:pt>
              <c:pt idx="1064">
                <c:v>615.67999999999995</c:v>
              </c:pt>
              <c:pt idx="1065">
                <c:v>606.70000000000005</c:v>
              </c:pt>
              <c:pt idx="1066">
                <c:v>593.66</c:v>
              </c:pt>
              <c:pt idx="1067">
                <c:v>#N/A</c:v>
              </c:pt>
              <c:pt idx="1068">
                <c:v>#N/A</c:v>
              </c:pt>
              <c:pt idx="1069">
                <c:v>604.05999999999995</c:v>
              </c:pt>
              <c:pt idx="1070">
                <c:v>592.91999999999996</c:v>
              </c:pt>
              <c:pt idx="1071">
                <c:v>594.89</c:v>
              </c:pt>
              <c:pt idx="1072">
                <c:v>547.54</c:v>
              </c:pt>
              <c:pt idx="1073">
                <c:v>525.72</c:v>
              </c:pt>
              <c:pt idx="1074">
                <c:v>#N/A</c:v>
              </c:pt>
              <c:pt idx="1075">
                <c:v>#N/A</c:v>
              </c:pt>
              <c:pt idx="1076">
                <c:v>536.38</c:v>
              </c:pt>
              <c:pt idx="1077">
                <c:v>572.13</c:v>
              </c:pt>
              <c:pt idx="1078">
                <c:v>579.23</c:v>
              </c:pt>
              <c:pt idx="1079">
                <c:v>574.46</c:v>
              </c:pt>
              <c:pt idx="1080">
                <c:v>#N/A</c:v>
              </c:pt>
              <c:pt idx="1081">
                <c:v>#N/A</c:v>
              </c:pt>
              <c:pt idx="1082">
                <c:v>#N/A</c:v>
              </c:pt>
              <c:pt idx="1083">
                <c:v>573.02</c:v>
              </c:pt>
              <c:pt idx="1084">
                <c:v>575.04999999999995</c:v>
              </c:pt>
              <c:pt idx="1085">
                <c:v>612.41999999999996</c:v>
              </c:pt>
              <c:pt idx="1086">
                <c:v>628.39</c:v>
              </c:pt>
              <c:pt idx="1087">
                <c:v>629.86</c:v>
              </c:pt>
              <c:pt idx="1088">
                <c:v>#N/A</c:v>
              </c:pt>
              <c:pt idx="1089">
                <c:v>#N/A</c:v>
              </c:pt>
            </c:numLit>
          </c:val>
          <c:smooth val="0"/>
          <c:extLst>
            <c:ext xmlns:c16="http://schemas.microsoft.com/office/drawing/2014/chart" uri="{C3380CC4-5D6E-409C-BE32-E72D297353CC}">
              <c16:uniqueId val="{00000002-3EC7-45D7-9105-2AEE713A6F21}"/>
            </c:ext>
          </c:extLst>
        </c:ser>
        <c:dLbls>
          <c:showLegendKey val="0"/>
          <c:showVal val="0"/>
          <c:showCatName val="0"/>
          <c:showSerName val="0"/>
          <c:showPercent val="0"/>
          <c:showBubbleSize val="0"/>
        </c:dLbls>
        <c:marker val="1"/>
        <c:smooth val="0"/>
        <c:axId val="933966160"/>
        <c:axId val="933947136"/>
      </c:lineChart>
      <c:dateAx>
        <c:axId val="933966160"/>
        <c:scaling>
          <c:orientation val="minMax"/>
        </c:scaling>
        <c:delete val="0"/>
        <c:axPos val="b"/>
        <c:numFmt formatCode="[$-407]mmm/\ yy;@" sourceLinked="0"/>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33947136"/>
        <c:crosses val="autoZero"/>
        <c:auto val="0"/>
        <c:lblOffset val="100"/>
        <c:baseTimeUnit val="days"/>
      </c:dateAx>
      <c:valAx>
        <c:axId val="93394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33966160"/>
        <c:crosses val="autoZero"/>
        <c:crossBetween val="between"/>
      </c:valAx>
      <c:valAx>
        <c:axId val="308040063"/>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08041047"/>
        <c:crosses val="max"/>
        <c:crossBetween val="between"/>
      </c:valAx>
      <c:catAx>
        <c:axId val="308041047"/>
        <c:scaling>
          <c:orientation val="minMax"/>
        </c:scaling>
        <c:delete val="1"/>
        <c:axPos val="b"/>
        <c:majorTickMark val="out"/>
        <c:minorTickMark val="none"/>
        <c:tickLblPos val="nextTo"/>
        <c:crossAx val="308040063"/>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0015363281615E-2"/>
          <c:y val="9.9275579628679486E-2"/>
          <c:w val="0.79995086579315156"/>
          <c:h val="0.67951824695102447"/>
        </c:manualLayout>
      </c:layout>
      <c:lineChart>
        <c:grouping val="standard"/>
        <c:varyColors val="0"/>
        <c:ser>
          <c:idx val="0"/>
          <c:order val="0"/>
          <c:tx>
            <c:v>Aktie</c:v>
          </c:tx>
          <c:spPr>
            <a:ln w="12700" cap="rnd">
              <a:solidFill>
                <a:srgbClr val="C00000"/>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F7'!$AI$6:$AI$1100</c:f>
              <c:numCache>
                <c:formatCode>#,##0.00</c:formatCode>
                <c:ptCount val="1095"/>
                <c:pt idx="0">
                  <c:v>215.7</c:v>
                </c:pt>
                <c:pt idx="1">
                  <c:v>213.07</c:v>
                </c:pt>
                <c:pt idx="2">
                  <c:v>212.89</c:v>
                </c:pt>
                <c:pt idx="3">
                  <c:v>212.89</c:v>
                </c:pt>
                <c:pt idx="4">
                  <c:v>212.89</c:v>
                </c:pt>
                <c:pt idx="5">
                  <c:v>212.79</c:v>
                </c:pt>
                <c:pt idx="6">
                  <c:v>207.55</c:v>
                </c:pt>
                <c:pt idx="7">
                  <c:v>209.4</c:v>
                </c:pt>
                <c:pt idx="8">
                  <c:v>238.56</c:v>
                </c:pt>
                <c:pt idx="9">
                  <c:v>240.32</c:v>
                </c:pt>
                <c:pt idx="10">
                  <c:v>240.32</c:v>
                </c:pt>
                <c:pt idx="11">
                  <c:v>240.32</c:v>
                </c:pt>
                <c:pt idx="12">
                  <c:v>243.18</c:v>
                </c:pt>
                <c:pt idx="13">
                  <c:v>239.24</c:v>
                </c:pt>
                <c:pt idx="14">
                  <c:v>237.03</c:v>
                </c:pt>
                <c:pt idx="15">
                  <c:v>233.52</c:v>
                </c:pt>
                <c:pt idx="16">
                  <c:v>232.78</c:v>
                </c:pt>
                <c:pt idx="17">
                  <c:v>232.78</c:v>
                </c:pt>
                <c:pt idx="18">
                  <c:v>232.78</c:v>
                </c:pt>
                <c:pt idx="19">
                  <c:v>233.27</c:v>
                </c:pt>
                <c:pt idx="20">
                  <c:v>233.37</c:v>
                </c:pt>
                <c:pt idx="21">
                  <c:v>233.08</c:v>
                </c:pt>
                <c:pt idx="22">
                  <c:v>235.79</c:v>
                </c:pt>
                <c:pt idx="23">
                  <c:v>233.81</c:v>
                </c:pt>
                <c:pt idx="24">
                  <c:v>233.81</c:v>
                </c:pt>
                <c:pt idx="25">
                  <c:v>233.81</c:v>
                </c:pt>
                <c:pt idx="26">
                  <c:v>238.86</c:v>
                </c:pt>
                <c:pt idx="27">
                  <c:v>238.82</c:v>
                </c:pt>
                <c:pt idx="28">
                  <c:v>242.48500000000001</c:v>
                </c:pt>
                <c:pt idx="29">
                  <c:v>246.85</c:v>
                </c:pt>
                <c:pt idx="30">
                  <c:v>245.64</c:v>
                </c:pt>
                <c:pt idx="31">
                  <c:v>245.64</c:v>
                </c:pt>
                <c:pt idx="32">
                  <c:v>245.64</c:v>
                </c:pt>
                <c:pt idx="33">
                  <c:v>248.32</c:v>
                </c:pt>
                <c:pt idx="34">
                  <c:v>246.74</c:v>
                </c:pt>
                <c:pt idx="35">
                  <c:v>249.21</c:v>
                </c:pt>
                <c:pt idx="36">
                  <c:v>252.69</c:v>
                </c:pt>
                <c:pt idx="37">
                  <c:v>262.04000000000002</c:v>
                </c:pt>
                <c:pt idx="38">
                  <c:v>262.04000000000002</c:v>
                </c:pt>
                <c:pt idx="39">
                  <c:v>262.04000000000002</c:v>
                </c:pt>
                <c:pt idx="40">
                  <c:v>262.04000000000002</c:v>
                </c:pt>
                <c:pt idx="41">
                  <c:v>262.52</c:v>
                </c:pt>
                <c:pt idx="42">
                  <c:v>264.72000000000003</c:v>
                </c:pt>
                <c:pt idx="43">
                  <c:v>272.61</c:v>
                </c:pt>
                <c:pt idx="44">
                  <c:v>272.61</c:v>
                </c:pt>
                <c:pt idx="45">
                  <c:v>272.61</c:v>
                </c:pt>
                <c:pt idx="46">
                  <c:v>272.61</c:v>
                </c:pt>
                <c:pt idx="47">
                  <c:v>271.39</c:v>
                </c:pt>
                <c:pt idx="48">
                  <c:v>271.12</c:v>
                </c:pt>
                <c:pt idx="49">
                  <c:v>263.60000000000002</c:v>
                </c:pt>
                <c:pt idx="50">
                  <c:v>264.58</c:v>
                </c:pt>
                <c:pt idx="51">
                  <c:v>264.95</c:v>
                </c:pt>
                <c:pt idx="52">
                  <c:v>264.95</c:v>
                </c:pt>
                <c:pt idx="53">
                  <c:v>264.95</c:v>
                </c:pt>
                <c:pt idx="54">
                  <c:v>271.05</c:v>
                </c:pt>
                <c:pt idx="55">
                  <c:v>271.32</c:v>
                </c:pt>
                <c:pt idx="56">
                  <c:v>273.35000000000002</c:v>
                </c:pt>
                <c:pt idx="57">
                  <c:v>281.83</c:v>
                </c:pt>
                <c:pt idx="58">
                  <c:v>281</c:v>
                </c:pt>
                <c:pt idx="59">
                  <c:v>281</c:v>
                </c:pt>
                <c:pt idx="60">
                  <c:v>281</c:v>
                </c:pt>
                <c:pt idx="61">
                  <c:v>281</c:v>
                </c:pt>
                <c:pt idx="62">
                  <c:v>284.33</c:v>
                </c:pt>
                <c:pt idx="63">
                  <c:v>281.64</c:v>
                </c:pt>
                <c:pt idx="64">
                  <c:v>284.88</c:v>
                </c:pt>
                <c:pt idx="65">
                  <c:v>288.73</c:v>
                </c:pt>
                <c:pt idx="66">
                  <c:v>288.73</c:v>
                </c:pt>
                <c:pt idx="67">
                  <c:v>288.73</c:v>
                </c:pt>
                <c:pt idx="68">
                  <c:v>278.47000000000003</c:v>
                </c:pt>
                <c:pt idx="69">
                  <c:v>287.05</c:v>
                </c:pt>
                <c:pt idx="70">
                  <c:v>285.29000000000002</c:v>
                </c:pt>
                <c:pt idx="71">
                  <c:v>281.52999999999997</c:v>
                </c:pt>
                <c:pt idx="72">
                  <c:v>286.98</c:v>
                </c:pt>
                <c:pt idx="73">
                  <c:v>286.98</c:v>
                </c:pt>
                <c:pt idx="74">
                  <c:v>286.98</c:v>
                </c:pt>
                <c:pt idx="75">
                  <c:v>286.02</c:v>
                </c:pt>
                <c:pt idx="76">
                  <c:v>286.02</c:v>
                </c:pt>
                <c:pt idx="77">
                  <c:v>294.37</c:v>
                </c:pt>
                <c:pt idx="78">
                  <c:v>291.99</c:v>
                </c:pt>
                <c:pt idx="79">
                  <c:v>290.52999999999997</c:v>
                </c:pt>
                <c:pt idx="80">
                  <c:v>290.52999999999997</c:v>
                </c:pt>
                <c:pt idx="81">
                  <c:v>290.52999999999997</c:v>
                </c:pt>
                <c:pt idx="82">
                  <c:v>294.10000000000002</c:v>
                </c:pt>
                <c:pt idx="83">
                  <c:v>298.29000000000002</c:v>
                </c:pt>
                <c:pt idx="84">
                  <c:v>309.33999999999997</c:v>
                </c:pt>
                <c:pt idx="85">
                  <c:v>313.41000000000003</c:v>
                </c:pt>
                <c:pt idx="86">
                  <c:v>308.87</c:v>
                </c:pt>
                <c:pt idx="87">
                  <c:v>308.87</c:v>
                </c:pt>
                <c:pt idx="88">
                  <c:v>308.87</c:v>
                </c:pt>
                <c:pt idx="89">
                  <c:v>310.62</c:v>
                </c:pt>
                <c:pt idx="90">
                  <c:v>312.05</c:v>
                </c:pt>
                <c:pt idx="91">
                  <c:v>316.01</c:v>
                </c:pt>
                <c:pt idx="92">
                  <c:v>302.52</c:v>
                </c:pt>
                <c:pt idx="93">
                  <c:v>294.26</c:v>
                </c:pt>
                <c:pt idx="94">
                  <c:v>294.26</c:v>
                </c:pt>
                <c:pt idx="95">
                  <c:v>294.26</c:v>
                </c:pt>
                <c:pt idx="96">
                  <c:v>291.61</c:v>
                </c:pt>
                <c:pt idx="97">
                  <c:v>294.47000000000003</c:v>
                </c:pt>
                <c:pt idx="98">
                  <c:v>298.57</c:v>
                </c:pt>
                <c:pt idx="99">
                  <c:v>311.70999999999998</c:v>
                </c:pt>
                <c:pt idx="100">
                  <c:v>325.48</c:v>
                </c:pt>
                <c:pt idx="101">
                  <c:v>325.48</c:v>
                </c:pt>
                <c:pt idx="102">
                  <c:v>325.48</c:v>
                </c:pt>
                <c:pt idx="103">
                  <c:v>318.60000000000002</c:v>
                </c:pt>
                <c:pt idx="104">
                  <c:v>322.70999999999998</c:v>
                </c:pt>
                <c:pt idx="105">
                  <c:v>314.31</c:v>
                </c:pt>
                <c:pt idx="106">
                  <c:v>313.19</c:v>
                </c:pt>
                <c:pt idx="107">
                  <c:v>310.73</c:v>
                </c:pt>
                <c:pt idx="108">
                  <c:v>310.73</c:v>
                </c:pt>
                <c:pt idx="109">
                  <c:v>310.73</c:v>
                </c:pt>
                <c:pt idx="110">
                  <c:v>316.56</c:v>
                </c:pt>
                <c:pt idx="111">
                  <c:v>312.64</c:v>
                </c:pt>
                <c:pt idx="112">
                  <c:v>305.20999999999998</c:v>
                </c:pt>
                <c:pt idx="113">
                  <c:v>305.74</c:v>
                </c:pt>
                <c:pt idx="114">
                  <c:v>301.64</c:v>
                </c:pt>
                <c:pt idx="115">
                  <c:v>301.64</c:v>
                </c:pt>
                <c:pt idx="116">
                  <c:v>301.64</c:v>
                </c:pt>
                <c:pt idx="117">
                  <c:v>306.19</c:v>
                </c:pt>
                <c:pt idx="118">
                  <c:v>301.95</c:v>
                </c:pt>
                <c:pt idx="119">
                  <c:v>294.29000000000002</c:v>
                </c:pt>
                <c:pt idx="120">
                  <c:v>285.08999999999997</c:v>
                </c:pt>
                <c:pt idx="121">
                  <c:v>283.25</c:v>
                </c:pt>
                <c:pt idx="122">
                  <c:v>283.25</c:v>
                </c:pt>
                <c:pt idx="123">
                  <c:v>283.25</c:v>
                </c:pt>
                <c:pt idx="124">
                  <c:v>289.89999999999998</c:v>
                </c:pt>
                <c:pt idx="125">
                  <c:v>287.60000000000002</c:v>
                </c:pt>
                <c:pt idx="126">
                  <c:v>294.24</c:v>
                </c:pt>
                <c:pt idx="127">
                  <c:v>286.75</c:v>
                </c:pt>
                <c:pt idx="128">
                  <c:v>285.5</c:v>
                </c:pt>
                <c:pt idx="129">
                  <c:v>285.5</c:v>
                </c:pt>
                <c:pt idx="130">
                  <c:v>285.5</c:v>
                </c:pt>
                <c:pt idx="131">
                  <c:v>290.26</c:v>
                </c:pt>
                <c:pt idx="132">
                  <c:v>297.99</c:v>
                </c:pt>
                <c:pt idx="133">
                  <c:v>295.10000000000002</c:v>
                </c:pt>
                <c:pt idx="134">
                  <c:v>295.89</c:v>
                </c:pt>
                <c:pt idx="135">
                  <c:v>296.38</c:v>
                </c:pt>
                <c:pt idx="136">
                  <c:v>296.38</c:v>
                </c:pt>
                <c:pt idx="137">
                  <c:v>296.38</c:v>
                </c:pt>
                <c:pt idx="138">
                  <c:v>296.38</c:v>
                </c:pt>
                <c:pt idx="139">
                  <c:v>300.14999999999998</c:v>
                </c:pt>
                <c:pt idx="140">
                  <c:v>299.17</c:v>
                </c:pt>
                <c:pt idx="141">
                  <c:v>298.67</c:v>
                </c:pt>
                <c:pt idx="142">
                  <c:v>297.89</c:v>
                </c:pt>
                <c:pt idx="143">
                  <c:v>297.89</c:v>
                </c:pt>
                <c:pt idx="144">
                  <c:v>297.89</c:v>
                </c:pt>
                <c:pt idx="145">
                  <c:v>307.56</c:v>
                </c:pt>
                <c:pt idx="146">
                  <c:v>301.66000000000003</c:v>
                </c:pt>
                <c:pt idx="147">
                  <c:v>305.06</c:v>
                </c:pt>
                <c:pt idx="148">
                  <c:v>311.72000000000003</c:v>
                </c:pt>
                <c:pt idx="149">
                  <c:v>300.31</c:v>
                </c:pt>
                <c:pt idx="150">
                  <c:v>300.31</c:v>
                </c:pt>
                <c:pt idx="151">
                  <c:v>300.31</c:v>
                </c:pt>
                <c:pt idx="152">
                  <c:v>302.55</c:v>
                </c:pt>
                <c:pt idx="153">
                  <c:v>305.07</c:v>
                </c:pt>
                <c:pt idx="154">
                  <c:v>299.67</c:v>
                </c:pt>
                <c:pt idx="155">
                  <c:v>295.73</c:v>
                </c:pt>
                <c:pt idx="156">
                  <c:v>299.08</c:v>
                </c:pt>
                <c:pt idx="157">
                  <c:v>299.08</c:v>
                </c:pt>
                <c:pt idx="158">
                  <c:v>299.08</c:v>
                </c:pt>
                <c:pt idx="159">
                  <c:v>300.83</c:v>
                </c:pt>
                <c:pt idx="160">
                  <c:v>298.95999999999998</c:v>
                </c:pt>
                <c:pt idx="161">
                  <c:v>297.74</c:v>
                </c:pt>
                <c:pt idx="162">
                  <c:v>303.95999999999998</c:v>
                </c:pt>
                <c:pt idx="163">
                  <c:v>300.20999999999998</c:v>
                </c:pt>
                <c:pt idx="164">
                  <c:v>300.20999999999998</c:v>
                </c:pt>
                <c:pt idx="165">
                  <c:v>300.20999999999998</c:v>
                </c:pt>
                <c:pt idx="166">
                  <c:v>306.82</c:v>
                </c:pt>
                <c:pt idx="167">
                  <c:v>300.94</c:v>
                </c:pt>
                <c:pt idx="168">
                  <c:v>305.58</c:v>
                </c:pt>
                <c:pt idx="169">
                  <c:v>304.79000000000002</c:v>
                </c:pt>
                <c:pt idx="170">
                  <c:v>315.43</c:v>
                </c:pt>
                <c:pt idx="171">
                  <c:v>315.43</c:v>
                </c:pt>
                <c:pt idx="172">
                  <c:v>315.43</c:v>
                </c:pt>
                <c:pt idx="173">
                  <c:v>318.36</c:v>
                </c:pt>
                <c:pt idx="174">
                  <c:v>321.83999999999997</c:v>
                </c:pt>
                <c:pt idx="175">
                  <c:v>327.82</c:v>
                </c:pt>
                <c:pt idx="176">
                  <c:v>324.16000000000003</c:v>
                </c:pt>
                <c:pt idx="177">
                  <c:v>314.69</c:v>
                </c:pt>
                <c:pt idx="178">
                  <c:v>314.69</c:v>
                </c:pt>
                <c:pt idx="179">
                  <c:v>314.69</c:v>
                </c:pt>
                <c:pt idx="180">
                  <c:v>321.14999999999998</c:v>
                </c:pt>
                <c:pt idx="181">
                  <c:v>324</c:v>
                </c:pt>
                <c:pt idx="182">
                  <c:v>316.97000000000003</c:v>
                </c:pt>
                <c:pt idx="183">
                  <c:v>312.81</c:v>
                </c:pt>
                <c:pt idx="184">
                  <c:v>308.64999999999998</c:v>
                </c:pt>
                <c:pt idx="185">
                  <c:v>308.64999999999998</c:v>
                </c:pt>
                <c:pt idx="186">
                  <c:v>308.64999999999998</c:v>
                </c:pt>
                <c:pt idx="187">
                  <c:v>314.01</c:v>
                </c:pt>
                <c:pt idx="188">
                  <c:v>312.55</c:v>
                </c:pt>
                <c:pt idx="189">
                  <c:v>299.52999999999997</c:v>
                </c:pt>
                <c:pt idx="190">
                  <c:v>288.35000000000002</c:v>
                </c:pt>
                <c:pt idx="191">
                  <c:v>296.73</c:v>
                </c:pt>
                <c:pt idx="192">
                  <c:v>296.73</c:v>
                </c:pt>
                <c:pt idx="193">
                  <c:v>296.73</c:v>
                </c:pt>
                <c:pt idx="194">
                  <c:v>302.66000000000003</c:v>
                </c:pt>
                <c:pt idx="195">
                  <c:v>301.27</c:v>
                </c:pt>
                <c:pt idx="196">
                  <c:v>311.85000000000002</c:v>
                </c:pt>
                <c:pt idx="197">
                  <c:v>310.87</c:v>
                </c:pt>
                <c:pt idx="198">
                  <c:v>314.60000000000002</c:v>
                </c:pt>
                <c:pt idx="199">
                  <c:v>314.60000000000002</c:v>
                </c:pt>
                <c:pt idx="200">
                  <c:v>314.60000000000002</c:v>
                </c:pt>
                <c:pt idx="201">
                  <c:v>315.8</c:v>
                </c:pt>
                <c:pt idx="202">
                  <c:v>318.82</c:v>
                </c:pt>
                <c:pt idx="203">
                  <c:v>319.77999999999997</c:v>
                </c:pt>
                <c:pt idx="204">
                  <c:v>320.55</c:v>
                </c:pt>
                <c:pt idx="205">
                  <c:v>328.77</c:v>
                </c:pt>
                <c:pt idx="206">
                  <c:v>328.77</c:v>
                </c:pt>
                <c:pt idx="207">
                  <c:v>328.77</c:v>
                </c:pt>
                <c:pt idx="208">
                  <c:v>329.19</c:v>
                </c:pt>
                <c:pt idx="209">
                  <c:v>336.31</c:v>
                </c:pt>
                <c:pt idx="210">
                  <c:v>332.71</c:v>
                </c:pt>
                <c:pt idx="211">
                  <c:v>334.19</c:v>
                </c:pt>
                <c:pt idx="212">
                  <c:v>335.04</c:v>
                </c:pt>
                <c:pt idx="213">
                  <c:v>335.04</c:v>
                </c:pt>
                <c:pt idx="214">
                  <c:v>335.04</c:v>
                </c:pt>
                <c:pt idx="215">
                  <c:v>339.97</c:v>
                </c:pt>
                <c:pt idx="216">
                  <c:v>336.98</c:v>
                </c:pt>
                <c:pt idx="217">
                  <c:v>341.49</c:v>
                </c:pt>
                <c:pt idx="218">
                  <c:v>341.49</c:v>
                </c:pt>
                <c:pt idx="219">
                  <c:v>338.23</c:v>
                </c:pt>
                <c:pt idx="220">
                  <c:v>338.23</c:v>
                </c:pt>
                <c:pt idx="221">
                  <c:v>338.23</c:v>
                </c:pt>
                <c:pt idx="222">
                  <c:v>334.7</c:v>
                </c:pt>
                <c:pt idx="223">
                  <c:v>338.99</c:v>
                </c:pt>
                <c:pt idx="224">
                  <c:v>332.2</c:v>
                </c:pt>
                <c:pt idx="225">
                  <c:v>327.14999999999998</c:v>
                </c:pt>
                <c:pt idx="226">
                  <c:v>324.82</c:v>
                </c:pt>
                <c:pt idx="227">
                  <c:v>324.82</c:v>
                </c:pt>
                <c:pt idx="228">
                  <c:v>324.82</c:v>
                </c:pt>
                <c:pt idx="229">
                  <c:v>320.02</c:v>
                </c:pt>
                <c:pt idx="230">
                  <c:v>318.29000000000002</c:v>
                </c:pt>
                <c:pt idx="231">
                  <c:v>317.45</c:v>
                </c:pt>
                <c:pt idx="232">
                  <c:v>326.58999999999997</c:v>
                </c:pt>
                <c:pt idx="233">
                  <c:v>332.75</c:v>
                </c:pt>
                <c:pt idx="234">
                  <c:v>332.75</c:v>
                </c:pt>
                <c:pt idx="235">
                  <c:v>332.75</c:v>
                </c:pt>
                <c:pt idx="236">
                  <c:v>325.27999999999997</c:v>
                </c:pt>
                <c:pt idx="237">
                  <c:v>334.22</c:v>
                </c:pt>
                <c:pt idx="238">
                  <c:v>334.74</c:v>
                </c:pt>
                <c:pt idx="239">
                  <c:v>333.17</c:v>
                </c:pt>
                <c:pt idx="240">
                  <c:v>334.92</c:v>
                </c:pt>
                <c:pt idx="241">
                  <c:v>334.92</c:v>
                </c:pt>
                <c:pt idx="242">
                  <c:v>334.92</c:v>
                </c:pt>
                <c:pt idx="243">
                  <c:v>344.62</c:v>
                </c:pt>
                <c:pt idx="244">
                  <c:v>350.36</c:v>
                </c:pt>
                <c:pt idx="245">
                  <c:v>349.28</c:v>
                </c:pt>
                <c:pt idx="246">
                  <c:v>354.09</c:v>
                </c:pt>
                <c:pt idx="247">
                  <c:v>353.39</c:v>
                </c:pt>
                <c:pt idx="248">
                  <c:v>353.39</c:v>
                </c:pt>
                <c:pt idx="249">
                  <c:v>353.39</c:v>
                </c:pt>
                <c:pt idx="250">
                  <c:v>353.39</c:v>
                </c:pt>
                <c:pt idx="251">
                  <c:v>354.83</c:v>
                </c:pt>
                <c:pt idx="252">
                  <c:v>357.83</c:v>
                </c:pt>
                <c:pt idx="253">
                  <c:v>358.32</c:v>
                </c:pt>
                <c:pt idx="254">
                  <c:v>353.96</c:v>
                </c:pt>
                <c:pt idx="255">
                  <c:v>353.96</c:v>
                </c:pt>
                <c:pt idx="256">
                  <c:v>353.96</c:v>
                </c:pt>
                <c:pt idx="257">
                  <c:v>353.96</c:v>
                </c:pt>
                <c:pt idx="258">
                  <c:v>346.29</c:v>
                </c:pt>
                <c:pt idx="259">
                  <c:v>344.47</c:v>
                </c:pt>
                <c:pt idx="260">
                  <c:v>347.12</c:v>
                </c:pt>
                <c:pt idx="261">
                  <c:v>351.95</c:v>
                </c:pt>
                <c:pt idx="262">
                  <c:v>351.95</c:v>
                </c:pt>
                <c:pt idx="263">
                  <c:v>351.95</c:v>
                </c:pt>
                <c:pt idx="264">
                  <c:v>358.66</c:v>
                </c:pt>
                <c:pt idx="265">
                  <c:v>357.43</c:v>
                </c:pt>
                <c:pt idx="266">
                  <c:v>370.47</c:v>
                </c:pt>
                <c:pt idx="267">
                  <c:v>369.67</c:v>
                </c:pt>
                <c:pt idx="268">
                  <c:v>374.49</c:v>
                </c:pt>
                <c:pt idx="269">
                  <c:v>374.49</c:v>
                </c:pt>
                <c:pt idx="270">
                  <c:v>374.49</c:v>
                </c:pt>
                <c:pt idx="271">
                  <c:v>374.49</c:v>
                </c:pt>
                <c:pt idx="272">
                  <c:v>367.46</c:v>
                </c:pt>
                <c:pt idx="273">
                  <c:v>368.37</c:v>
                </c:pt>
                <c:pt idx="274">
                  <c:v>376.13</c:v>
                </c:pt>
                <c:pt idx="275">
                  <c:v>383.45</c:v>
                </c:pt>
                <c:pt idx="276">
                  <c:v>383.45</c:v>
                </c:pt>
                <c:pt idx="277">
                  <c:v>383.45</c:v>
                </c:pt>
                <c:pt idx="278">
                  <c:v>381.78</c:v>
                </c:pt>
                <c:pt idx="279">
                  <c:v>385.2</c:v>
                </c:pt>
                <c:pt idx="280">
                  <c:v>390.7</c:v>
                </c:pt>
                <c:pt idx="281">
                  <c:v>393.18</c:v>
                </c:pt>
                <c:pt idx="282">
                  <c:v>394.14</c:v>
                </c:pt>
                <c:pt idx="283">
                  <c:v>394.14</c:v>
                </c:pt>
                <c:pt idx="284">
                  <c:v>394.14</c:v>
                </c:pt>
                <c:pt idx="285">
                  <c:v>401.02</c:v>
                </c:pt>
                <c:pt idx="286">
                  <c:v>400.06</c:v>
                </c:pt>
                <c:pt idx="287">
                  <c:v>390.14</c:v>
                </c:pt>
                <c:pt idx="288">
                  <c:v>394.78</c:v>
                </c:pt>
                <c:pt idx="289">
                  <c:v>474.99</c:v>
                </c:pt>
                <c:pt idx="290">
                  <c:v>474.99</c:v>
                </c:pt>
                <c:pt idx="291">
                  <c:v>474.99</c:v>
                </c:pt>
                <c:pt idx="292">
                  <c:v>459.41</c:v>
                </c:pt>
                <c:pt idx="293">
                  <c:v>454.72</c:v>
                </c:pt>
                <c:pt idx="294">
                  <c:v>469.59</c:v>
                </c:pt>
                <c:pt idx="295">
                  <c:v>470</c:v>
                </c:pt>
                <c:pt idx="296">
                  <c:v>468.11</c:v>
                </c:pt>
                <c:pt idx="297">
                  <c:v>468.11</c:v>
                </c:pt>
                <c:pt idx="298">
                  <c:v>468.11</c:v>
                </c:pt>
                <c:pt idx="299">
                  <c:v>468.9</c:v>
                </c:pt>
                <c:pt idx="300">
                  <c:v>460.12</c:v>
                </c:pt>
                <c:pt idx="301">
                  <c:v>473.28</c:v>
                </c:pt>
                <c:pt idx="302">
                  <c:v>484.03</c:v>
                </c:pt>
                <c:pt idx="303">
                  <c:v>473.32</c:v>
                </c:pt>
                <c:pt idx="304">
                  <c:v>473.32</c:v>
                </c:pt>
                <c:pt idx="305">
                  <c:v>473.32</c:v>
                </c:pt>
                <c:pt idx="306">
                  <c:v>473.32</c:v>
                </c:pt>
                <c:pt idx="307">
                  <c:v>471.75</c:v>
                </c:pt>
                <c:pt idx="308">
                  <c:v>468.03</c:v>
                </c:pt>
                <c:pt idx="309">
                  <c:v>486.13</c:v>
                </c:pt>
                <c:pt idx="310">
                  <c:v>484.03</c:v>
                </c:pt>
                <c:pt idx="311">
                  <c:v>484.03</c:v>
                </c:pt>
                <c:pt idx="312">
                  <c:v>484.03</c:v>
                </c:pt>
                <c:pt idx="313">
                  <c:v>481.74</c:v>
                </c:pt>
                <c:pt idx="314">
                  <c:v>487.05</c:v>
                </c:pt>
                <c:pt idx="315">
                  <c:v>484.02</c:v>
                </c:pt>
                <c:pt idx="316">
                  <c:v>490.13</c:v>
                </c:pt>
                <c:pt idx="317">
                  <c:v>502.3</c:v>
                </c:pt>
                <c:pt idx="318">
                  <c:v>502.3</c:v>
                </c:pt>
                <c:pt idx="319">
                  <c:v>502.3</c:v>
                </c:pt>
                <c:pt idx="320">
                  <c:v>498.19</c:v>
                </c:pt>
                <c:pt idx="321">
                  <c:v>490.22</c:v>
                </c:pt>
                <c:pt idx="322">
                  <c:v>496.09</c:v>
                </c:pt>
                <c:pt idx="323">
                  <c:v>512.19000000000005</c:v>
                </c:pt>
                <c:pt idx="324">
                  <c:v>505.95</c:v>
                </c:pt>
                <c:pt idx="325">
                  <c:v>505.95</c:v>
                </c:pt>
                <c:pt idx="326">
                  <c:v>505.95</c:v>
                </c:pt>
                <c:pt idx="327">
                  <c:v>483.59</c:v>
                </c:pt>
                <c:pt idx="328">
                  <c:v>499.75</c:v>
                </c:pt>
                <c:pt idx="329">
                  <c:v>495.57</c:v>
                </c:pt>
                <c:pt idx="330">
                  <c:v>491.83</c:v>
                </c:pt>
                <c:pt idx="331">
                  <c:v>484.1</c:v>
                </c:pt>
                <c:pt idx="332">
                  <c:v>484.1</c:v>
                </c:pt>
                <c:pt idx="333">
                  <c:v>484.1</c:v>
                </c:pt>
                <c:pt idx="334">
                  <c:v>496.98</c:v>
                </c:pt>
                <c:pt idx="335">
                  <c:v>496.24</c:v>
                </c:pt>
                <c:pt idx="336">
                  <c:v>505.52</c:v>
                </c:pt>
                <c:pt idx="337">
                  <c:v>507.76</c:v>
                </c:pt>
                <c:pt idx="338">
                  <c:v>509.58</c:v>
                </c:pt>
                <c:pt idx="339">
                  <c:v>509.58</c:v>
                </c:pt>
                <c:pt idx="340">
                  <c:v>509.58</c:v>
                </c:pt>
                <c:pt idx="341">
                  <c:v>503.02</c:v>
                </c:pt>
                <c:pt idx="342">
                  <c:v>495.89</c:v>
                </c:pt>
                <c:pt idx="343">
                  <c:v>493.86</c:v>
                </c:pt>
                <c:pt idx="344">
                  <c:v>485.58</c:v>
                </c:pt>
                <c:pt idx="345">
                  <c:v>485.58</c:v>
                </c:pt>
                <c:pt idx="346">
                  <c:v>485.58</c:v>
                </c:pt>
                <c:pt idx="347">
                  <c:v>485.58</c:v>
                </c:pt>
                <c:pt idx="348">
                  <c:v>491.35</c:v>
                </c:pt>
                <c:pt idx="349">
                  <c:v>497.37</c:v>
                </c:pt>
                <c:pt idx="350">
                  <c:v>506.74</c:v>
                </c:pt>
                <c:pt idx="351">
                  <c:v>510.92</c:v>
                </c:pt>
                <c:pt idx="352">
                  <c:v>527.34</c:v>
                </c:pt>
                <c:pt idx="353">
                  <c:v>527.34</c:v>
                </c:pt>
                <c:pt idx="354">
                  <c:v>527.34</c:v>
                </c:pt>
                <c:pt idx="355">
                  <c:v>519.25</c:v>
                </c:pt>
                <c:pt idx="356">
                  <c:v>516.9</c:v>
                </c:pt>
                <c:pt idx="357">
                  <c:v>519.83000000000004</c:v>
                </c:pt>
                <c:pt idx="358">
                  <c:v>523.16</c:v>
                </c:pt>
                <c:pt idx="359">
                  <c:v>511.9</c:v>
                </c:pt>
                <c:pt idx="360">
                  <c:v>511.9</c:v>
                </c:pt>
                <c:pt idx="361">
                  <c:v>511.9</c:v>
                </c:pt>
                <c:pt idx="362">
                  <c:v>500.23</c:v>
                </c:pt>
                <c:pt idx="363">
                  <c:v>499.76</c:v>
                </c:pt>
                <c:pt idx="364">
                  <c:v>494.17</c:v>
                </c:pt>
                <c:pt idx="365">
                  <c:v>501.8</c:v>
                </c:pt>
                <c:pt idx="366">
                  <c:v>481.07</c:v>
                </c:pt>
                <c:pt idx="367">
                  <c:v>481.07</c:v>
                </c:pt>
                <c:pt idx="368">
                  <c:v>481.07</c:v>
                </c:pt>
                <c:pt idx="369">
                  <c:v>481.73</c:v>
                </c:pt>
                <c:pt idx="370">
                  <c:v>496.1</c:v>
                </c:pt>
                <c:pt idx="371">
                  <c:v>493.5</c:v>
                </c:pt>
                <c:pt idx="372">
                  <c:v>441.38</c:v>
                </c:pt>
                <c:pt idx="373">
                  <c:v>443.29</c:v>
                </c:pt>
                <c:pt idx="374">
                  <c:v>443.29</c:v>
                </c:pt>
                <c:pt idx="375">
                  <c:v>443.29</c:v>
                </c:pt>
                <c:pt idx="376">
                  <c:v>432.62</c:v>
                </c:pt>
                <c:pt idx="377">
                  <c:v>430.17</c:v>
                </c:pt>
                <c:pt idx="378">
                  <c:v>439.19</c:v>
                </c:pt>
                <c:pt idx="379">
                  <c:v>441.68</c:v>
                </c:pt>
                <c:pt idx="380">
                  <c:v>451.96</c:v>
                </c:pt>
                <c:pt idx="381">
                  <c:v>451.96</c:v>
                </c:pt>
                <c:pt idx="382">
                  <c:v>451.96</c:v>
                </c:pt>
                <c:pt idx="383">
                  <c:v>465.68</c:v>
                </c:pt>
                <c:pt idx="384">
                  <c:v>468.24</c:v>
                </c:pt>
                <c:pt idx="385">
                  <c:v>472.6</c:v>
                </c:pt>
                <c:pt idx="386">
                  <c:v>475.42</c:v>
                </c:pt>
                <c:pt idx="387">
                  <c:v>476.2</c:v>
                </c:pt>
                <c:pt idx="388">
                  <c:v>476.2</c:v>
                </c:pt>
                <c:pt idx="389">
                  <c:v>476.2</c:v>
                </c:pt>
                <c:pt idx="390">
                  <c:v>468.01</c:v>
                </c:pt>
                <c:pt idx="391">
                  <c:v>471.85</c:v>
                </c:pt>
                <c:pt idx="392">
                  <c:v>481.54</c:v>
                </c:pt>
                <c:pt idx="393">
                  <c:v>473.23</c:v>
                </c:pt>
                <c:pt idx="394">
                  <c:v>471.91</c:v>
                </c:pt>
                <c:pt idx="395">
                  <c:v>471.91</c:v>
                </c:pt>
                <c:pt idx="396">
                  <c:v>471.91</c:v>
                </c:pt>
                <c:pt idx="397">
                  <c:v>468.84</c:v>
                </c:pt>
                <c:pt idx="398">
                  <c:v>464.63</c:v>
                </c:pt>
                <c:pt idx="399">
                  <c:v>467.78</c:v>
                </c:pt>
                <c:pt idx="400">
                  <c:v>465.78</c:v>
                </c:pt>
                <c:pt idx="401">
                  <c:v>478.22</c:v>
                </c:pt>
                <c:pt idx="402">
                  <c:v>478.22</c:v>
                </c:pt>
                <c:pt idx="403">
                  <c:v>478.22</c:v>
                </c:pt>
                <c:pt idx="404">
                  <c:v>478.22</c:v>
                </c:pt>
                <c:pt idx="405">
                  <c:v>479.92</c:v>
                </c:pt>
                <c:pt idx="406">
                  <c:v>474.36</c:v>
                </c:pt>
                <c:pt idx="407">
                  <c:v>467.05</c:v>
                </c:pt>
                <c:pt idx="408">
                  <c:v>466.83</c:v>
                </c:pt>
                <c:pt idx="409">
                  <c:v>466.83</c:v>
                </c:pt>
                <c:pt idx="410">
                  <c:v>466.83</c:v>
                </c:pt>
                <c:pt idx="411">
                  <c:v>477.49</c:v>
                </c:pt>
                <c:pt idx="412">
                  <c:v>476.99</c:v>
                </c:pt>
                <c:pt idx="413">
                  <c:v>495.06</c:v>
                </c:pt>
                <c:pt idx="414">
                  <c:v>493.76</c:v>
                </c:pt>
                <c:pt idx="415">
                  <c:v>492.96</c:v>
                </c:pt>
                <c:pt idx="416">
                  <c:v>492.96</c:v>
                </c:pt>
                <c:pt idx="417">
                  <c:v>492.96</c:v>
                </c:pt>
                <c:pt idx="418">
                  <c:v>502.6</c:v>
                </c:pt>
                <c:pt idx="419">
                  <c:v>507.47</c:v>
                </c:pt>
                <c:pt idx="420">
                  <c:v>508.84</c:v>
                </c:pt>
                <c:pt idx="421">
                  <c:v>504.1</c:v>
                </c:pt>
                <c:pt idx="422">
                  <c:v>504.16</c:v>
                </c:pt>
                <c:pt idx="423">
                  <c:v>504.16</c:v>
                </c:pt>
                <c:pt idx="424">
                  <c:v>504.16</c:v>
                </c:pt>
                <c:pt idx="425">
                  <c:v>506.63</c:v>
                </c:pt>
                <c:pt idx="426">
                  <c:v>499.49</c:v>
                </c:pt>
                <c:pt idx="427">
                  <c:v>499.49</c:v>
                </c:pt>
                <c:pt idx="428">
                  <c:v>501.7</c:v>
                </c:pt>
                <c:pt idx="429">
                  <c:v>494.78</c:v>
                </c:pt>
                <c:pt idx="430">
                  <c:v>494.78</c:v>
                </c:pt>
                <c:pt idx="431">
                  <c:v>494.78</c:v>
                </c:pt>
                <c:pt idx="432">
                  <c:v>498.91</c:v>
                </c:pt>
                <c:pt idx="433">
                  <c:v>510.6</c:v>
                </c:pt>
                <c:pt idx="434">
                  <c:v>513.12</c:v>
                </c:pt>
                <c:pt idx="435">
                  <c:v>519.55999999999995</c:v>
                </c:pt>
                <c:pt idx="436">
                  <c:v>504.22</c:v>
                </c:pt>
                <c:pt idx="437">
                  <c:v>504.22</c:v>
                </c:pt>
                <c:pt idx="438">
                  <c:v>504.22</c:v>
                </c:pt>
                <c:pt idx="439">
                  <c:v>504.68</c:v>
                </c:pt>
                <c:pt idx="440">
                  <c:v>509.5</c:v>
                </c:pt>
                <c:pt idx="441">
                  <c:v>509.96</c:v>
                </c:pt>
                <c:pt idx="442">
                  <c:v>509.96</c:v>
                </c:pt>
                <c:pt idx="443">
                  <c:v>539.91</c:v>
                </c:pt>
                <c:pt idx="444">
                  <c:v>539.91</c:v>
                </c:pt>
                <c:pt idx="445">
                  <c:v>539.91</c:v>
                </c:pt>
                <c:pt idx="446">
                  <c:v>529.32000000000005</c:v>
                </c:pt>
                <c:pt idx="447">
                  <c:v>530</c:v>
                </c:pt>
                <c:pt idx="448">
                  <c:v>534.69000000000005</c:v>
                </c:pt>
                <c:pt idx="449">
                  <c:v>512.70000000000005</c:v>
                </c:pt>
                <c:pt idx="450">
                  <c:v>498.87</c:v>
                </c:pt>
                <c:pt idx="451">
                  <c:v>498.87</c:v>
                </c:pt>
                <c:pt idx="452">
                  <c:v>498.87</c:v>
                </c:pt>
                <c:pt idx="453">
                  <c:v>496.16</c:v>
                </c:pt>
                <c:pt idx="454">
                  <c:v>489.79</c:v>
                </c:pt>
                <c:pt idx="455">
                  <c:v>461.99</c:v>
                </c:pt>
                <c:pt idx="456">
                  <c:v>475.85</c:v>
                </c:pt>
                <c:pt idx="457">
                  <c:v>476.79</c:v>
                </c:pt>
                <c:pt idx="458">
                  <c:v>476.79</c:v>
                </c:pt>
                <c:pt idx="459">
                  <c:v>476.79</c:v>
                </c:pt>
                <c:pt idx="460">
                  <c:v>487.4</c:v>
                </c:pt>
                <c:pt idx="461">
                  <c:v>488.69</c:v>
                </c:pt>
                <c:pt idx="462">
                  <c:v>461.27</c:v>
                </c:pt>
                <c:pt idx="463">
                  <c:v>453.41</c:v>
                </c:pt>
                <c:pt idx="464">
                  <c:v>465.7</c:v>
                </c:pt>
                <c:pt idx="465">
                  <c:v>465.7</c:v>
                </c:pt>
                <c:pt idx="466">
                  <c:v>465.7</c:v>
                </c:pt>
                <c:pt idx="467">
                  <c:v>465.71</c:v>
                </c:pt>
                <c:pt idx="468">
                  <c:v>463.19</c:v>
                </c:pt>
                <c:pt idx="469">
                  <c:v>474.83</c:v>
                </c:pt>
                <c:pt idx="470">
                  <c:v>497.74</c:v>
                </c:pt>
                <c:pt idx="471">
                  <c:v>488.14</c:v>
                </c:pt>
                <c:pt idx="472">
                  <c:v>488.14</c:v>
                </c:pt>
                <c:pt idx="473">
                  <c:v>488.14</c:v>
                </c:pt>
                <c:pt idx="474">
                  <c:v>475.73</c:v>
                </c:pt>
                <c:pt idx="475">
                  <c:v>494.09</c:v>
                </c:pt>
                <c:pt idx="476">
                  <c:v>488.92</c:v>
                </c:pt>
                <c:pt idx="477">
                  <c:v>509.63</c:v>
                </c:pt>
                <c:pt idx="478">
                  <c:v>517.77</c:v>
                </c:pt>
                <c:pt idx="479">
                  <c:v>517.77</c:v>
                </c:pt>
                <c:pt idx="480">
                  <c:v>517.77</c:v>
                </c:pt>
                <c:pt idx="481">
                  <c:v>515.95000000000005</c:v>
                </c:pt>
                <c:pt idx="482">
                  <c:v>528.54</c:v>
                </c:pt>
                <c:pt idx="483">
                  <c:v>526.76</c:v>
                </c:pt>
                <c:pt idx="484">
                  <c:v>537.33000000000004</c:v>
                </c:pt>
                <c:pt idx="485">
                  <c:v>527.41999999999996</c:v>
                </c:pt>
                <c:pt idx="486">
                  <c:v>527.41999999999996</c:v>
                </c:pt>
                <c:pt idx="487">
                  <c:v>527.41999999999996</c:v>
                </c:pt>
                <c:pt idx="488">
                  <c:v>529.28</c:v>
                </c:pt>
                <c:pt idx="489">
                  <c:v>526.73</c:v>
                </c:pt>
                <c:pt idx="490">
                  <c:v>535.16</c:v>
                </c:pt>
                <c:pt idx="491">
                  <c:v>531.92999999999995</c:v>
                </c:pt>
                <c:pt idx="492">
                  <c:v>528</c:v>
                </c:pt>
                <c:pt idx="493">
                  <c:v>528</c:v>
                </c:pt>
                <c:pt idx="494">
                  <c:v>528</c:v>
                </c:pt>
                <c:pt idx="495">
                  <c:v>521.12</c:v>
                </c:pt>
                <c:pt idx="496">
                  <c:v>519.1</c:v>
                </c:pt>
                <c:pt idx="497">
                  <c:v>516.78</c:v>
                </c:pt>
                <c:pt idx="498">
                  <c:v>518.22</c:v>
                </c:pt>
                <c:pt idx="499">
                  <c:v>521.30999999999995</c:v>
                </c:pt>
                <c:pt idx="500">
                  <c:v>521.30999999999995</c:v>
                </c:pt>
                <c:pt idx="501">
                  <c:v>521.30999999999995</c:v>
                </c:pt>
                <c:pt idx="502">
                  <c:v>521.30999999999995</c:v>
                </c:pt>
                <c:pt idx="503">
                  <c:v>511.76</c:v>
                </c:pt>
                <c:pt idx="504">
                  <c:v>512.74</c:v>
                </c:pt>
                <c:pt idx="505">
                  <c:v>516.86</c:v>
                </c:pt>
                <c:pt idx="506">
                  <c:v>500.27</c:v>
                </c:pt>
                <c:pt idx="507">
                  <c:v>500.27</c:v>
                </c:pt>
                <c:pt idx="508">
                  <c:v>500.27</c:v>
                </c:pt>
                <c:pt idx="509">
                  <c:v>504.79</c:v>
                </c:pt>
                <c:pt idx="510">
                  <c:v>504.79</c:v>
                </c:pt>
                <c:pt idx="511">
                  <c:v>511.83</c:v>
                </c:pt>
                <c:pt idx="512">
                  <c:v>525.6</c:v>
                </c:pt>
                <c:pt idx="513">
                  <c:v>524.62</c:v>
                </c:pt>
                <c:pt idx="514">
                  <c:v>524.62</c:v>
                </c:pt>
                <c:pt idx="515">
                  <c:v>524.62</c:v>
                </c:pt>
                <c:pt idx="516">
                  <c:v>533.28</c:v>
                </c:pt>
                <c:pt idx="517">
                  <c:v>536.31500000000005</c:v>
                </c:pt>
                <c:pt idx="518">
                  <c:v>537.95000000000005</c:v>
                </c:pt>
                <c:pt idx="519">
                  <c:v>559.1</c:v>
                </c:pt>
                <c:pt idx="520">
                  <c:v>561.35</c:v>
                </c:pt>
                <c:pt idx="521">
                  <c:v>561.35</c:v>
                </c:pt>
                <c:pt idx="522">
                  <c:v>561.35</c:v>
                </c:pt>
                <c:pt idx="523">
                  <c:v>564.41</c:v>
                </c:pt>
                <c:pt idx="524">
                  <c:v>563.33000000000004</c:v>
                </c:pt>
                <c:pt idx="525">
                  <c:v>568.30999999999995</c:v>
                </c:pt>
                <c:pt idx="526">
                  <c:v>567.84</c:v>
                </c:pt>
                <c:pt idx="527">
                  <c:v>567.36</c:v>
                </c:pt>
                <c:pt idx="528">
                  <c:v>567.36</c:v>
                </c:pt>
                <c:pt idx="529">
                  <c:v>567.36</c:v>
                </c:pt>
                <c:pt idx="530">
                  <c:v>572.44000000000005</c:v>
                </c:pt>
                <c:pt idx="531">
                  <c:v>576.47</c:v>
                </c:pt>
                <c:pt idx="532">
                  <c:v>572.80999999999995</c:v>
                </c:pt>
                <c:pt idx="533">
                  <c:v>582.77</c:v>
                </c:pt>
                <c:pt idx="534">
                  <c:v>595.94000000000005</c:v>
                </c:pt>
                <c:pt idx="535">
                  <c:v>595.94000000000005</c:v>
                </c:pt>
                <c:pt idx="536">
                  <c:v>595.94000000000005</c:v>
                </c:pt>
                <c:pt idx="537">
                  <c:v>584.78</c:v>
                </c:pt>
                <c:pt idx="538">
                  <c:v>592.89</c:v>
                </c:pt>
                <c:pt idx="539">
                  <c:v>590.51</c:v>
                </c:pt>
                <c:pt idx="540">
                  <c:v>583.83000000000004</c:v>
                </c:pt>
                <c:pt idx="541">
                  <c:v>589.95000000000005</c:v>
                </c:pt>
                <c:pt idx="542">
                  <c:v>589.95000000000005</c:v>
                </c:pt>
                <c:pt idx="543">
                  <c:v>589.95000000000005</c:v>
                </c:pt>
                <c:pt idx="544">
                  <c:v>590.41999999999996</c:v>
                </c:pt>
                <c:pt idx="545">
                  <c:v>586.27</c:v>
                </c:pt>
                <c:pt idx="546">
                  <c:v>576.79</c:v>
                </c:pt>
                <c:pt idx="547">
                  <c:v>576.92999999999995</c:v>
                </c:pt>
                <c:pt idx="548">
                  <c:v>576.47</c:v>
                </c:pt>
                <c:pt idx="549">
                  <c:v>576.47</c:v>
                </c:pt>
                <c:pt idx="550">
                  <c:v>576.47</c:v>
                </c:pt>
                <c:pt idx="551">
                  <c:v>575.16</c:v>
                </c:pt>
                <c:pt idx="552">
                  <c:v>582.01</c:v>
                </c:pt>
                <c:pt idx="553">
                  <c:v>563.69000000000005</c:v>
                </c:pt>
                <c:pt idx="554">
                  <c:v>567.78</c:v>
                </c:pt>
                <c:pt idx="555">
                  <c:v>573.25</c:v>
                </c:pt>
                <c:pt idx="556">
                  <c:v>573.25</c:v>
                </c:pt>
                <c:pt idx="557">
                  <c:v>573.25</c:v>
                </c:pt>
                <c:pt idx="558">
                  <c:v>578.16</c:v>
                </c:pt>
                <c:pt idx="559">
                  <c:v>593.28</c:v>
                </c:pt>
                <c:pt idx="560">
                  <c:v>591.79999999999995</c:v>
                </c:pt>
                <c:pt idx="561">
                  <c:v>567.58000000000004</c:v>
                </c:pt>
                <c:pt idx="562">
                  <c:v>567.16</c:v>
                </c:pt>
                <c:pt idx="563">
                  <c:v>567.16</c:v>
                </c:pt>
                <c:pt idx="564">
                  <c:v>567.16</c:v>
                </c:pt>
                <c:pt idx="565">
                  <c:v>560.67999999999995</c:v>
                </c:pt>
                <c:pt idx="566">
                  <c:v>572.42999999999995</c:v>
                </c:pt>
                <c:pt idx="567">
                  <c:v>572.04999999999995</c:v>
                </c:pt>
                <c:pt idx="568">
                  <c:v>591.70000000000005</c:v>
                </c:pt>
                <c:pt idx="569">
                  <c:v>589.34</c:v>
                </c:pt>
                <c:pt idx="570">
                  <c:v>589.34</c:v>
                </c:pt>
                <c:pt idx="571">
                  <c:v>589.34</c:v>
                </c:pt>
                <c:pt idx="572">
                  <c:v>583.16999999999996</c:v>
                </c:pt>
                <c:pt idx="573">
                  <c:v>584.82000000000005</c:v>
                </c:pt>
                <c:pt idx="574">
                  <c:v>580</c:v>
                </c:pt>
                <c:pt idx="575">
                  <c:v>577.16</c:v>
                </c:pt>
                <c:pt idx="576">
                  <c:v>554.08000000000004</c:v>
                </c:pt>
                <c:pt idx="577">
                  <c:v>554.08000000000004</c:v>
                </c:pt>
                <c:pt idx="578">
                  <c:v>554.08000000000004</c:v>
                </c:pt>
                <c:pt idx="579">
                  <c:v>554.4</c:v>
                </c:pt>
                <c:pt idx="580">
                  <c:v>561.09</c:v>
                </c:pt>
                <c:pt idx="581">
                  <c:v>565.52</c:v>
                </c:pt>
                <c:pt idx="582">
                  <c:v>563.09</c:v>
                </c:pt>
                <c:pt idx="583">
                  <c:v>559.14</c:v>
                </c:pt>
                <c:pt idx="584">
                  <c:v>559.14</c:v>
                </c:pt>
                <c:pt idx="585">
                  <c:v>559.14</c:v>
                </c:pt>
                <c:pt idx="586">
                  <c:v>565.11</c:v>
                </c:pt>
                <c:pt idx="587">
                  <c:v>573.54</c:v>
                </c:pt>
                <c:pt idx="588">
                  <c:v>569.20000000000005</c:v>
                </c:pt>
                <c:pt idx="589">
                  <c:v>569.20000000000005</c:v>
                </c:pt>
                <c:pt idx="590">
                  <c:v>574.32000000000005</c:v>
                </c:pt>
                <c:pt idx="591">
                  <c:v>574.32000000000005</c:v>
                </c:pt>
                <c:pt idx="592">
                  <c:v>574.32000000000005</c:v>
                </c:pt>
                <c:pt idx="593">
                  <c:v>592.83000000000004</c:v>
                </c:pt>
                <c:pt idx="594">
                  <c:v>613.65</c:v>
                </c:pt>
                <c:pt idx="595">
                  <c:v>613.78</c:v>
                </c:pt>
                <c:pt idx="596">
                  <c:v>608.92999999999995</c:v>
                </c:pt>
                <c:pt idx="597">
                  <c:v>623.77</c:v>
                </c:pt>
                <c:pt idx="598">
                  <c:v>623.77</c:v>
                </c:pt>
                <c:pt idx="599">
                  <c:v>623.77</c:v>
                </c:pt>
                <c:pt idx="600">
                  <c:v>613.57000000000005</c:v>
                </c:pt>
                <c:pt idx="601">
                  <c:v>619.32000000000005</c:v>
                </c:pt>
                <c:pt idx="602">
                  <c:v>632.67999999999995</c:v>
                </c:pt>
                <c:pt idx="603">
                  <c:v>630.79</c:v>
                </c:pt>
                <c:pt idx="604">
                  <c:v>620.35</c:v>
                </c:pt>
                <c:pt idx="605">
                  <c:v>620.35</c:v>
                </c:pt>
                <c:pt idx="606">
                  <c:v>620.35</c:v>
                </c:pt>
                <c:pt idx="607">
                  <c:v>624.24</c:v>
                </c:pt>
                <c:pt idx="608">
                  <c:v>619.44000000000005</c:v>
                </c:pt>
                <c:pt idx="609">
                  <c:v>597.19000000000005</c:v>
                </c:pt>
                <c:pt idx="610">
                  <c:v>595.57000000000005</c:v>
                </c:pt>
                <c:pt idx="611">
                  <c:v>585.25</c:v>
                </c:pt>
                <c:pt idx="612">
                  <c:v>585.25</c:v>
                </c:pt>
                <c:pt idx="613">
                  <c:v>585.25</c:v>
                </c:pt>
                <c:pt idx="614">
                  <c:v>599.85</c:v>
                </c:pt>
                <c:pt idx="615">
                  <c:v>607.75</c:v>
                </c:pt>
                <c:pt idx="616">
                  <c:v>607.75</c:v>
                </c:pt>
                <c:pt idx="617">
                  <c:v>603.35</c:v>
                </c:pt>
                <c:pt idx="618">
                  <c:v>599.80999999999995</c:v>
                </c:pt>
                <c:pt idx="619">
                  <c:v>599.80999999999995</c:v>
                </c:pt>
                <c:pt idx="620">
                  <c:v>599.80999999999995</c:v>
                </c:pt>
                <c:pt idx="621">
                  <c:v>591.24</c:v>
                </c:pt>
                <c:pt idx="622">
                  <c:v>585.51</c:v>
                </c:pt>
                <c:pt idx="623">
                  <c:v>585.51</c:v>
                </c:pt>
                <c:pt idx="624">
                  <c:v>599.24</c:v>
                </c:pt>
                <c:pt idx="625">
                  <c:v>604.63</c:v>
                </c:pt>
                <c:pt idx="626">
                  <c:v>604.63</c:v>
                </c:pt>
                <c:pt idx="627">
                  <c:v>604.63</c:v>
                </c:pt>
                <c:pt idx="628">
                  <c:v>630.20000000000005</c:v>
                </c:pt>
                <c:pt idx="629">
                  <c:v>617.89</c:v>
                </c:pt>
                <c:pt idx="630">
                  <c:v>610.72</c:v>
                </c:pt>
                <c:pt idx="631">
                  <c:v>610.72</c:v>
                </c:pt>
                <c:pt idx="632">
                  <c:v>615.86</c:v>
                </c:pt>
                <c:pt idx="633">
                  <c:v>615.86</c:v>
                </c:pt>
                <c:pt idx="634">
                  <c:v>615.86</c:v>
                </c:pt>
                <c:pt idx="635">
                  <c:v>608.33000000000004</c:v>
                </c:pt>
                <c:pt idx="636">
                  <c:v>594.25</c:v>
                </c:pt>
                <c:pt idx="637">
                  <c:v>617.12</c:v>
                </c:pt>
                <c:pt idx="638">
                  <c:v>611.29999999999995</c:v>
                </c:pt>
                <c:pt idx="639">
                  <c:v>612.77</c:v>
                </c:pt>
                <c:pt idx="640">
                  <c:v>612.77</c:v>
                </c:pt>
                <c:pt idx="641">
                  <c:v>612.77</c:v>
                </c:pt>
                <c:pt idx="642">
                  <c:v>612.77</c:v>
                </c:pt>
                <c:pt idx="643">
                  <c:v>616.46</c:v>
                </c:pt>
                <c:pt idx="644">
                  <c:v>623.5</c:v>
                </c:pt>
                <c:pt idx="645">
                  <c:v>636.45000000000005</c:v>
                </c:pt>
                <c:pt idx="646">
                  <c:v>647.49</c:v>
                </c:pt>
                <c:pt idx="647">
                  <c:v>647.49</c:v>
                </c:pt>
                <c:pt idx="648">
                  <c:v>647.49</c:v>
                </c:pt>
                <c:pt idx="649">
                  <c:v>659.88</c:v>
                </c:pt>
                <c:pt idx="650">
                  <c:v>674.33</c:v>
                </c:pt>
                <c:pt idx="651">
                  <c:v>676.49</c:v>
                </c:pt>
                <c:pt idx="652">
                  <c:v>687</c:v>
                </c:pt>
                <c:pt idx="653">
                  <c:v>689.18</c:v>
                </c:pt>
                <c:pt idx="654">
                  <c:v>689.18</c:v>
                </c:pt>
                <c:pt idx="655">
                  <c:v>689.18</c:v>
                </c:pt>
                <c:pt idx="656">
                  <c:v>697.46</c:v>
                </c:pt>
                <c:pt idx="657">
                  <c:v>704.19</c:v>
                </c:pt>
                <c:pt idx="658">
                  <c:v>704.87</c:v>
                </c:pt>
                <c:pt idx="659">
                  <c:v>711.99</c:v>
                </c:pt>
                <c:pt idx="660">
                  <c:v>714.52</c:v>
                </c:pt>
                <c:pt idx="661">
                  <c:v>714.52</c:v>
                </c:pt>
                <c:pt idx="662">
                  <c:v>714.52</c:v>
                </c:pt>
                <c:pt idx="663">
                  <c:v>717.4</c:v>
                </c:pt>
                <c:pt idx="664">
                  <c:v>719.8</c:v>
                </c:pt>
                <c:pt idx="665">
                  <c:v>725.38</c:v>
                </c:pt>
                <c:pt idx="666">
                  <c:v>728.56</c:v>
                </c:pt>
                <c:pt idx="667">
                  <c:v>736.67</c:v>
                </c:pt>
                <c:pt idx="668">
                  <c:v>736.67</c:v>
                </c:pt>
                <c:pt idx="669">
                  <c:v>736.67</c:v>
                </c:pt>
                <c:pt idx="670">
                  <c:v>736.67</c:v>
                </c:pt>
                <c:pt idx="671">
                  <c:v>716.37</c:v>
                </c:pt>
                <c:pt idx="672">
                  <c:v>703.77</c:v>
                </c:pt>
                <c:pt idx="673">
                  <c:v>694.84</c:v>
                </c:pt>
                <c:pt idx="674">
                  <c:v>683.55</c:v>
                </c:pt>
                <c:pt idx="675">
                  <c:v>683.55</c:v>
                </c:pt>
                <c:pt idx="676">
                  <c:v>683.55</c:v>
                </c:pt>
                <c:pt idx="677">
                  <c:v>668.13</c:v>
                </c:pt>
                <c:pt idx="678">
                  <c:v>657.5</c:v>
                </c:pt>
                <c:pt idx="679">
                  <c:v>673.7</c:v>
                </c:pt>
                <c:pt idx="680">
                  <c:v>658.24</c:v>
                </c:pt>
                <c:pt idx="681">
                  <c:v>668.2</c:v>
                </c:pt>
                <c:pt idx="682">
                  <c:v>668.2</c:v>
                </c:pt>
                <c:pt idx="683">
                  <c:v>668.2</c:v>
                </c:pt>
                <c:pt idx="684">
                  <c:v>655.04999999999995</c:v>
                </c:pt>
                <c:pt idx="685">
                  <c:v>640</c:v>
                </c:pt>
                <c:pt idx="686">
                  <c:v>656.47</c:v>
                </c:pt>
                <c:pt idx="687">
                  <c:v>627.92999999999995</c:v>
                </c:pt>
                <c:pt idx="688">
                  <c:v>625.66</c:v>
                </c:pt>
                <c:pt idx="689">
                  <c:v>625.66</c:v>
                </c:pt>
                <c:pt idx="690">
                  <c:v>625.66</c:v>
                </c:pt>
                <c:pt idx="691">
                  <c:v>597.99</c:v>
                </c:pt>
                <c:pt idx="692">
                  <c:v>605.71</c:v>
                </c:pt>
                <c:pt idx="693">
                  <c:v>619.55999999999995</c:v>
                </c:pt>
                <c:pt idx="694">
                  <c:v>590.64</c:v>
                </c:pt>
                <c:pt idx="695">
                  <c:v>607.6</c:v>
                </c:pt>
                <c:pt idx="696">
                  <c:v>607.6</c:v>
                </c:pt>
                <c:pt idx="697">
                  <c:v>607.6</c:v>
                </c:pt>
                <c:pt idx="698">
                  <c:v>604.9</c:v>
                </c:pt>
                <c:pt idx="699">
                  <c:v>582.36</c:v>
                </c:pt>
                <c:pt idx="700">
                  <c:v>584.05999999999995</c:v>
                </c:pt>
                <c:pt idx="701">
                  <c:v>586</c:v>
                </c:pt>
                <c:pt idx="702">
                  <c:v>596.25</c:v>
                </c:pt>
                <c:pt idx="703">
                  <c:v>596.25</c:v>
                </c:pt>
                <c:pt idx="704">
                  <c:v>596.25</c:v>
                </c:pt>
                <c:pt idx="705">
                  <c:v>618.85</c:v>
                </c:pt>
                <c:pt idx="706">
                  <c:v>626.30999999999995</c:v>
                </c:pt>
                <c:pt idx="707">
                  <c:v>610.98</c:v>
                </c:pt>
                <c:pt idx="708">
                  <c:v>602.58000000000004</c:v>
                </c:pt>
                <c:pt idx="709">
                  <c:v>576.74</c:v>
                </c:pt>
                <c:pt idx="710">
                  <c:v>576.74</c:v>
                </c:pt>
                <c:pt idx="711">
                  <c:v>576.74</c:v>
                </c:pt>
                <c:pt idx="712">
                  <c:v>576.36</c:v>
                </c:pt>
                <c:pt idx="713">
                  <c:v>586</c:v>
                </c:pt>
                <c:pt idx="714">
                  <c:v>583.92999999999995</c:v>
                </c:pt>
                <c:pt idx="715">
                  <c:v>531.62</c:v>
                </c:pt>
                <c:pt idx="716">
                  <c:v>504.73</c:v>
                </c:pt>
                <c:pt idx="717">
                  <c:v>504.73</c:v>
                </c:pt>
                <c:pt idx="718">
                  <c:v>504.73</c:v>
                </c:pt>
                <c:pt idx="719">
                  <c:v>516.25</c:v>
                </c:pt>
                <c:pt idx="720">
                  <c:v>510.45</c:v>
                </c:pt>
                <c:pt idx="721">
                  <c:v>585.77</c:v>
                </c:pt>
                <c:pt idx="722">
                  <c:v>546.29</c:v>
                </c:pt>
                <c:pt idx="723">
                  <c:v>543.57000000000005</c:v>
                </c:pt>
                <c:pt idx="724">
                  <c:v>543.57000000000005</c:v>
                </c:pt>
                <c:pt idx="725">
                  <c:v>543.57000000000005</c:v>
                </c:pt>
                <c:pt idx="726">
                  <c:v>531.48</c:v>
                </c:pt>
                <c:pt idx="727">
                  <c:v>521.52</c:v>
                </c:pt>
                <c:pt idx="728">
                  <c:v>502.31</c:v>
                </c:pt>
                <c:pt idx="729">
                  <c:v>501.48</c:v>
                </c:pt>
                <c:pt idx="730">
                  <c:v>501.48</c:v>
                </c:pt>
                <c:pt idx="731">
                  <c:v>501.48</c:v>
                </c:pt>
                <c:pt idx="732">
                  <c:v>501.48</c:v>
                </c:pt>
                <c:pt idx="733">
                  <c:v>484.66</c:v>
                </c:pt>
                <c:pt idx="734">
                  <c:v>500.28</c:v>
                </c:pt>
                <c:pt idx="735">
                  <c:v>520.27</c:v>
                </c:pt>
                <c:pt idx="736">
                  <c:v>533.15</c:v>
                </c:pt>
                <c:pt idx="737">
                  <c:v>547.27</c:v>
                </c:pt>
                <c:pt idx="738">
                  <c:v>547.27</c:v>
                </c:pt>
                <c:pt idx="739">
                  <c:v>547.27</c:v>
                </c:pt>
                <c:pt idx="740">
                  <c:v>549.74</c:v>
                </c:pt>
                <c:pt idx="741">
                  <c:v>554.44000000000005</c:v>
                </c:pt>
                <c:pt idx="742">
                  <c:v>549</c:v>
                </c:pt>
                <c:pt idx="743">
                  <c:v>572.21</c:v>
                </c:pt>
                <c:pt idx="744">
                  <c:v>597.02</c:v>
                </c:pt>
                <c:pt idx="745">
                  <c:v>597.02</c:v>
                </c:pt>
                <c:pt idx="746">
                  <c:v>597.02</c:v>
                </c:pt>
                <c:pt idx="747">
                  <c:v>599.27</c:v>
                </c:pt>
                <c:pt idx="748">
                  <c:v>587.30999999999995</c:v>
                </c:pt>
                <c:pt idx="749">
                  <c:v>596.80999999999995</c:v>
                </c:pt>
                <c:pt idx="750">
                  <c:v>598.01</c:v>
                </c:pt>
                <c:pt idx="751">
                  <c:v>592.49</c:v>
                </c:pt>
                <c:pt idx="752">
                  <c:v>592.49</c:v>
                </c:pt>
                <c:pt idx="753">
                  <c:v>592.49</c:v>
                </c:pt>
                <c:pt idx="754">
                  <c:v>639.42999999999995</c:v>
                </c:pt>
                <c:pt idx="755">
                  <c:v>656.03</c:v>
                </c:pt>
                <c:pt idx="756">
                  <c:v>659.36</c:v>
                </c:pt>
                <c:pt idx="757">
                  <c:v>643.88</c:v>
                </c:pt>
                <c:pt idx="758">
                  <c:v>640.34</c:v>
                </c:pt>
                <c:pt idx="759">
                  <c:v>640.34</c:v>
                </c:pt>
                <c:pt idx="760">
                  <c:v>640.34</c:v>
                </c:pt>
                <c:pt idx="761">
                  <c:v>640.42999999999995</c:v>
                </c:pt>
                <c:pt idx="762">
                  <c:v>637.1</c:v>
                </c:pt>
                <c:pt idx="763">
                  <c:v>635.5</c:v>
                </c:pt>
                <c:pt idx="764">
                  <c:v>636.57000000000005</c:v>
                </c:pt>
                <c:pt idx="765">
                  <c:v>627.05999999999995</c:v>
                </c:pt>
                <c:pt idx="766">
                  <c:v>627.05999999999995</c:v>
                </c:pt>
                <c:pt idx="767">
                  <c:v>627.05999999999995</c:v>
                </c:pt>
                <c:pt idx="768">
                  <c:v>627.05999999999995</c:v>
                </c:pt>
                <c:pt idx="769">
                  <c:v>642.32000000000005</c:v>
                </c:pt>
                <c:pt idx="770">
                  <c:v>643.58000000000004</c:v>
                </c:pt>
                <c:pt idx="771">
                  <c:v>645.04999999999995</c:v>
                </c:pt>
                <c:pt idx="772">
                  <c:v>647.49</c:v>
                </c:pt>
                <c:pt idx="773">
                  <c:v>647.49</c:v>
                </c:pt>
                <c:pt idx="774">
                  <c:v>647.49</c:v>
                </c:pt>
                <c:pt idx="775">
                  <c:v>670.9</c:v>
                </c:pt>
                <c:pt idx="776">
                  <c:v>666.85</c:v>
                </c:pt>
                <c:pt idx="777">
                  <c:v>687.95</c:v>
                </c:pt>
                <c:pt idx="778">
                  <c:v>684.62</c:v>
                </c:pt>
                <c:pt idx="779">
                  <c:v>697.71</c:v>
                </c:pt>
                <c:pt idx="780">
                  <c:v>697.71</c:v>
                </c:pt>
                <c:pt idx="781">
                  <c:v>697.71</c:v>
                </c:pt>
                <c:pt idx="782">
                  <c:v>694.06</c:v>
                </c:pt>
                <c:pt idx="783">
                  <c:v>702.4</c:v>
                </c:pt>
                <c:pt idx="784">
                  <c:v>694.14</c:v>
                </c:pt>
                <c:pt idx="785">
                  <c:v>693.36</c:v>
                </c:pt>
                <c:pt idx="786">
                  <c:v>682.87</c:v>
                </c:pt>
                <c:pt idx="787">
                  <c:v>682.87</c:v>
                </c:pt>
                <c:pt idx="788">
                  <c:v>682.87</c:v>
                </c:pt>
                <c:pt idx="789">
                  <c:v>702.12</c:v>
                </c:pt>
                <c:pt idx="790">
                  <c:v>697.23</c:v>
                </c:pt>
                <c:pt idx="791">
                  <c:v>695.77</c:v>
                </c:pt>
                <c:pt idx="792">
                  <c:v>695.77</c:v>
                </c:pt>
                <c:pt idx="793">
                  <c:v>682.35</c:v>
                </c:pt>
                <c:pt idx="794">
                  <c:v>682.35</c:v>
                </c:pt>
                <c:pt idx="795">
                  <c:v>682.35</c:v>
                </c:pt>
                <c:pt idx="796">
                  <c:v>698.53</c:v>
                </c:pt>
                <c:pt idx="797">
                  <c:v>712.2</c:v>
                </c:pt>
                <c:pt idx="798">
                  <c:v>708.68</c:v>
                </c:pt>
                <c:pt idx="799">
                  <c:v>726.09</c:v>
                </c:pt>
                <c:pt idx="800">
                  <c:v>733.63</c:v>
                </c:pt>
                <c:pt idx="801">
                  <c:v>733.63</c:v>
                </c:pt>
                <c:pt idx="802">
                  <c:v>733.63</c:v>
                </c:pt>
                <c:pt idx="803">
                  <c:v>738.09</c:v>
                </c:pt>
                <c:pt idx="804">
                  <c:v>719.22</c:v>
                </c:pt>
                <c:pt idx="805">
                  <c:v>713.57</c:v>
                </c:pt>
                <c:pt idx="806">
                  <c:v>719.01</c:v>
                </c:pt>
                <c:pt idx="807">
                  <c:v>719.01</c:v>
                </c:pt>
                <c:pt idx="808">
                  <c:v>719.01</c:v>
                </c:pt>
                <c:pt idx="809">
                  <c:v>719.01</c:v>
                </c:pt>
                <c:pt idx="810">
                  <c:v>718.35</c:v>
                </c:pt>
                <c:pt idx="811">
                  <c:v>720.67</c:v>
                </c:pt>
                <c:pt idx="812">
                  <c:v>732.78</c:v>
                </c:pt>
                <c:pt idx="813">
                  <c:v>727.24</c:v>
                </c:pt>
                <c:pt idx="814">
                  <c:v>717.51</c:v>
                </c:pt>
                <c:pt idx="815">
                  <c:v>717.51</c:v>
                </c:pt>
                <c:pt idx="816">
                  <c:v>717.51</c:v>
                </c:pt>
                <c:pt idx="817">
                  <c:v>720.92</c:v>
                </c:pt>
                <c:pt idx="818">
                  <c:v>710.39</c:v>
                </c:pt>
                <c:pt idx="819">
                  <c:v>702.91</c:v>
                </c:pt>
                <c:pt idx="820">
                  <c:v>701.41</c:v>
                </c:pt>
                <c:pt idx="821">
                  <c:v>704.28</c:v>
                </c:pt>
                <c:pt idx="822">
                  <c:v>704.28</c:v>
                </c:pt>
                <c:pt idx="823">
                  <c:v>704.28</c:v>
                </c:pt>
                <c:pt idx="824">
                  <c:v>712.96500000000003</c:v>
                </c:pt>
                <c:pt idx="825">
                  <c:v>704.81</c:v>
                </c:pt>
                <c:pt idx="826">
                  <c:v>713.58</c:v>
                </c:pt>
                <c:pt idx="827">
                  <c:v>714.8</c:v>
                </c:pt>
                <c:pt idx="828">
                  <c:v>712.68</c:v>
                </c:pt>
                <c:pt idx="829">
                  <c:v>712.68</c:v>
                </c:pt>
                <c:pt idx="830">
                  <c:v>712.68</c:v>
                </c:pt>
                <c:pt idx="831">
                  <c:v>717.63</c:v>
                </c:pt>
                <c:pt idx="832">
                  <c:v>700</c:v>
                </c:pt>
                <c:pt idx="833">
                  <c:v>695.21</c:v>
                </c:pt>
                <c:pt idx="834">
                  <c:v>773.44</c:v>
                </c:pt>
                <c:pt idx="835">
                  <c:v>750.01</c:v>
                </c:pt>
                <c:pt idx="836">
                  <c:v>750.01</c:v>
                </c:pt>
                <c:pt idx="837">
                  <c:v>750.01</c:v>
                </c:pt>
                <c:pt idx="838">
                  <c:v>776.37</c:v>
                </c:pt>
                <c:pt idx="839">
                  <c:v>763.46</c:v>
                </c:pt>
                <c:pt idx="840">
                  <c:v>771.99</c:v>
                </c:pt>
                <c:pt idx="841">
                  <c:v>761.83</c:v>
                </c:pt>
                <c:pt idx="842">
                  <c:v>769.3</c:v>
                </c:pt>
                <c:pt idx="843">
                  <c:v>769.3</c:v>
                </c:pt>
                <c:pt idx="844">
                  <c:v>769.3</c:v>
                </c:pt>
                <c:pt idx="845">
                  <c:v>765.87</c:v>
                </c:pt>
                <c:pt idx="846">
                  <c:v>790</c:v>
                </c:pt>
                <c:pt idx="847">
                  <c:v>780.08</c:v>
                </c:pt>
                <c:pt idx="848">
                  <c:v>782.13</c:v>
                </c:pt>
                <c:pt idx="849">
                  <c:v>785.23</c:v>
                </c:pt>
                <c:pt idx="850">
                  <c:v>785.23</c:v>
                </c:pt>
                <c:pt idx="851">
                  <c:v>785.23</c:v>
                </c:pt>
                <c:pt idx="852">
                  <c:v>767.37</c:v>
                </c:pt>
                <c:pt idx="853">
                  <c:v>751.48</c:v>
                </c:pt>
                <c:pt idx="854">
                  <c:v>747.72</c:v>
                </c:pt>
                <c:pt idx="855">
                  <c:v>739.1</c:v>
                </c:pt>
                <c:pt idx="856">
                  <c:v>754.79</c:v>
                </c:pt>
                <c:pt idx="857">
                  <c:v>754.79</c:v>
                </c:pt>
                <c:pt idx="858">
                  <c:v>754.79</c:v>
                </c:pt>
                <c:pt idx="859">
                  <c:v>753.3</c:v>
                </c:pt>
                <c:pt idx="860">
                  <c:v>754.1</c:v>
                </c:pt>
                <c:pt idx="861">
                  <c:v>747.38</c:v>
                </c:pt>
                <c:pt idx="862">
                  <c:v>751.11</c:v>
                </c:pt>
                <c:pt idx="863">
                  <c:v>738.7</c:v>
                </c:pt>
                <c:pt idx="864">
                  <c:v>738.7</c:v>
                </c:pt>
                <c:pt idx="865">
                  <c:v>738.7</c:v>
                </c:pt>
                <c:pt idx="866">
                  <c:v>738.7</c:v>
                </c:pt>
                <c:pt idx="867">
                  <c:v>735.11</c:v>
                </c:pt>
                <c:pt idx="868">
                  <c:v>737.05</c:v>
                </c:pt>
                <c:pt idx="869">
                  <c:v>748.65</c:v>
                </c:pt>
                <c:pt idx="870">
                  <c:v>752.45</c:v>
                </c:pt>
                <c:pt idx="871">
                  <c:v>752.45</c:v>
                </c:pt>
                <c:pt idx="872">
                  <c:v>752.45</c:v>
                </c:pt>
                <c:pt idx="873">
                  <c:v>752.3</c:v>
                </c:pt>
                <c:pt idx="874">
                  <c:v>765.7</c:v>
                </c:pt>
                <c:pt idx="875">
                  <c:v>751.98</c:v>
                </c:pt>
                <c:pt idx="876">
                  <c:v>750.9</c:v>
                </c:pt>
                <c:pt idx="877">
                  <c:v>755.59</c:v>
                </c:pt>
                <c:pt idx="878">
                  <c:v>755.59</c:v>
                </c:pt>
                <c:pt idx="879">
                  <c:v>755.59</c:v>
                </c:pt>
                <c:pt idx="880">
                  <c:v>764.7</c:v>
                </c:pt>
                <c:pt idx="881">
                  <c:v>779</c:v>
                </c:pt>
                <c:pt idx="882">
                  <c:v>775.71500000000003</c:v>
                </c:pt>
                <c:pt idx="883">
                  <c:v>780.25</c:v>
                </c:pt>
                <c:pt idx="884">
                  <c:v>778.38</c:v>
                </c:pt>
                <c:pt idx="885">
                  <c:v>778.38</c:v>
                </c:pt>
                <c:pt idx="886">
                  <c:v>778.38</c:v>
                </c:pt>
                <c:pt idx="887">
                  <c:v>765.16</c:v>
                </c:pt>
                <c:pt idx="888">
                  <c:v>755.4</c:v>
                </c:pt>
                <c:pt idx="889">
                  <c:v>760.66</c:v>
                </c:pt>
                <c:pt idx="890">
                  <c:v>748.91</c:v>
                </c:pt>
                <c:pt idx="891">
                  <c:v>743.75</c:v>
                </c:pt>
                <c:pt idx="892">
                  <c:v>743.75</c:v>
                </c:pt>
                <c:pt idx="893">
                  <c:v>743.75</c:v>
                </c:pt>
                <c:pt idx="894">
                  <c:v>743.4</c:v>
                </c:pt>
                <c:pt idx="895">
                  <c:v>734.38</c:v>
                </c:pt>
                <c:pt idx="896">
                  <c:v>717.34</c:v>
                </c:pt>
                <c:pt idx="897">
                  <c:v>727.05</c:v>
                </c:pt>
                <c:pt idx="898">
                  <c:v>710.56</c:v>
                </c:pt>
                <c:pt idx="899">
                  <c:v>710.56</c:v>
                </c:pt>
                <c:pt idx="900">
                  <c:v>710.56</c:v>
                </c:pt>
                <c:pt idx="901">
                  <c:v>715.66</c:v>
                </c:pt>
                <c:pt idx="902">
                  <c:v>713.08</c:v>
                </c:pt>
                <c:pt idx="903">
                  <c:v>717.84</c:v>
                </c:pt>
                <c:pt idx="904">
                  <c:v>733.51</c:v>
                </c:pt>
                <c:pt idx="905">
                  <c:v>705.3</c:v>
                </c:pt>
                <c:pt idx="906">
                  <c:v>705.3</c:v>
                </c:pt>
                <c:pt idx="907">
                  <c:v>705.3</c:v>
                </c:pt>
                <c:pt idx="908">
                  <c:v>715.7</c:v>
                </c:pt>
                <c:pt idx="909">
                  <c:v>708.65</c:v>
                </c:pt>
                <c:pt idx="910">
                  <c:v>717.55</c:v>
                </c:pt>
                <c:pt idx="911">
                  <c:v>712.07</c:v>
                </c:pt>
                <c:pt idx="912">
                  <c:v>716.91499999999996</c:v>
                </c:pt>
                <c:pt idx="913">
                  <c:v>716.91499999999996</c:v>
                </c:pt>
                <c:pt idx="914">
                  <c:v>716.91499999999996</c:v>
                </c:pt>
                <c:pt idx="915">
                  <c:v>732.17</c:v>
                </c:pt>
                <c:pt idx="916">
                  <c:v>733.27</c:v>
                </c:pt>
                <c:pt idx="917">
                  <c:v>733.41</c:v>
                </c:pt>
                <c:pt idx="918">
                  <c:v>734</c:v>
                </c:pt>
                <c:pt idx="919">
                  <c:v>738.36</c:v>
                </c:pt>
                <c:pt idx="920">
                  <c:v>738.36</c:v>
                </c:pt>
                <c:pt idx="921">
                  <c:v>738.36</c:v>
                </c:pt>
                <c:pt idx="922">
                  <c:v>750.82</c:v>
                </c:pt>
                <c:pt idx="923">
                  <c:v>751.44</c:v>
                </c:pt>
                <c:pt idx="924">
                  <c:v>751.67</c:v>
                </c:pt>
                <c:pt idx="925">
                  <c:v>666.47</c:v>
                </c:pt>
                <c:pt idx="926">
                  <c:v>648.35</c:v>
                </c:pt>
                <c:pt idx="927">
                  <c:v>648.35</c:v>
                </c:pt>
                <c:pt idx="928">
                  <c:v>648.35</c:v>
                </c:pt>
                <c:pt idx="929">
                  <c:v>637.71</c:v>
                </c:pt>
                <c:pt idx="930">
                  <c:v>627.32000000000005</c:v>
                </c:pt>
                <c:pt idx="931">
                  <c:v>635.95000000000005</c:v>
                </c:pt>
                <c:pt idx="932">
                  <c:v>618.94000000000005</c:v>
                </c:pt>
                <c:pt idx="933">
                  <c:v>621.71</c:v>
                </c:pt>
                <c:pt idx="934">
                  <c:v>621.71</c:v>
                </c:pt>
                <c:pt idx="935">
                  <c:v>621.71</c:v>
                </c:pt>
                <c:pt idx="936">
                  <c:v>631.76</c:v>
                </c:pt>
                <c:pt idx="937">
                  <c:v>627.08000000000004</c:v>
                </c:pt>
                <c:pt idx="938">
                  <c:v>609.01</c:v>
                </c:pt>
                <c:pt idx="939">
                  <c:v>609.89</c:v>
                </c:pt>
                <c:pt idx="940">
                  <c:v>609.46</c:v>
                </c:pt>
                <c:pt idx="941">
                  <c:v>609.46</c:v>
                </c:pt>
                <c:pt idx="942">
                  <c:v>609.46</c:v>
                </c:pt>
                <c:pt idx="943">
                  <c:v>602.01</c:v>
                </c:pt>
                <c:pt idx="944">
                  <c:v>597.69000000000005</c:v>
                </c:pt>
                <c:pt idx="945">
                  <c:v>590.32000000000005</c:v>
                </c:pt>
                <c:pt idx="946">
                  <c:v>589.15</c:v>
                </c:pt>
                <c:pt idx="947">
                  <c:v>594.25</c:v>
                </c:pt>
                <c:pt idx="948">
                  <c:v>594.25</c:v>
                </c:pt>
                <c:pt idx="949">
                  <c:v>594.25</c:v>
                </c:pt>
                <c:pt idx="950">
                  <c:v>613.04999999999995</c:v>
                </c:pt>
                <c:pt idx="951">
                  <c:v>636.22</c:v>
                </c:pt>
                <c:pt idx="952">
                  <c:v>633.61</c:v>
                </c:pt>
                <c:pt idx="953">
                  <c:v>633.61</c:v>
                </c:pt>
                <c:pt idx="954">
                  <c:v>647.95000000000005</c:v>
                </c:pt>
                <c:pt idx="955">
                  <c:v>647.95000000000005</c:v>
                </c:pt>
                <c:pt idx="956">
                  <c:v>647.95000000000005</c:v>
                </c:pt>
                <c:pt idx="957">
                  <c:v>640.87</c:v>
                </c:pt>
                <c:pt idx="958">
                  <c:v>647.1</c:v>
                </c:pt>
                <c:pt idx="959">
                  <c:v>639.6</c:v>
                </c:pt>
                <c:pt idx="960">
                  <c:v>661.53</c:v>
                </c:pt>
                <c:pt idx="961">
                  <c:v>673.42</c:v>
                </c:pt>
                <c:pt idx="962">
                  <c:v>673.42</c:v>
                </c:pt>
                <c:pt idx="963">
                  <c:v>673.42</c:v>
                </c:pt>
                <c:pt idx="964">
                  <c:v>666.8</c:v>
                </c:pt>
                <c:pt idx="965">
                  <c:v>656.96</c:v>
                </c:pt>
                <c:pt idx="966">
                  <c:v>650.13</c:v>
                </c:pt>
                <c:pt idx="967">
                  <c:v>652.71</c:v>
                </c:pt>
                <c:pt idx="968">
                  <c:v>644.23</c:v>
                </c:pt>
                <c:pt idx="969">
                  <c:v>644.23</c:v>
                </c:pt>
                <c:pt idx="970">
                  <c:v>644.23</c:v>
                </c:pt>
                <c:pt idx="971">
                  <c:v>647.51</c:v>
                </c:pt>
                <c:pt idx="972">
                  <c:v>657.15</c:v>
                </c:pt>
                <c:pt idx="973">
                  <c:v>649.5</c:v>
                </c:pt>
                <c:pt idx="974">
                  <c:v>664.45</c:v>
                </c:pt>
                <c:pt idx="975">
                  <c:v>658.77</c:v>
                </c:pt>
                <c:pt idx="976">
                  <c:v>658.77</c:v>
                </c:pt>
                <c:pt idx="977">
                  <c:v>658.77</c:v>
                </c:pt>
                <c:pt idx="978">
                  <c:v>661.5</c:v>
                </c:pt>
                <c:pt idx="979">
                  <c:v>664.94</c:v>
                </c:pt>
                <c:pt idx="980">
                  <c:v>667.55</c:v>
                </c:pt>
                <c:pt idx="981">
                  <c:v>667.55</c:v>
                </c:pt>
                <c:pt idx="982">
                  <c:v>663.29</c:v>
                </c:pt>
                <c:pt idx="983">
                  <c:v>663.29</c:v>
                </c:pt>
                <c:pt idx="984">
                  <c:v>663.29</c:v>
                </c:pt>
                <c:pt idx="985">
                  <c:v>658.69</c:v>
                </c:pt>
                <c:pt idx="986">
                  <c:v>665.95</c:v>
                </c:pt>
                <c:pt idx="987">
                  <c:v>660.09</c:v>
                </c:pt>
                <c:pt idx="988">
                  <c:v>660.09</c:v>
                </c:pt>
                <c:pt idx="989">
                  <c:v>650.41</c:v>
                </c:pt>
                <c:pt idx="990">
                  <c:v>650.41</c:v>
                </c:pt>
                <c:pt idx="991">
                  <c:v>650.41</c:v>
                </c:pt>
                <c:pt idx="992">
                  <c:v>658.79</c:v>
                </c:pt>
                <c:pt idx="993">
                  <c:v>660.62</c:v>
                </c:pt>
                <c:pt idx="994">
                  <c:v>648.69000000000005</c:v>
                </c:pt>
                <c:pt idx="995">
                  <c:v>646.05999999999995</c:v>
                </c:pt>
                <c:pt idx="996">
                  <c:v>653.05999999999995</c:v>
                </c:pt>
                <c:pt idx="997">
                  <c:v>653.05999999999995</c:v>
                </c:pt>
                <c:pt idx="998">
                  <c:v>653.05999999999995</c:v>
                </c:pt>
                <c:pt idx="999">
                  <c:v>641.97</c:v>
                </c:pt>
                <c:pt idx="1000">
                  <c:v>631.09</c:v>
                </c:pt>
                <c:pt idx="1001">
                  <c:v>615.52</c:v>
                </c:pt>
                <c:pt idx="1002">
                  <c:v>620.79999999999995</c:v>
                </c:pt>
                <c:pt idx="1003">
                  <c:v>620.25</c:v>
                </c:pt>
                <c:pt idx="1004">
                  <c:v>620.25</c:v>
                </c:pt>
                <c:pt idx="1005">
                  <c:v>620.25</c:v>
                </c:pt>
                <c:pt idx="1006">
                  <c:v>620.25</c:v>
                </c:pt>
                <c:pt idx="1007">
                  <c:v>604.12</c:v>
                </c:pt>
                <c:pt idx="1008">
                  <c:v>612.96</c:v>
                </c:pt>
                <c:pt idx="1009">
                  <c:v>647.63</c:v>
                </c:pt>
                <c:pt idx="1010">
                  <c:v>658.76</c:v>
                </c:pt>
                <c:pt idx="1011">
                  <c:v>658.76</c:v>
                </c:pt>
                <c:pt idx="1012">
                  <c:v>658.76</c:v>
                </c:pt>
                <c:pt idx="1013">
                  <c:v>672.36</c:v>
                </c:pt>
                <c:pt idx="1014">
                  <c:v>672.97</c:v>
                </c:pt>
                <c:pt idx="1015">
                  <c:v>668.73</c:v>
                </c:pt>
                <c:pt idx="1016">
                  <c:v>738.31</c:v>
                </c:pt>
                <c:pt idx="1017">
                  <c:v>716.5</c:v>
                </c:pt>
                <c:pt idx="1018">
                  <c:v>716.5</c:v>
                </c:pt>
                <c:pt idx="1019">
                  <c:v>716.5</c:v>
                </c:pt>
                <c:pt idx="1020">
                  <c:v>706.41</c:v>
                </c:pt>
                <c:pt idx="1021">
                  <c:v>691.7</c:v>
                </c:pt>
                <c:pt idx="1022">
                  <c:v>668.99</c:v>
                </c:pt>
                <c:pt idx="1023">
                  <c:v>670.21</c:v>
                </c:pt>
                <c:pt idx="1024">
                  <c:v>661.46</c:v>
                </c:pt>
                <c:pt idx="1025">
                  <c:v>661.46</c:v>
                </c:pt>
                <c:pt idx="1026">
                  <c:v>661.46</c:v>
                </c:pt>
                <c:pt idx="1027">
                  <c:v>677.22</c:v>
                </c:pt>
                <c:pt idx="1028">
                  <c:v>670.72</c:v>
                </c:pt>
                <c:pt idx="1029">
                  <c:v>668.69</c:v>
                </c:pt>
                <c:pt idx="1030">
                  <c:v>649.80999999999995</c:v>
                </c:pt>
                <c:pt idx="1031">
                  <c:v>639.77</c:v>
                </c:pt>
                <c:pt idx="1032">
                  <c:v>639.77</c:v>
                </c:pt>
                <c:pt idx="1033">
                  <c:v>639.77</c:v>
                </c:pt>
                <c:pt idx="1034">
                  <c:v>639.77</c:v>
                </c:pt>
                <c:pt idx="1035">
                  <c:v>639.29</c:v>
                </c:pt>
                <c:pt idx="1036">
                  <c:v>643.22</c:v>
                </c:pt>
                <c:pt idx="1037">
                  <c:v>644.78</c:v>
                </c:pt>
                <c:pt idx="1038">
                  <c:v>655.66</c:v>
                </c:pt>
                <c:pt idx="1039">
                  <c:v>655.66</c:v>
                </c:pt>
                <c:pt idx="1040">
                  <c:v>655.66</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644.86</c:v>
                </c:pt>
                <c:pt idx="1054">
                  <c:v>644.86</c:v>
                </c:pt>
                <c:pt idx="1055">
                  <c:v>647.39</c:v>
                </c:pt>
                <c:pt idx="1056">
                  <c:v>654.07000000000005</c:v>
                </c:pt>
                <c:pt idx="1057">
                  <c:v>654.86</c:v>
                </c:pt>
                <c:pt idx="1058">
                  <c:v>638.17999999999995</c:v>
                </c:pt>
                <c:pt idx="1059">
                  <c:v>613.71</c:v>
                </c:pt>
                <c:pt idx="1060">
                  <c:v>613.71</c:v>
                </c:pt>
                <c:pt idx="1061">
                  <c:v>613.71</c:v>
                </c:pt>
                <c:pt idx="1062">
                  <c:v>627.45000000000005</c:v>
                </c:pt>
                <c:pt idx="1063">
                  <c:v>622.66</c:v>
                </c:pt>
                <c:pt idx="1064">
                  <c:v>615.67999999999995</c:v>
                </c:pt>
                <c:pt idx="1065">
                  <c:v>606.70000000000005</c:v>
                </c:pt>
                <c:pt idx="1066">
                  <c:v>593.66</c:v>
                </c:pt>
                <c:pt idx="1067">
                  <c:v>593.66</c:v>
                </c:pt>
                <c:pt idx="1068">
                  <c:v>593.66</c:v>
                </c:pt>
                <c:pt idx="1069">
                  <c:v>604.05999999999995</c:v>
                </c:pt>
                <c:pt idx="1070">
                  <c:v>592.91999999999996</c:v>
                </c:pt>
                <c:pt idx="1071">
                  <c:v>594.89</c:v>
                </c:pt>
                <c:pt idx="1072">
                  <c:v>547.54</c:v>
                </c:pt>
                <c:pt idx="1073">
                  <c:v>525.72</c:v>
                </c:pt>
                <c:pt idx="1074">
                  <c:v>525.72</c:v>
                </c:pt>
                <c:pt idx="1075">
                  <c:v>525.72</c:v>
                </c:pt>
                <c:pt idx="1076">
                  <c:v>536.38</c:v>
                </c:pt>
                <c:pt idx="1077">
                  <c:v>572.13</c:v>
                </c:pt>
                <c:pt idx="1078">
                  <c:v>579.23</c:v>
                </c:pt>
                <c:pt idx="1079">
                  <c:v>574.46</c:v>
                </c:pt>
                <c:pt idx="1080">
                  <c:v>574.46</c:v>
                </c:pt>
                <c:pt idx="1081">
                  <c:v>574.46</c:v>
                </c:pt>
                <c:pt idx="1082">
                  <c:v>574.46</c:v>
                </c:pt>
                <c:pt idx="1083">
                  <c:v>573.02</c:v>
                </c:pt>
                <c:pt idx="1084">
                  <c:v>575.04999999999995</c:v>
                </c:pt>
                <c:pt idx="1085">
                  <c:v>612.41999999999996</c:v>
                </c:pt>
                <c:pt idx="1086">
                  <c:v>628.39</c:v>
                </c:pt>
                <c:pt idx="1087">
                  <c:v>629.86</c:v>
                </c:pt>
                <c:pt idx="1088">
                  <c:v>629.86</c:v>
                </c:pt>
                <c:pt idx="1089">
                  <c:v>629.86</c:v>
                </c:pt>
                <c:pt idx="1090">
                  <c:v>634.53</c:v>
                </c:pt>
                <c:pt idx="1091">
                  <c:v>662.49</c:v>
                </c:pt>
                <c:pt idx="1092">
                  <c:v>671.58</c:v>
                </c:pt>
                <c:pt idx="1093">
                  <c:v>676.87</c:v>
                </c:pt>
                <c:pt idx="1094">
                  <c:v>676.87</c:v>
                </c:pt>
              </c:numCache>
            </c:numRef>
          </c:val>
          <c:smooth val="0"/>
          <c:extLst>
            <c:ext xmlns:c16="http://schemas.microsoft.com/office/drawing/2014/chart" uri="{C3380CC4-5D6E-409C-BE32-E72D297353CC}">
              <c16:uniqueId val="{00000000-D9D0-45CE-82FE-893C78ABBA92}"/>
            </c:ext>
          </c:extLst>
        </c:ser>
        <c:dLbls>
          <c:showLegendKey val="0"/>
          <c:showVal val="0"/>
          <c:showCatName val="0"/>
          <c:showSerName val="0"/>
          <c:showPercent val="0"/>
          <c:showBubbleSize val="0"/>
        </c:dLbls>
        <c:marker val="1"/>
        <c:smooth val="0"/>
        <c:axId val="2085423231"/>
        <c:axId val="2071215679"/>
      </c:lineChart>
      <c:lineChart>
        <c:grouping val="standard"/>
        <c:varyColors val="0"/>
        <c:ser>
          <c:idx val="1"/>
          <c:order val="1"/>
          <c:tx>
            <c:v>S&amp;P 500</c:v>
          </c:tx>
          <c:spPr>
            <a:ln w="12700" cap="rnd">
              <a:solidFill>
                <a:schemeClr val="bg1">
                  <a:lumMod val="50000"/>
                </a:schemeClr>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F7'!$AL$6:$AL$1100</c:f>
              <c:numCache>
                <c:formatCode>#,##0</c:formatCode>
                <c:ptCount val="1095"/>
                <c:pt idx="0">
                  <c:v>4154.5189899999996</c:v>
                </c:pt>
                <c:pt idx="1">
                  <c:v>4129.7923700000001</c:v>
                </c:pt>
                <c:pt idx="2">
                  <c:v>4133.5213199999998</c:v>
                </c:pt>
                <c:pt idx="3">
                  <c:v>4133.5213199999998</c:v>
                </c:pt>
                <c:pt idx="4">
                  <c:v>4133.5213199999998</c:v>
                </c:pt>
                <c:pt idx="5">
                  <c:v>4137.0445900000004</c:v>
                </c:pt>
                <c:pt idx="6">
                  <c:v>4071.6304300000002</c:v>
                </c:pt>
                <c:pt idx="7">
                  <c:v>4055.9877799999999</c:v>
                </c:pt>
                <c:pt idx="8">
                  <c:v>4135.3522300000004</c:v>
                </c:pt>
                <c:pt idx="9">
                  <c:v>4169.4813999999997</c:v>
                </c:pt>
                <c:pt idx="10">
                  <c:v>4169.4813999999997</c:v>
                </c:pt>
                <c:pt idx="11">
                  <c:v>4169.4813999999997</c:v>
                </c:pt>
                <c:pt idx="12">
                  <c:v>4167.8668900000002</c:v>
                </c:pt>
                <c:pt idx="13">
                  <c:v>4119.5804500000004</c:v>
                </c:pt>
                <c:pt idx="14">
                  <c:v>4090.7522199999999</c:v>
                </c:pt>
                <c:pt idx="15">
                  <c:v>4061.2168900000001</c:v>
                </c:pt>
                <c:pt idx="16">
                  <c:v>4136.25335</c:v>
                </c:pt>
                <c:pt idx="17">
                  <c:v>4136.25335</c:v>
                </c:pt>
                <c:pt idx="18">
                  <c:v>4136.25335</c:v>
                </c:pt>
                <c:pt idx="19">
                  <c:v>4138.1229800000001</c:v>
                </c:pt>
                <c:pt idx="20">
                  <c:v>4119.1733700000004</c:v>
                </c:pt>
                <c:pt idx="21">
                  <c:v>4137.6421899999996</c:v>
                </c:pt>
                <c:pt idx="22">
                  <c:v>4130.6212699999996</c:v>
                </c:pt>
                <c:pt idx="23">
                  <c:v>4124.0810199999996</c:v>
                </c:pt>
                <c:pt idx="24">
                  <c:v>4124.0810199999996</c:v>
                </c:pt>
                <c:pt idx="25">
                  <c:v>4124.0810199999996</c:v>
                </c:pt>
                <c:pt idx="26">
                  <c:v>4136.2842099999998</c:v>
                </c:pt>
                <c:pt idx="27">
                  <c:v>4109.8970099999997</c:v>
                </c:pt>
                <c:pt idx="28">
                  <c:v>4158.7707700000001</c:v>
                </c:pt>
                <c:pt idx="29">
                  <c:v>4198.0509499999998</c:v>
                </c:pt>
                <c:pt idx="30">
                  <c:v>4191.9797900000003</c:v>
                </c:pt>
                <c:pt idx="31">
                  <c:v>4191.9797900000003</c:v>
                </c:pt>
                <c:pt idx="32">
                  <c:v>4191.9797900000003</c:v>
                </c:pt>
                <c:pt idx="33">
                  <c:v>4192.6306999999997</c:v>
                </c:pt>
                <c:pt idx="34">
                  <c:v>4145.5751899999996</c:v>
                </c:pt>
                <c:pt idx="35">
                  <c:v>4115.2385700000004</c:v>
                </c:pt>
                <c:pt idx="36">
                  <c:v>4151.2798700000003</c:v>
                </c:pt>
                <c:pt idx="37">
                  <c:v>4205.4525299999996</c:v>
                </c:pt>
                <c:pt idx="38">
                  <c:v>4205.4525299999996</c:v>
                </c:pt>
                <c:pt idx="39">
                  <c:v>4205.4525299999996</c:v>
                </c:pt>
                <c:pt idx="40">
                  <c:v>4205.4525299999996</c:v>
                </c:pt>
                <c:pt idx="41">
                  <c:v>4205.5206900000003</c:v>
                </c:pt>
                <c:pt idx="42">
                  <c:v>4179.82546</c:v>
                </c:pt>
                <c:pt idx="43">
                  <c:v>4221.0202200000003</c:v>
                </c:pt>
                <c:pt idx="44">
                  <c:v>4282.3655699999999</c:v>
                </c:pt>
                <c:pt idx="45">
                  <c:v>4282.3655699999999</c:v>
                </c:pt>
                <c:pt idx="46">
                  <c:v>4282.3655699999999</c:v>
                </c:pt>
                <c:pt idx="47">
                  <c:v>4273.7941899999996</c:v>
                </c:pt>
                <c:pt idx="48">
                  <c:v>4283.8483900000001</c:v>
                </c:pt>
                <c:pt idx="49">
                  <c:v>4267.5184600000002</c:v>
                </c:pt>
                <c:pt idx="50">
                  <c:v>4293.9277700000002</c:v>
                </c:pt>
                <c:pt idx="51">
                  <c:v>4298.8573100000003</c:v>
                </c:pt>
                <c:pt idx="52">
                  <c:v>4298.8573100000003</c:v>
                </c:pt>
                <c:pt idx="53">
                  <c:v>4298.8573100000003</c:v>
                </c:pt>
                <c:pt idx="54">
                  <c:v>4338.93444</c:v>
                </c:pt>
                <c:pt idx="55">
                  <c:v>4369.0063899999996</c:v>
                </c:pt>
                <c:pt idx="56">
                  <c:v>4372.5894399999997</c:v>
                </c:pt>
                <c:pt idx="57">
                  <c:v>4425.8442599999998</c:v>
                </c:pt>
                <c:pt idx="58">
                  <c:v>4409.5943600000001</c:v>
                </c:pt>
                <c:pt idx="59">
                  <c:v>4409.5943600000001</c:v>
                </c:pt>
                <c:pt idx="60">
                  <c:v>4409.5943600000001</c:v>
                </c:pt>
                <c:pt idx="61">
                  <c:v>4409.5943600000001</c:v>
                </c:pt>
                <c:pt idx="62">
                  <c:v>4388.7097599999997</c:v>
                </c:pt>
                <c:pt idx="63">
                  <c:v>4365.6898300000003</c:v>
                </c:pt>
                <c:pt idx="64">
                  <c:v>4381.89048</c:v>
                </c:pt>
                <c:pt idx="65">
                  <c:v>4348.3306700000003</c:v>
                </c:pt>
                <c:pt idx="66">
                  <c:v>4348.3306700000003</c:v>
                </c:pt>
                <c:pt idx="67">
                  <c:v>4348.3306700000003</c:v>
                </c:pt>
                <c:pt idx="68">
                  <c:v>4328.82161</c:v>
                </c:pt>
                <c:pt idx="69">
                  <c:v>4378.4053199999998</c:v>
                </c:pt>
                <c:pt idx="70">
                  <c:v>4376.8637099999996</c:v>
                </c:pt>
                <c:pt idx="71">
                  <c:v>4396.4434199999996</c:v>
                </c:pt>
                <c:pt idx="72">
                  <c:v>4450.3813099999998</c:v>
                </c:pt>
                <c:pt idx="73">
                  <c:v>4450.3813099999998</c:v>
                </c:pt>
                <c:pt idx="74">
                  <c:v>4450.3813099999998</c:v>
                </c:pt>
                <c:pt idx="75">
                  <c:v>4455.5938800000004</c:v>
                </c:pt>
                <c:pt idx="76">
                  <c:v>4455.5938800000004</c:v>
                </c:pt>
                <c:pt idx="77">
                  <c:v>4446.8247700000002</c:v>
                </c:pt>
                <c:pt idx="78">
                  <c:v>4411.5907299999999</c:v>
                </c:pt>
                <c:pt idx="79">
                  <c:v>4398.9526599999999</c:v>
                </c:pt>
                <c:pt idx="80">
                  <c:v>4398.9526599999999</c:v>
                </c:pt>
                <c:pt idx="81">
                  <c:v>4398.9526599999999</c:v>
                </c:pt>
                <c:pt idx="82">
                  <c:v>4409.5258000000003</c:v>
                </c:pt>
                <c:pt idx="83">
                  <c:v>4439.2563300000002</c:v>
                </c:pt>
                <c:pt idx="84">
                  <c:v>4472.1603299999997</c:v>
                </c:pt>
                <c:pt idx="85">
                  <c:v>4510.0418</c:v>
                </c:pt>
                <c:pt idx="86">
                  <c:v>4505.4203399999997</c:v>
                </c:pt>
                <c:pt idx="87">
                  <c:v>4505.4203399999997</c:v>
                </c:pt>
                <c:pt idx="88">
                  <c:v>4505.4203399999997</c:v>
                </c:pt>
                <c:pt idx="89">
                  <c:v>4522.7930999999999</c:v>
                </c:pt>
                <c:pt idx="90">
                  <c:v>4554.9769500000002</c:v>
                </c:pt>
                <c:pt idx="91">
                  <c:v>4565.7167099999997</c:v>
                </c:pt>
                <c:pt idx="92">
                  <c:v>4534.8675499999999</c:v>
                </c:pt>
                <c:pt idx="93">
                  <c:v>4536.3385399999997</c:v>
                </c:pt>
                <c:pt idx="94">
                  <c:v>4536.3385399999997</c:v>
                </c:pt>
                <c:pt idx="95">
                  <c:v>4536.3385399999997</c:v>
                </c:pt>
                <c:pt idx="96">
                  <c:v>4554.6424399999996</c:v>
                </c:pt>
                <c:pt idx="97">
                  <c:v>4567.4637000000002</c:v>
                </c:pt>
                <c:pt idx="98">
                  <c:v>4566.7517200000002</c:v>
                </c:pt>
                <c:pt idx="99">
                  <c:v>4537.4118600000002</c:v>
                </c:pt>
                <c:pt idx="100">
                  <c:v>4582.2313299999996</c:v>
                </c:pt>
                <c:pt idx="101">
                  <c:v>4582.2313299999996</c:v>
                </c:pt>
                <c:pt idx="102">
                  <c:v>4582.2313299999996</c:v>
                </c:pt>
                <c:pt idx="103">
                  <c:v>4588.9611400000003</c:v>
                </c:pt>
                <c:pt idx="104">
                  <c:v>4576.7291500000001</c:v>
                </c:pt>
                <c:pt idx="105">
                  <c:v>4513.3938600000001</c:v>
                </c:pt>
                <c:pt idx="106">
                  <c:v>4501.8856699999997</c:v>
                </c:pt>
                <c:pt idx="107">
                  <c:v>4478.0338400000001</c:v>
                </c:pt>
                <c:pt idx="108">
                  <c:v>4478.0338400000001</c:v>
                </c:pt>
                <c:pt idx="109">
                  <c:v>4478.0338400000001</c:v>
                </c:pt>
                <c:pt idx="110">
                  <c:v>4518.4433600000002</c:v>
                </c:pt>
                <c:pt idx="111">
                  <c:v>4499.3772600000002</c:v>
                </c:pt>
                <c:pt idx="112">
                  <c:v>4467.7140900000004</c:v>
                </c:pt>
                <c:pt idx="113">
                  <c:v>4468.8347700000004</c:v>
                </c:pt>
                <c:pt idx="114">
                  <c:v>4464.0545599999996</c:v>
                </c:pt>
                <c:pt idx="115">
                  <c:v>4464.0545599999996</c:v>
                </c:pt>
                <c:pt idx="116">
                  <c:v>4464.0545599999996</c:v>
                </c:pt>
                <c:pt idx="117">
                  <c:v>4489.7183299999997</c:v>
                </c:pt>
                <c:pt idx="118">
                  <c:v>4437.85905</c:v>
                </c:pt>
                <c:pt idx="119">
                  <c:v>4404.3334699999996</c:v>
                </c:pt>
                <c:pt idx="120">
                  <c:v>4370.36006</c:v>
                </c:pt>
                <c:pt idx="121">
                  <c:v>4369.7115000000003</c:v>
                </c:pt>
                <c:pt idx="122">
                  <c:v>4369.7115000000003</c:v>
                </c:pt>
                <c:pt idx="123">
                  <c:v>4369.7115000000003</c:v>
                </c:pt>
                <c:pt idx="124">
                  <c:v>4399.7691000000004</c:v>
                </c:pt>
                <c:pt idx="125">
                  <c:v>4387.5487000000003</c:v>
                </c:pt>
                <c:pt idx="126">
                  <c:v>4436.0117399999999</c:v>
                </c:pt>
                <c:pt idx="127">
                  <c:v>4376.31495</c:v>
                </c:pt>
                <c:pt idx="128">
                  <c:v>4405.7057299999997</c:v>
                </c:pt>
                <c:pt idx="129">
                  <c:v>4405.7057299999997</c:v>
                </c:pt>
                <c:pt idx="130">
                  <c:v>4405.7057299999997</c:v>
                </c:pt>
                <c:pt idx="131">
                  <c:v>4433.3056500000002</c:v>
                </c:pt>
                <c:pt idx="132">
                  <c:v>4497.6316699999998</c:v>
                </c:pt>
                <c:pt idx="133">
                  <c:v>4514.8652599999996</c:v>
                </c:pt>
                <c:pt idx="134">
                  <c:v>4507.6617900000001</c:v>
                </c:pt>
                <c:pt idx="135">
                  <c:v>4515.7673999999997</c:v>
                </c:pt>
                <c:pt idx="136">
                  <c:v>4515.7673999999997</c:v>
                </c:pt>
                <c:pt idx="137">
                  <c:v>4515.7673999999997</c:v>
                </c:pt>
                <c:pt idx="138">
                  <c:v>4515.7673999999997</c:v>
                </c:pt>
                <c:pt idx="139">
                  <c:v>4496.8272800000004</c:v>
                </c:pt>
                <c:pt idx="140">
                  <c:v>4465.4847600000003</c:v>
                </c:pt>
                <c:pt idx="141">
                  <c:v>4451.1379800000004</c:v>
                </c:pt>
                <c:pt idx="142">
                  <c:v>4457.4893099999999</c:v>
                </c:pt>
                <c:pt idx="143">
                  <c:v>4457.4893099999999</c:v>
                </c:pt>
                <c:pt idx="144">
                  <c:v>4457.4893099999999</c:v>
                </c:pt>
                <c:pt idx="145">
                  <c:v>4487.4638599999998</c:v>
                </c:pt>
                <c:pt idx="146">
                  <c:v>4461.9049199999999</c:v>
                </c:pt>
                <c:pt idx="147">
                  <c:v>4467.44193</c:v>
                </c:pt>
                <c:pt idx="148">
                  <c:v>4505.0962799999998</c:v>
                </c:pt>
                <c:pt idx="149">
                  <c:v>4450.31628</c:v>
                </c:pt>
                <c:pt idx="150">
                  <c:v>4450.31628</c:v>
                </c:pt>
                <c:pt idx="151">
                  <c:v>4450.31628</c:v>
                </c:pt>
                <c:pt idx="152">
                  <c:v>4453.5338000000002</c:v>
                </c:pt>
                <c:pt idx="153">
                  <c:v>4443.9475000000002</c:v>
                </c:pt>
                <c:pt idx="154">
                  <c:v>4402.2035400000004</c:v>
                </c:pt>
                <c:pt idx="155">
                  <c:v>4330.0048500000003</c:v>
                </c:pt>
                <c:pt idx="156">
                  <c:v>4320.0571300000001</c:v>
                </c:pt>
                <c:pt idx="157">
                  <c:v>4320.0571300000001</c:v>
                </c:pt>
                <c:pt idx="158">
                  <c:v>4320.0571300000001</c:v>
                </c:pt>
                <c:pt idx="159">
                  <c:v>4337.4449800000002</c:v>
                </c:pt>
                <c:pt idx="160">
                  <c:v>4273.5283099999997</c:v>
                </c:pt>
                <c:pt idx="161">
                  <c:v>4274.5094099999997</c:v>
                </c:pt>
                <c:pt idx="162">
                  <c:v>4299.7019899999996</c:v>
                </c:pt>
                <c:pt idx="163">
                  <c:v>4288.0541199999998</c:v>
                </c:pt>
                <c:pt idx="164">
                  <c:v>4288.0541199999998</c:v>
                </c:pt>
                <c:pt idx="165">
                  <c:v>4288.0541199999998</c:v>
                </c:pt>
                <c:pt idx="166">
                  <c:v>4288.3906999999999</c:v>
                </c:pt>
                <c:pt idx="167">
                  <c:v>4229.4530299999997</c:v>
                </c:pt>
                <c:pt idx="168">
                  <c:v>4263.7511400000003</c:v>
                </c:pt>
                <c:pt idx="169">
                  <c:v>4258.1858099999999</c:v>
                </c:pt>
                <c:pt idx="170">
                  <c:v>4308.5022600000002</c:v>
                </c:pt>
                <c:pt idx="171">
                  <c:v>4308.5022600000002</c:v>
                </c:pt>
                <c:pt idx="172">
                  <c:v>4308.5022600000002</c:v>
                </c:pt>
                <c:pt idx="173">
                  <c:v>4335.6575199999997</c:v>
                </c:pt>
                <c:pt idx="174">
                  <c:v>4358.2378600000002</c:v>
                </c:pt>
                <c:pt idx="175">
                  <c:v>4376.9451799999997</c:v>
                </c:pt>
                <c:pt idx="176">
                  <c:v>4349.6057799999999</c:v>
                </c:pt>
                <c:pt idx="177">
                  <c:v>4327.7830299999996</c:v>
                </c:pt>
                <c:pt idx="178">
                  <c:v>4327.7830299999996</c:v>
                </c:pt>
                <c:pt idx="179">
                  <c:v>4327.7830299999996</c:v>
                </c:pt>
                <c:pt idx="180">
                  <c:v>4373.6348099999996</c:v>
                </c:pt>
                <c:pt idx="181">
                  <c:v>4373.1959900000002</c:v>
                </c:pt>
                <c:pt idx="182">
                  <c:v>4314.6006500000003</c:v>
                </c:pt>
                <c:pt idx="183">
                  <c:v>4277.9974300000003</c:v>
                </c:pt>
                <c:pt idx="184">
                  <c:v>4224.1594800000003</c:v>
                </c:pt>
                <c:pt idx="185">
                  <c:v>4224.1594800000003</c:v>
                </c:pt>
                <c:pt idx="186">
                  <c:v>4224.1594800000003</c:v>
                </c:pt>
                <c:pt idx="187">
                  <c:v>4217.0433899999998</c:v>
                </c:pt>
                <c:pt idx="188">
                  <c:v>4247.6768400000001</c:v>
                </c:pt>
                <c:pt idx="189">
                  <c:v>4186.7652500000004</c:v>
                </c:pt>
                <c:pt idx="190">
                  <c:v>4137.2308400000002</c:v>
                </c:pt>
                <c:pt idx="191">
                  <c:v>4117.3738300000005</c:v>
                </c:pt>
                <c:pt idx="192">
                  <c:v>4117.3738300000005</c:v>
                </c:pt>
                <c:pt idx="193">
                  <c:v>4117.3738300000005</c:v>
                </c:pt>
                <c:pt idx="194">
                  <c:v>4166.8151399999997</c:v>
                </c:pt>
                <c:pt idx="195">
                  <c:v>4193.8009599999996</c:v>
                </c:pt>
                <c:pt idx="196">
                  <c:v>4237.8556500000004</c:v>
                </c:pt>
                <c:pt idx="197">
                  <c:v>4317.7754800000002</c:v>
                </c:pt>
                <c:pt idx="198">
                  <c:v>4358.33518</c:v>
                </c:pt>
                <c:pt idx="199">
                  <c:v>4358.33518</c:v>
                </c:pt>
                <c:pt idx="200">
                  <c:v>4358.33518</c:v>
                </c:pt>
                <c:pt idx="201">
                  <c:v>4365.9780199999996</c:v>
                </c:pt>
                <c:pt idx="202">
                  <c:v>4378.37914</c:v>
                </c:pt>
                <c:pt idx="203">
                  <c:v>4382.7837799999998</c:v>
                </c:pt>
                <c:pt idx="204">
                  <c:v>4347.3493200000003</c:v>
                </c:pt>
                <c:pt idx="205">
                  <c:v>4415.2446900000004</c:v>
                </c:pt>
                <c:pt idx="206">
                  <c:v>4415.2446900000004</c:v>
                </c:pt>
                <c:pt idx="207">
                  <c:v>4415.2446900000004</c:v>
                </c:pt>
                <c:pt idx="208">
                  <c:v>4411.5548900000003</c:v>
                </c:pt>
                <c:pt idx="209">
                  <c:v>4495.7015899999997</c:v>
                </c:pt>
                <c:pt idx="210">
                  <c:v>4502.8788299999997</c:v>
                </c:pt>
                <c:pt idx="211">
                  <c:v>4508.2434999999996</c:v>
                </c:pt>
                <c:pt idx="212">
                  <c:v>4514.0178599999999</c:v>
                </c:pt>
                <c:pt idx="213">
                  <c:v>4514.0178599999999</c:v>
                </c:pt>
                <c:pt idx="214">
                  <c:v>4514.0178599999999</c:v>
                </c:pt>
                <c:pt idx="215">
                  <c:v>4547.3774899999999</c:v>
                </c:pt>
                <c:pt idx="216">
                  <c:v>4538.1916600000004</c:v>
                </c:pt>
                <c:pt idx="217">
                  <c:v>4556.6192199999996</c:v>
                </c:pt>
                <c:pt idx="218">
                  <c:v>4556.6192199999996</c:v>
                </c:pt>
                <c:pt idx="219">
                  <c:v>4559.3352100000002</c:v>
                </c:pt>
                <c:pt idx="220">
                  <c:v>4559.3352100000002</c:v>
                </c:pt>
                <c:pt idx="221">
                  <c:v>4559.3352100000002</c:v>
                </c:pt>
                <c:pt idx="222">
                  <c:v>4550.4280500000004</c:v>
                </c:pt>
                <c:pt idx="223">
                  <c:v>4554.8905599999998</c:v>
                </c:pt>
                <c:pt idx="224">
                  <c:v>4550.5823200000004</c:v>
                </c:pt>
                <c:pt idx="225">
                  <c:v>4567.79864</c:v>
                </c:pt>
                <c:pt idx="226">
                  <c:v>4594.6315800000002</c:v>
                </c:pt>
                <c:pt idx="227">
                  <c:v>4594.6315800000002</c:v>
                </c:pt>
                <c:pt idx="228">
                  <c:v>4594.6315800000002</c:v>
                </c:pt>
                <c:pt idx="229">
                  <c:v>4569.7815600000004</c:v>
                </c:pt>
                <c:pt idx="230">
                  <c:v>4567.1829699999998</c:v>
                </c:pt>
                <c:pt idx="231">
                  <c:v>4549.3373799999999</c:v>
                </c:pt>
                <c:pt idx="232">
                  <c:v>4585.58619</c:v>
                </c:pt>
                <c:pt idx="233">
                  <c:v>4604.3722500000003</c:v>
                </c:pt>
                <c:pt idx="234">
                  <c:v>4604.3722500000003</c:v>
                </c:pt>
                <c:pt idx="235">
                  <c:v>4604.3722500000003</c:v>
                </c:pt>
                <c:pt idx="236">
                  <c:v>4622.4407700000002</c:v>
                </c:pt>
                <c:pt idx="237">
                  <c:v>4643.7017699999997</c:v>
                </c:pt>
                <c:pt idx="238">
                  <c:v>4707.0913600000003</c:v>
                </c:pt>
                <c:pt idx="239">
                  <c:v>4719.5519199999999</c:v>
                </c:pt>
                <c:pt idx="240">
                  <c:v>4719.1906499999996</c:v>
                </c:pt>
                <c:pt idx="241">
                  <c:v>4719.1906499999996</c:v>
                </c:pt>
                <c:pt idx="242">
                  <c:v>4719.1906499999996</c:v>
                </c:pt>
                <c:pt idx="243">
                  <c:v>4740.5560100000002</c:v>
                </c:pt>
                <c:pt idx="244">
                  <c:v>4768.3653700000004</c:v>
                </c:pt>
                <c:pt idx="245">
                  <c:v>4698.3519500000002</c:v>
                </c:pt>
                <c:pt idx="246">
                  <c:v>4746.7456400000001</c:v>
                </c:pt>
                <c:pt idx="247">
                  <c:v>4754.6314499999999</c:v>
                </c:pt>
                <c:pt idx="248">
                  <c:v>4754.6314499999999</c:v>
                </c:pt>
                <c:pt idx="249">
                  <c:v>4754.6314499999999</c:v>
                </c:pt>
                <c:pt idx="250">
                  <c:v>4754.6314499999999</c:v>
                </c:pt>
                <c:pt idx="251">
                  <c:v>4774.7506000000003</c:v>
                </c:pt>
                <c:pt idx="252">
                  <c:v>4781.5788000000002</c:v>
                </c:pt>
                <c:pt idx="253">
                  <c:v>4783.3473800000002</c:v>
                </c:pt>
                <c:pt idx="254">
                  <c:v>4769.8294100000003</c:v>
                </c:pt>
                <c:pt idx="255">
                  <c:v>4769.8294100000003</c:v>
                </c:pt>
                <c:pt idx="256">
                  <c:v>4769.8294100000003</c:v>
                </c:pt>
                <c:pt idx="257">
                  <c:v>4769.8294100000003</c:v>
                </c:pt>
                <c:pt idx="258">
                  <c:v>4742.8294900000001</c:v>
                </c:pt>
                <c:pt idx="259">
                  <c:v>4704.8110900000001</c:v>
                </c:pt>
                <c:pt idx="260">
                  <c:v>4688.6760100000001</c:v>
                </c:pt>
                <c:pt idx="261">
                  <c:v>4697.2449399999996</c:v>
                </c:pt>
                <c:pt idx="262">
                  <c:v>4697.2449399999996</c:v>
                </c:pt>
                <c:pt idx="263">
                  <c:v>4697.2449399999996</c:v>
                </c:pt>
                <c:pt idx="264">
                  <c:v>4763.5372799999996</c:v>
                </c:pt>
                <c:pt idx="265">
                  <c:v>4756.4965400000001</c:v>
                </c:pt>
                <c:pt idx="266">
                  <c:v>4783.4491200000002</c:v>
                </c:pt>
                <c:pt idx="267">
                  <c:v>4780.2424700000001</c:v>
                </c:pt>
                <c:pt idx="268">
                  <c:v>4783.8310700000002</c:v>
                </c:pt>
                <c:pt idx="269">
                  <c:v>4783.8310700000002</c:v>
                </c:pt>
                <c:pt idx="270">
                  <c:v>4783.8310700000002</c:v>
                </c:pt>
                <c:pt idx="271">
                  <c:v>4783.8310700000002</c:v>
                </c:pt>
                <c:pt idx="272">
                  <c:v>4765.9760200000001</c:v>
                </c:pt>
                <c:pt idx="273">
                  <c:v>4739.2081399999997</c:v>
                </c:pt>
                <c:pt idx="274">
                  <c:v>4780.9376499999998</c:v>
                </c:pt>
                <c:pt idx="275">
                  <c:v>4839.81142</c:v>
                </c:pt>
                <c:pt idx="276">
                  <c:v>4839.81142</c:v>
                </c:pt>
                <c:pt idx="277">
                  <c:v>4839.81142</c:v>
                </c:pt>
                <c:pt idx="278">
                  <c:v>4850.4256699999996</c:v>
                </c:pt>
                <c:pt idx="279">
                  <c:v>4864.5967199999996</c:v>
                </c:pt>
                <c:pt idx="280">
                  <c:v>4868.5539200000003</c:v>
                </c:pt>
                <c:pt idx="281">
                  <c:v>4894.1555799999996</c:v>
                </c:pt>
                <c:pt idx="282">
                  <c:v>4890.9705100000001</c:v>
                </c:pt>
                <c:pt idx="283">
                  <c:v>4890.9705100000001</c:v>
                </c:pt>
                <c:pt idx="284">
                  <c:v>4890.9705100000001</c:v>
                </c:pt>
                <c:pt idx="285">
                  <c:v>4927.9288200000001</c:v>
                </c:pt>
                <c:pt idx="286">
                  <c:v>4924.9738900000002</c:v>
                </c:pt>
                <c:pt idx="287">
                  <c:v>4845.6471799999999</c:v>
                </c:pt>
                <c:pt idx="288">
                  <c:v>4906.1940400000003</c:v>
                </c:pt>
                <c:pt idx="289">
                  <c:v>4958.6138899999996</c:v>
                </c:pt>
                <c:pt idx="290">
                  <c:v>4958.6138899999996</c:v>
                </c:pt>
                <c:pt idx="291">
                  <c:v>4958.6138899999996</c:v>
                </c:pt>
                <c:pt idx="292">
                  <c:v>4942.8058799999999</c:v>
                </c:pt>
                <c:pt idx="293">
                  <c:v>4954.2305100000003</c:v>
                </c:pt>
                <c:pt idx="294">
                  <c:v>4995.0558499999997</c:v>
                </c:pt>
                <c:pt idx="295">
                  <c:v>4997.9053700000004</c:v>
                </c:pt>
                <c:pt idx="296">
                  <c:v>5026.6085800000001</c:v>
                </c:pt>
                <c:pt idx="297">
                  <c:v>5026.6085800000001</c:v>
                </c:pt>
                <c:pt idx="298">
                  <c:v>5026.6085800000001</c:v>
                </c:pt>
                <c:pt idx="299">
                  <c:v>5021.8444799999997</c:v>
                </c:pt>
                <c:pt idx="300">
                  <c:v>4953.16795</c:v>
                </c:pt>
                <c:pt idx="301">
                  <c:v>5000.6200699999999</c:v>
                </c:pt>
                <c:pt idx="302">
                  <c:v>5029.7347099999997</c:v>
                </c:pt>
                <c:pt idx="303">
                  <c:v>5005.5684499999998</c:v>
                </c:pt>
                <c:pt idx="304">
                  <c:v>5005.5684499999998</c:v>
                </c:pt>
                <c:pt idx="305">
                  <c:v>5005.5684499999998</c:v>
                </c:pt>
                <c:pt idx="306">
                  <c:v>5005.5684499999998</c:v>
                </c:pt>
                <c:pt idx="307">
                  <c:v>4975.51127</c:v>
                </c:pt>
                <c:pt idx="308">
                  <c:v>4981.7969999999996</c:v>
                </c:pt>
                <c:pt idx="309">
                  <c:v>5087.0324300000002</c:v>
                </c:pt>
                <c:pt idx="310">
                  <c:v>5088.7999499999996</c:v>
                </c:pt>
                <c:pt idx="311">
                  <c:v>5088.7999499999996</c:v>
                </c:pt>
                <c:pt idx="312">
                  <c:v>5088.7999499999996</c:v>
                </c:pt>
                <c:pt idx="313">
                  <c:v>5069.5305099999996</c:v>
                </c:pt>
                <c:pt idx="314">
                  <c:v>5078.1825200000003</c:v>
                </c:pt>
                <c:pt idx="315">
                  <c:v>5069.7565100000002</c:v>
                </c:pt>
                <c:pt idx="316">
                  <c:v>5096.2695000000003</c:v>
                </c:pt>
                <c:pt idx="317">
                  <c:v>5137.0838000000003</c:v>
                </c:pt>
                <c:pt idx="318">
                  <c:v>5137.0838000000003</c:v>
                </c:pt>
                <c:pt idx="319">
                  <c:v>5137.0838000000003</c:v>
                </c:pt>
                <c:pt idx="320">
                  <c:v>5130.9491500000004</c:v>
                </c:pt>
                <c:pt idx="321">
                  <c:v>5078.6540000000005</c:v>
                </c:pt>
                <c:pt idx="322">
                  <c:v>5104.7571600000001</c:v>
                </c:pt>
                <c:pt idx="323">
                  <c:v>5157.3592799999997</c:v>
                </c:pt>
                <c:pt idx="324">
                  <c:v>5123.6910900000003</c:v>
                </c:pt>
                <c:pt idx="325">
                  <c:v>5123.6910900000003</c:v>
                </c:pt>
                <c:pt idx="326">
                  <c:v>5123.6910900000003</c:v>
                </c:pt>
                <c:pt idx="327">
                  <c:v>5117.9367599999996</c:v>
                </c:pt>
                <c:pt idx="328">
                  <c:v>5175.2676199999996</c:v>
                </c:pt>
                <c:pt idx="329">
                  <c:v>5165.31185</c:v>
                </c:pt>
                <c:pt idx="330">
                  <c:v>5150.4799199999998</c:v>
                </c:pt>
                <c:pt idx="331">
                  <c:v>5117.0882199999996</c:v>
                </c:pt>
                <c:pt idx="332">
                  <c:v>5117.0882199999996</c:v>
                </c:pt>
                <c:pt idx="333">
                  <c:v>5117.0882199999996</c:v>
                </c:pt>
                <c:pt idx="334">
                  <c:v>5149.4174700000003</c:v>
                </c:pt>
                <c:pt idx="335">
                  <c:v>5178.5092599999998</c:v>
                </c:pt>
                <c:pt idx="336">
                  <c:v>5224.6232399999999</c:v>
                </c:pt>
                <c:pt idx="337">
                  <c:v>5241.5328</c:v>
                </c:pt>
                <c:pt idx="338">
                  <c:v>5234.1800599999997</c:v>
                </c:pt>
                <c:pt idx="339">
                  <c:v>5234.1800599999997</c:v>
                </c:pt>
                <c:pt idx="340">
                  <c:v>5234.1800599999997</c:v>
                </c:pt>
                <c:pt idx="341">
                  <c:v>5218.1866200000004</c:v>
                </c:pt>
                <c:pt idx="342">
                  <c:v>5203.5842000000002</c:v>
                </c:pt>
                <c:pt idx="343">
                  <c:v>5248.4931299999998</c:v>
                </c:pt>
                <c:pt idx="344">
                  <c:v>5254.3544000000002</c:v>
                </c:pt>
                <c:pt idx="345">
                  <c:v>5254.3544000000002</c:v>
                </c:pt>
                <c:pt idx="346">
                  <c:v>5254.3544000000002</c:v>
                </c:pt>
                <c:pt idx="347">
                  <c:v>5254.3544000000002</c:v>
                </c:pt>
                <c:pt idx="348">
                  <c:v>5243.7729499999996</c:v>
                </c:pt>
                <c:pt idx="349">
                  <c:v>5205.8110900000001</c:v>
                </c:pt>
                <c:pt idx="350">
                  <c:v>5211.4860900000003</c:v>
                </c:pt>
                <c:pt idx="351">
                  <c:v>5147.2089800000003</c:v>
                </c:pt>
                <c:pt idx="352">
                  <c:v>5204.3351400000001</c:v>
                </c:pt>
                <c:pt idx="353">
                  <c:v>5204.3351400000001</c:v>
                </c:pt>
                <c:pt idx="354">
                  <c:v>5204.3351400000001</c:v>
                </c:pt>
                <c:pt idx="355">
                  <c:v>5202.3919299999998</c:v>
                </c:pt>
                <c:pt idx="356">
                  <c:v>5209.9108399999996</c:v>
                </c:pt>
                <c:pt idx="357">
                  <c:v>5160.6397900000002</c:v>
                </c:pt>
                <c:pt idx="358">
                  <c:v>5199.0567700000001</c:v>
                </c:pt>
                <c:pt idx="359">
                  <c:v>5123.4068200000002</c:v>
                </c:pt>
                <c:pt idx="360">
                  <c:v>5123.4068200000002</c:v>
                </c:pt>
                <c:pt idx="361">
                  <c:v>5123.4068200000002</c:v>
                </c:pt>
                <c:pt idx="362">
                  <c:v>5061.8155299999999</c:v>
                </c:pt>
                <c:pt idx="363">
                  <c:v>5051.4139500000001</c:v>
                </c:pt>
                <c:pt idx="364">
                  <c:v>5022.2080400000004</c:v>
                </c:pt>
                <c:pt idx="365">
                  <c:v>5011.1227500000005</c:v>
                </c:pt>
                <c:pt idx="366">
                  <c:v>4967.2349000000004</c:v>
                </c:pt>
                <c:pt idx="367">
                  <c:v>4967.2349000000004</c:v>
                </c:pt>
                <c:pt idx="368">
                  <c:v>4967.2349000000004</c:v>
                </c:pt>
                <c:pt idx="369">
                  <c:v>5010.6046399999996</c:v>
                </c:pt>
                <c:pt idx="370">
                  <c:v>5070.55123</c:v>
                </c:pt>
                <c:pt idx="371">
                  <c:v>5071.6284699999997</c:v>
                </c:pt>
                <c:pt idx="372">
                  <c:v>5048.4157100000002</c:v>
                </c:pt>
                <c:pt idx="373">
                  <c:v>5099.96245</c:v>
                </c:pt>
                <c:pt idx="374">
                  <c:v>5099.96245</c:v>
                </c:pt>
                <c:pt idx="375">
                  <c:v>5099.96245</c:v>
                </c:pt>
                <c:pt idx="376">
                  <c:v>5116.1675599999999</c:v>
                </c:pt>
                <c:pt idx="377">
                  <c:v>5035.6916799999999</c:v>
                </c:pt>
                <c:pt idx="378">
                  <c:v>5018.3850000000002</c:v>
                </c:pt>
                <c:pt idx="379">
                  <c:v>5064.1952700000002</c:v>
                </c:pt>
                <c:pt idx="380">
                  <c:v>5127.7866299999996</c:v>
                </c:pt>
                <c:pt idx="381">
                  <c:v>5127.7866299999996</c:v>
                </c:pt>
                <c:pt idx="382">
                  <c:v>5127.7866299999996</c:v>
                </c:pt>
                <c:pt idx="383">
                  <c:v>5180.7406899999996</c:v>
                </c:pt>
                <c:pt idx="384">
                  <c:v>5187.6978600000002</c:v>
                </c:pt>
                <c:pt idx="385">
                  <c:v>5187.6707399999996</c:v>
                </c:pt>
                <c:pt idx="386">
                  <c:v>5214.0814300000002</c:v>
                </c:pt>
                <c:pt idx="387">
                  <c:v>5222.6753699999999</c:v>
                </c:pt>
                <c:pt idx="388">
                  <c:v>5222.6753699999999</c:v>
                </c:pt>
                <c:pt idx="389">
                  <c:v>5222.6753699999999</c:v>
                </c:pt>
                <c:pt idx="390">
                  <c:v>5221.4156400000002</c:v>
                </c:pt>
                <c:pt idx="391">
                  <c:v>5246.6805199999999</c:v>
                </c:pt>
                <c:pt idx="392">
                  <c:v>5308.14959</c:v>
                </c:pt>
                <c:pt idx="393">
                  <c:v>5297.0984500000004</c:v>
                </c:pt>
                <c:pt idx="394">
                  <c:v>5303.2696599999999</c:v>
                </c:pt>
                <c:pt idx="395">
                  <c:v>5303.2696599999999</c:v>
                </c:pt>
                <c:pt idx="396">
                  <c:v>5303.2696599999999</c:v>
                </c:pt>
                <c:pt idx="397">
                  <c:v>5308.1322700000001</c:v>
                </c:pt>
                <c:pt idx="398">
                  <c:v>5321.4120199999998</c:v>
                </c:pt>
                <c:pt idx="399">
                  <c:v>5307.00522</c:v>
                </c:pt>
                <c:pt idx="400">
                  <c:v>5267.8380699999998</c:v>
                </c:pt>
                <c:pt idx="401">
                  <c:v>5304.7175999999999</c:v>
                </c:pt>
                <c:pt idx="402">
                  <c:v>5304.7175999999999</c:v>
                </c:pt>
                <c:pt idx="403">
                  <c:v>5304.7175999999999</c:v>
                </c:pt>
                <c:pt idx="404">
                  <c:v>5304.7175999999999</c:v>
                </c:pt>
                <c:pt idx="405">
                  <c:v>5306.0444699999998</c:v>
                </c:pt>
                <c:pt idx="406">
                  <c:v>5266.9493599999996</c:v>
                </c:pt>
                <c:pt idx="407">
                  <c:v>5235.4772599999997</c:v>
                </c:pt>
                <c:pt idx="408">
                  <c:v>5277.5073499999999</c:v>
                </c:pt>
                <c:pt idx="409">
                  <c:v>5277.5073499999999</c:v>
                </c:pt>
                <c:pt idx="410">
                  <c:v>5277.5073499999999</c:v>
                </c:pt>
                <c:pt idx="411">
                  <c:v>5283.3968699999996</c:v>
                </c:pt>
                <c:pt idx="412">
                  <c:v>5291.3354099999997</c:v>
                </c:pt>
                <c:pt idx="413">
                  <c:v>5354.0286500000002</c:v>
                </c:pt>
                <c:pt idx="414">
                  <c:v>5352.9622399999998</c:v>
                </c:pt>
                <c:pt idx="415">
                  <c:v>5346.9880700000003</c:v>
                </c:pt>
                <c:pt idx="416">
                  <c:v>5346.9880700000003</c:v>
                </c:pt>
                <c:pt idx="417">
                  <c:v>5346.9880700000003</c:v>
                </c:pt>
                <c:pt idx="418">
                  <c:v>5360.7884899999999</c:v>
                </c:pt>
                <c:pt idx="419">
                  <c:v>5375.3161799999998</c:v>
                </c:pt>
                <c:pt idx="420">
                  <c:v>5421.02585</c:v>
                </c:pt>
                <c:pt idx="421">
                  <c:v>5433.7431999999999</c:v>
                </c:pt>
                <c:pt idx="422">
                  <c:v>5431.6016499999996</c:v>
                </c:pt>
                <c:pt idx="423">
                  <c:v>5431.6016499999996</c:v>
                </c:pt>
                <c:pt idx="424">
                  <c:v>5431.6016499999996</c:v>
                </c:pt>
                <c:pt idx="425">
                  <c:v>5473.23315</c:v>
                </c:pt>
                <c:pt idx="426">
                  <c:v>5487.0264900000002</c:v>
                </c:pt>
                <c:pt idx="427">
                  <c:v>5487.0264900000002</c:v>
                </c:pt>
                <c:pt idx="428">
                  <c:v>5473.1687899999997</c:v>
                </c:pt>
                <c:pt idx="429">
                  <c:v>5464.6213399999997</c:v>
                </c:pt>
                <c:pt idx="430">
                  <c:v>5464.6213399999997</c:v>
                </c:pt>
                <c:pt idx="431">
                  <c:v>5464.6213399999997</c:v>
                </c:pt>
                <c:pt idx="432">
                  <c:v>5447.8726500000002</c:v>
                </c:pt>
                <c:pt idx="433">
                  <c:v>5469.2974299999996</c:v>
                </c:pt>
                <c:pt idx="434">
                  <c:v>5477.90362</c:v>
                </c:pt>
                <c:pt idx="435">
                  <c:v>5482.8717800000004</c:v>
                </c:pt>
                <c:pt idx="436">
                  <c:v>5460.4826199999998</c:v>
                </c:pt>
                <c:pt idx="437">
                  <c:v>5460.4826199999998</c:v>
                </c:pt>
                <c:pt idx="438">
                  <c:v>5460.4826199999998</c:v>
                </c:pt>
                <c:pt idx="439">
                  <c:v>5475.08835</c:v>
                </c:pt>
                <c:pt idx="440">
                  <c:v>5509.0111100000004</c:v>
                </c:pt>
                <c:pt idx="441">
                  <c:v>5537.0191299999997</c:v>
                </c:pt>
                <c:pt idx="442">
                  <c:v>5537.0191299999997</c:v>
                </c:pt>
                <c:pt idx="443">
                  <c:v>5567.1903899999998</c:v>
                </c:pt>
                <c:pt idx="444">
                  <c:v>5567.1903899999998</c:v>
                </c:pt>
                <c:pt idx="445">
                  <c:v>5567.1903899999998</c:v>
                </c:pt>
                <c:pt idx="446">
                  <c:v>5572.8501999999999</c:v>
                </c:pt>
                <c:pt idx="447">
                  <c:v>5576.9844999999996</c:v>
                </c:pt>
                <c:pt idx="448">
                  <c:v>5633.9122100000004</c:v>
                </c:pt>
                <c:pt idx="449">
                  <c:v>5584.5443299999997</c:v>
                </c:pt>
                <c:pt idx="450">
                  <c:v>5615.3487599999999</c:v>
                </c:pt>
                <c:pt idx="451">
                  <c:v>5615.3487599999999</c:v>
                </c:pt>
                <c:pt idx="452">
                  <c:v>5615.3487599999999</c:v>
                </c:pt>
                <c:pt idx="453">
                  <c:v>5631.2160400000002</c:v>
                </c:pt>
                <c:pt idx="454">
                  <c:v>5667.19769</c:v>
                </c:pt>
                <c:pt idx="455">
                  <c:v>5588.2716899999996</c:v>
                </c:pt>
                <c:pt idx="456">
                  <c:v>5544.5932400000002</c:v>
                </c:pt>
                <c:pt idx="457">
                  <c:v>5505.0030900000002</c:v>
                </c:pt>
                <c:pt idx="458">
                  <c:v>5505.0030900000002</c:v>
                </c:pt>
                <c:pt idx="459">
                  <c:v>5505.0030900000002</c:v>
                </c:pt>
                <c:pt idx="460">
                  <c:v>5564.4128899999996</c:v>
                </c:pt>
                <c:pt idx="461">
                  <c:v>5555.7436699999998</c:v>
                </c:pt>
                <c:pt idx="462">
                  <c:v>5427.1276799999996</c:v>
                </c:pt>
                <c:pt idx="463">
                  <c:v>5399.2224800000004</c:v>
                </c:pt>
                <c:pt idx="464">
                  <c:v>5459.0973999999997</c:v>
                </c:pt>
                <c:pt idx="465">
                  <c:v>5459.0973999999997</c:v>
                </c:pt>
                <c:pt idx="466">
                  <c:v>5459.0973999999997</c:v>
                </c:pt>
                <c:pt idx="467">
                  <c:v>5463.5384700000004</c:v>
                </c:pt>
                <c:pt idx="468">
                  <c:v>5436.4440999999997</c:v>
                </c:pt>
                <c:pt idx="469">
                  <c:v>5522.3018400000001</c:v>
                </c:pt>
                <c:pt idx="470">
                  <c:v>5446.6843200000003</c:v>
                </c:pt>
                <c:pt idx="471">
                  <c:v>5346.5632599999999</c:v>
                </c:pt>
                <c:pt idx="472">
                  <c:v>5346.5632599999999</c:v>
                </c:pt>
                <c:pt idx="473">
                  <c:v>5346.5632599999999</c:v>
                </c:pt>
                <c:pt idx="474">
                  <c:v>5186.3304099999996</c:v>
                </c:pt>
                <c:pt idx="475">
                  <c:v>5240.0261499999997</c:v>
                </c:pt>
                <c:pt idx="476">
                  <c:v>5199.4999699999998</c:v>
                </c:pt>
                <c:pt idx="477">
                  <c:v>5319.3081199999997</c:v>
                </c:pt>
                <c:pt idx="478">
                  <c:v>5344.1643599999998</c:v>
                </c:pt>
                <c:pt idx="479">
                  <c:v>5344.1643599999998</c:v>
                </c:pt>
                <c:pt idx="480">
                  <c:v>5344.1643599999998</c:v>
                </c:pt>
                <c:pt idx="481">
                  <c:v>5344.3851999999997</c:v>
                </c:pt>
                <c:pt idx="482">
                  <c:v>5434.4328299999997</c:v>
                </c:pt>
                <c:pt idx="483">
                  <c:v>5455.2120000000004</c:v>
                </c:pt>
                <c:pt idx="484">
                  <c:v>5543.2182300000004</c:v>
                </c:pt>
                <c:pt idx="485">
                  <c:v>5554.2510599999996</c:v>
                </c:pt>
                <c:pt idx="486">
                  <c:v>5554.2510599999996</c:v>
                </c:pt>
                <c:pt idx="487">
                  <c:v>5554.2510599999996</c:v>
                </c:pt>
                <c:pt idx="488">
                  <c:v>5608.2472600000001</c:v>
                </c:pt>
                <c:pt idx="489">
                  <c:v>5597.12482</c:v>
                </c:pt>
                <c:pt idx="490">
                  <c:v>5620.8527199999999</c:v>
                </c:pt>
                <c:pt idx="491">
                  <c:v>5570.6445700000004</c:v>
                </c:pt>
                <c:pt idx="492">
                  <c:v>5634.6058499999999</c:v>
                </c:pt>
                <c:pt idx="493">
                  <c:v>5634.6058499999999</c:v>
                </c:pt>
                <c:pt idx="494">
                  <c:v>5634.6058499999999</c:v>
                </c:pt>
                <c:pt idx="495">
                  <c:v>5616.8358500000004</c:v>
                </c:pt>
                <c:pt idx="496">
                  <c:v>5625.8019599999998</c:v>
                </c:pt>
                <c:pt idx="497">
                  <c:v>5592.1772099999998</c:v>
                </c:pt>
                <c:pt idx="498">
                  <c:v>5591.9637199999997</c:v>
                </c:pt>
                <c:pt idx="499">
                  <c:v>5648.3972400000002</c:v>
                </c:pt>
                <c:pt idx="500">
                  <c:v>5648.3972400000002</c:v>
                </c:pt>
                <c:pt idx="501">
                  <c:v>5648.3972400000002</c:v>
                </c:pt>
                <c:pt idx="502">
                  <c:v>5648.3972400000002</c:v>
                </c:pt>
                <c:pt idx="503">
                  <c:v>5528.9333999999999</c:v>
                </c:pt>
                <c:pt idx="504">
                  <c:v>5520.0678200000002</c:v>
                </c:pt>
                <c:pt idx="505">
                  <c:v>5503.4085699999996</c:v>
                </c:pt>
                <c:pt idx="506">
                  <c:v>5408.4221399999997</c:v>
                </c:pt>
                <c:pt idx="507">
                  <c:v>5408.4221399999997</c:v>
                </c:pt>
                <c:pt idx="508">
                  <c:v>5408.4221399999997</c:v>
                </c:pt>
                <c:pt idx="509">
                  <c:v>5471.0514499999999</c:v>
                </c:pt>
                <c:pt idx="510">
                  <c:v>5495.5194099999999</c:v>
                </c:pt>
                <c:pt idx="511">
                  <c:v>5554.1324199999999</c:v>
                </c:pt>
                <c:pt idx="512">
                  <c:v>5595.7634900000003</c:v>
                </c:pt>
                <c:pt idx="513">
                  <c:v>5626.0186000000003</c:v>
                </c:pt>
                <c:pt idx="514">
                  <c:v>5626.0186000000003</c:v>
                </c:pt>
                <c:pt idx="515">
                  <c:v>5626.0186000000003</c:v>
                </c:pt>
                <c:pt idx="516">
                  <c:v>5633.0877799999998</c:v>
                </c:pt>
                <c:pt idx="517">
                  <c:v>5634.5804399999997</c:v>
                </c:pt>
                <c:pt idx="518">
                  <c:v>5618.2590300000002</c:v>
                </c:pt>
                <c:pt idx="519">
                  <c:v>5713.6410900000001</c:v>
                </c:pt>
                <c:pt idx="520">
                  <c:v>5702.5476200000003</c:v>
                </c:pt>
                <c:pt idx="521">
                  <c:v>5702.5476200000003</c:v>
                </c:pt>
                <c:pt idx="522">
                  <c:v>5702.5476200000003</c:v>
                </c:pt>
                <c:pt idx="523">
                  <c:v>5718.5664900000002</c:v>
                </c:pt>
                <c:pt idx="524">
                  <c:v>5732.9273499999999</c:v>
                </c:pt>
                <c:pt idx="525">
                  <c:v>5722.2605999999996</c:v>
                </c:pt>
                <c:pt idx="526">
                  <c:v>5745.3660900000004</c:v>
                </c:pt>
                <c:pt idx="527">
                  <c:v>5738.1717799999997</c:v>
                </c:pt>
                <c:pt idx="528">
                  <c:v>5738.1717799999997</c:v>
                </c:pt>
                <c:pt idx="529">
                  <c:v>5738.1717799999997</c:v>
                </c:pt>
                <c:pt idx="530">
                  <c:v>5762.48488</c:v>
                </c:pt>
                <c:pt idx="531">
                  <c:v>5708.7514799999999</c:v>
                </c:pt>
                <c:pt idx="532">
                  <c:v>5709.5394399999996</c:v>
                </c:pt>
                <c:pt idx="533">
                  <c:v>5699.94175</c:v>
                </c:pt>
                <c:pt idx="534">
                  <c:v>5751.0681999999997</c:v>
                </c:pt>
                <c:pt idx="535">
                  <c:v>5751.0681999999997</c:v>
                </c:pt>
                <c:pt idx="536">
                  <c:v>5751.0681999999997</c:v>
                </c:pt>
                <c:pt idx="537">
                  <c:v>5695.9434199999996</c:v>
                </c:pt>
                <c:pt idx="538">
                  <c:v>5751.1328899999999</c:v>
                </c:pt>
                <c:pt idx="539">
                  <c:v>5792.0414799999999</c:v>
                </c:pt>
                <c:pt idx="540">
                  <c:v>5780.0512900000003</c:v>
                </c:pt>
                <c:pt idx="541">
                  <c:v>5815.03341</c:v>
                </c:pt>
                <c:pt idx="542">
                  <c:v>5815.03341</c:v>
                </c:pt>
                <c:pt idx="543">
                  <c:v>5815.03341</c:v>
                </c:pt>
                <c:pt idx="544">
                  <c:v>5859.8501500000002</c:v>
                </c:pt>
                <c:pt idx="545">
                  <c:v>5815.2599399999999</c:v>
                </c:pt>
                <c:pt idx="546">
                  <c:v>5842.4745199999998</c:v>
                </c:pt>
                <c:pt idx="547">
                  <c:v>5841.4724100000003</c:v>
                </c:pt>
                <c:pt idx="548">
                  <c:v>5864.6679100000001</c:v>
                </c:pt>
                <c:pt idx="549">
                  <c:v>5864.6679100000001</c:v>
                </c:pt>
                <c:pt idx="550">
                  <c:v>5864.6679100000001</c:v>
                </c:pt>
                <c:pt idx="551">
                  <c:v>5853.9822299999996</c:v>
                </c:pt>
                <c:pt idx="552">
                  <c:v>5851.2023600000002</c:v>
                </c:pt>
                <c:pt idx="553">
                  <c:v>5797.4225900000001</c:v>
                </c:pt>
                <c:pt idx="554">
                  <c:v>5809.8592200000003</c:v>
                </c:pt>
                <c:pt idx="555">
                  <c:v>5808.1170099999999</c:v>
                </c:pt>
                <c:pt idx="556">
                  <c:v>5808.1170099999999</c:v>
                </c:pt>
                <c:pt idx="557">
                  <c:v>5808.1170099999999</c:v>
                </c:pt>
                <c:pt idx="558">
                  <c:v>5823.51775</c:v>
                </c:pt>
                <c:pt idx="559">
                  <c:v>5832.91705</c:v>
                </c:pt>
                <c:pt idx="560">
                  <c:v>5813.6697000000004</c:v>
                </c:pt>
                <c:pt idx="561">
                  <c:v>5705.4479199999996</c:v>
                </c:pt>
                <c:pt idx="562">
                  <c:v>5728.8013600000004</c:v>
                </c:pt>
                <c:pt idx="563">
                  <c:v>5728.8013600000004</c:v>
                </c:pt>
                <c:pt idx="564">
                  <c:v>5728.8013600000004</c:v>
                </c:pt>
                <c:pt idx="565">
                  <c:v>5712.6883399999997</c:v>
                </c:pt>
                <c:pt idx="566">
                  <c:v>5782.7558099999997</c:v>
                </c:pt>
                <c:pt idx="567">
                  <c:v>5929.0442400000002</c:v>
                </c:pt>
                <c:pt idx="568">
                  <c:v>5973.1031599999997</c:v>
                </c:pt>
                <c:pt idx="569">
                  <c:v>5995.5373399999999</c:v>
                </c:pt>
                <c:pt idx="570">
                  <c:v>5995.5373399999999</c:v>
                </c:pt>
                <c:pt idx="571">
                  <c:v>5995.5373399999999</c:v>
                </c:pt>
                <c:pt idx="572">
                  <c:v>6001.34699</c:v>
                </c:pt>
                <c:pt idx="573">
                  <c:v>5983.9898599999997</c:v>
                </c:pt>
                <c:pt idx="574">
                  <c:v>5985.3780100000004</c:v>
                </c:pt>
                <c:pt idx="575">
                  <c:v>5949.1709199999996</c:v>
                </c:pt>
                <c:pt idx="576">
                  <c:v>5870.6164099999996</c:v>
                </c:pt>
                <c:pt idx="577">
                  <c:v>5870.6164099999996</c:v>
                </c:pt>
                <c:pt idx="578">
                  <c:v>5870.6164099999996</c:v>
                </c:pt>
                <c:pt idx="579">
                  <c:v>5893.62345</c:v>
                </c:pt>
                <c:pt idx="580">
                  <c:v>5916.9773500000001</c:v>
                </c:pt>
                <c:pt idx="581">
                  <c:v>5917.1110500000004</c:v>
                </c:pt>
                <c:pt idx="582">
                  <c:v>5948.7072200000002</c:v>
                </c:pt>
                <c:pt idx="583">
                  <c:v>5969.3430799999996</c:v>
                </c:pt>
                <c:pt idx="584">
                  <c:v>5969.3430799999996</c:v>
                </c:pt>
                <c:pt idx="585">
                  <c:v>5969.3430799999996</c:v>
                </c:pt>
                <c:pt idx="586">
                  <c:v>5987.3663500000002</c:v>
                </c:pt>
                <c:pt idx="587">
                  <c:v>6021.6325900000002</c:v>
                </c:pt>
                <c:pt idx="588">
                  <c:v>5998.7380499999999</c:v>
                </c:pt>
                <c:pt idx="589">
                  <c:v>5998.7380499999999</c:v>
                </c:pt>
                <c:pt idx="590">
                  <c:v>6032.3844099999997</c:v>
                </c:pt>
                <c:pt idx="591">
                  <c:v>6032.3844099999997</c:v>
                </c:pt>
                <c:pt idx="592">
                  <c:v>6032.3844099999997</c:v>
                </c:pt>
                <c:pt idx="593">
                  <c:v>6047.1458400000001</c:v>
                </c:pt>
                <c:pt idx="594">
                  <c:v>6049.8817499999996</c:v>
                </c:pt>
                <c:pt idx="595">
                  <c:v>6086.4872599999999</c:v>
                </c:pt>
                <c:pt idx="596">
                  <c:v>6075.10707</c:v>
                </c:pt>
                <c:pt idx="597">
                  <c:v>6090.2704700000004</c:v>
                </c:pt>
                <c:pt idx="598">
                  <c:v>6090.2704700000004</c:v>
                </c:pt>
                <c:pt idx="599">
                  <c:v>6090.2704700000004</c:v>
                </c:pt>
                <c:pt idx="600">
                  <c:v>6052.8485600000004</c:v>
                </c:pt>
                <c:pt idx="601">
                  <c:v>6034.9122799999996</c:v>
                </c:pt>
                <c:pt idx="602">
                  <c:v>6084.1894899999998</c:v>
                </c:pt>
                <c:pt idx="603">
                  <c:v>6051.2473</c:v>
                </c:pt>
                <c:pt idx="604">
                  <c:v>6051.09202</c:v>
                </c:pt>
                <c:pt idx="605">
                  <c:v>6051.09202</c:v>
                </c:pt>
                <c:pt idx="606">
                  <c:v>6051.09202</c:v>
                </c:pt>
                <c:pt idx="607">
                  <c:v>6074.0834699999996</c:v>
                </c:pt>
                <c:pt idx="608">
                  <c:v>6050.6105399999997</c:v>
                </c:pt>
                <c:pt idx="609">
                  <c:v>5872.15985</c:v>
                </c:pt>
                <c:pt idx="610">
                  <c:v>5867.0769899999996</c:v>
                </c:pt>
                <c:pt idx="611">
                  <c:v>5930.8501399999996</c:v>
                </c:pt>
                <c:pt idx="612">
                  <c:v>5930.8501399999996</c:v>
                </c:pt>
                <c:pt idx="613">
                  <c:v>5930.8501399999996</c:v>
                </c:pt>
                <c:pt idx="614">
                  <c:v>5974.0730700000004</c:v>
                </c:pt>
                <c:pt idx="615">
                  <c:v>6040.0355799999998</c:v>
                </c:pt>
                <c:pt idx="616">
                  <c:v>6040.0355799999998</c:v>
                </c:pt>
                <c:pt idx="617">
                  <c:v>6037.5908600000002</c:v>
                </c:pt>
                <c:pt idx="618">
                  <c:v>5970.8376399999997</c:v>
                </c:pt>
                <c:pt idx="619">
                  <c:v>5970.8376399999997</c:v>
                </c:pt>
                <c:pt idx="620">
                  <c:v>5970.8376399999997</c:v>
                </c:pt>
                <c:pt idx="621">
                  <c:v>5906.9355999999998</c:v>
                </c:pt>
                <c:pt idx="622">
                  <c:v>5881.6276500000004</c:v>
                </c:pt>
                <c:pt idx="623">
                  <c:v>5881.6276500000004</c:v>
                </c:pt>
                <c:pt idx="624">
                  <c:v>5868.5513199999996</c:v>
                </c:pt>
                <c:pt idx="625">
                  <c:v>5942.4724999999999</c:v>
                </c:pt>
                <c:pt idx="626">
                  <c:v>5942.4724999999999</c:v>
                </c:pt>
                <c:pt idx="627">
                  <c:v>5942.4724999999999</c:v>
                </c:pt>
                <c:pt idx="628">
                  <c:v>5975.3755300000003</c:v>
                </c:pt>
                <c:pt idx="629">
                  <c:v>5909.0307499999999</c:v>
                </c:pt>
                <c:pt idx="630">
                  <c:v>5918.2478300000002</c:v>
                </c:pt>
                <c:pt idx="631">
                  <c:v>5918.2478300000002</c:v>
                </c:pt>
                <c:pt idx="632">
                  <c:v>5827.0444299999999</c:v>
                </c:pt>
                <c:pt idx="633">
                  <c:v>5827.0444299999999</c:v>
                </c:pt>
                <c:pt idx="634">
                  <c:v>5827.0444299999999</c:v>
                </c:pt>
                <c:pt idx="635">
                  <c:v>5836.2178700000004</c:v>
                </c:pt>
                <c:pt idx="636">
                  <c:v>5842.9107400000003</c:v>
                </c:pt>
                <c:pt idx="637">
                  <c:v>5949.9111199999998</c:v>
                </c:pt>
                <c:pt idx="638">
                  <c:v>5937.3404899999996</c:v>
                </c:pt>
                <c:pt idx="639">
                  <c:v>5996.6647499999999</c:v>
                </c:pt>
                <c:pt idx="640">
                  <c:v>5996.6647499999999</c:v>
                </c:pt>
                <c:pt idx="641">
                  <c:v>5996.6647499999999</c:v>
                </c:pt>
                <c:pt idx="642">
                  <c:v>5996.6647499999999</c:v>
                </c:pt>
                <c:pt idx="643">
                  <c:v>6049.24208</c:v>
                </c:pt>
                <c:pt idx="644">
                  <c:v>6086.3696300000001</c:v>
                </c:pt>
                <c:pt idx="645">
                  <c:v>6118.7063500000004</c:v>
                </c:pt>
                <c:pt idx="646">
                  <c:v>6101.2429300000003</c:v>
                </c:pt>
                <c:pt idx="647">
                  <c:v>6101.2429300000003</c:v>
                </c:pt>
                <c:pt idx="648">
                  <c:v>6101.2429300000003</c:v>
                </c:pt>
                <c:pt idx="649">
                  <c:v>6012.2769200000002</c:v>
                </c:pt>
                <c:pt idx="650">
                  <c:v>6067.69949</c:v>
                </c:pt>
                <c:pt idx="651">
                  <c:v>6039.3114999999998</c:v>
                </c:pt>
                <c:pt idx="652">
                  <c:v>6071.17454</c:v>
                </c:pt>
                <c:pt idx="653">
                  <c:v>6040.5259299999998</c:v>
                </c:pt>
                <c:pt idx="654">
                  <c:v>6040.5259299999998</c:v>
                </c:pt>
                <c:pt idx="655">
                  <c:v>6040.5259299999998</c:v>
                </c:pt>
                <c:pt idx="656">
                  <c:v>5994.56736</c:v>
                </c:pt>
                <c:pt idx="657">
                  <c:v>6037.8771900000002</c:v>
                </c:pt>
                <c:pt idx="658">
                  <c:v>6061.4807499999997</c:v>
                </c:pt>
                <c:pt idx="659">
                  <c:v>6083.5681299999997</c:v>
                </c:pt>
                <c:pt idx="660">
                  <c:v>6025.9924899999996</c:v>
                </c:pt>
                <c:pt idx="661">
                  <c:v>6025.9924899999996</c:v>
                </c:pt>
                <c:pt idx="662">
                  <c:v>6025.9924899999996</c:v>
                </c:pt>
                <c:pt idx="663">
                  <c:v>6066.44254</c:v>
                </c:pt>
                <c:pt idx="664">
                  <c:v>6068.50378</c:v>
                </c:pt>
                <c:pt idx="665">
                  <c:v>6051.9678100000001</c:v>
                </c:pt>
                <c:pt idx="666">
                  <c:v>6115.0715700000001</c:v>
                </c:pt>
                <c:pt idx="667">
                  <c:v>6114.6314700000003</c:v>
                </c:pt>
                <c:pt idx="668">
                  <c:v>6114.6314700000003</c:v>
                </c:pt>
                <c:pt idx="669">
                  <c:v>6114.6314700000003</c:v>
                </c:pt>
                <c:pt idx="670">
                  <c:v>6114.6314700000003</c:v>
                </c:pt>
                <c:pt idx="671">
                  <c:v>6129.58403</c:v>
                </c:pt>
                <c:pt idx="672">
                  <c:v>6144.1520399999999</c:v>
                </c:pt>
                <c:pt idx="673">
                  <c:v>6117.5207399999999</c:v>
                </c:pt>
                <c:pt idx="674">
                  <c:v>6013.1278599999996</c:v>
                </c:pt>
                <c:pt idx="675">
                  <c:v>6013.1278599999996</c:v>
                </c:pt>
                <c:pt idx="676">
                  <c:v>6013.1278599999996</c:v>
                </c:pt>
                <c:pt idx="677">
                  <c:v>5983.2468500000004</c:v>
                </c:pt>
                <c:pt idx="678">
                  <c:v>5955.2524299999995</c:v>
                </c:pt>
                <c:pt idx="679">
                  <c:v>5956.0586899999998</c:v>
                </c:pt>
                <c:pt idx="680">
                  <c:v>5861.5735800000002</c:v>
                </c:pt>
                <c:pt idx="681">
                  <c:v>5954.5048299999999</c:v>
                </c:pt>
                <c:pt idx="682">
                  <c:v>5954.5048299999999</c:v>
                </c:pt>
                <c:pt idx="683">
                  <c:v>5954.5048299999999</c:v>
                </c:pt>
                <c:pt idx="684">
                  <c:v>5849.7194200000004</c:v>
                </c:pt>
                <c:pt idx="685">
                  <c:v>5778.1491900000001</c:v>
                </c:pt>
                <c:pt idx="686">
                  <c:v>5842.6254900000004</c:v>
                </c:pt>
                <c:pt idx="687">
                  <c:v>5738.5187100000003</c:v>
                </c:pt>
                <c:pt idx="688">
                  <c:v>5770.1956099999998</c:v>
                </c:pt>
                <c:pt idx="689">
                  <c:v>5770.1956099999998</c:v>
                </c:pt>
                <c:pt idx="690">
                  <c:v>5770.1956099999998</c:v>
                </c:pt>
                <c:pt idx="691">
                  <c:v>5614.5635499999999</c:v>
                </c:pt>
                <c:pt idx="692">
                  <c:v>5572.0699199999999</c:v>
                </c:pt>
                <c:pt idx="693">
                  <c:v>5599.30026</c:v>
                </c:pt>
                <c:pt idx="694">
                  <c:v>5521.5192999999999</c:v>
                </c:pt>
                <c:pt idx="695">
                  <c:v>5638.9401699999999</c:v>
                </c:pt>
                <c:pt idx="696">
                  <c:v>5638.9401699999999</c:v>
                </c:pt>
                <c:pt idx="697">
                  <c:v>5638.9401699999999</c:v>
                </c:pt>
                <c:pt idx="698">
                  <c:v>5675.1173200000003</c:v>
                </c:pt>
                <c:pt idx="699">
                  <c:v>5614.66201</c:v>
                </c:pt>
                <c:pt idx="700">
                  <c:v>5675.2871699999996</c:v>
                </c:pt>
                <c:pt idx="701">
                  <c:v>5662.8905299999997</c:v>
                </c:pt>
                <c:pt idx="702">
                  <c:v>5667.5642699999999</c:v>
                </c:pt>
                <c:pt idx="703">
                  <c:v>5667.5642699999999</c:v>
                </c:pt>
                <c:pt idx="704">
                  <c:v>5667.5642699999999</c:v>
                </c:pt>
                <c:pt idx="705">
                  <c:v>5767.5671000000002</c:v>
                </c:pt>
                <c:pt idx="706">
                  <c:v>5776.6512899999998</c:v>
                </c:pt>
                <c:pt idx="707">
                  <c:v>5712.2034299999996</c:v>
                </c:pt>
                <c:pt idx="708">
                  <c:v>5693.3126499999998</c:v>
                </c:pt>
                <c:pt idx="709">
                  <c:v>5580.9435800000001</c:v>
                </c:pt>
                <c:pt idx="710">
                  <c:v>5580.9435800000001</c:v>
                </c:pt>
                <c:pt idx="711">
                  <c:v>5580.9435800000001</c:v>
                </c:pt>
                <c:pt idx="712">
                  <c:v>5611.8526099999999</c:v>
                </c:pt>
                <c:pt idx="713">
                  <c:v>5633.0696900000003</c:v>
                </c:pt>
                <c:pt idx="714">
                  <c:v>5670.9736199999998</c:v>
                </c:pt>
                <c:pt idx="715">
                  <c:v>5396.5168000000003</c:v>
                </c:pt>
                <c:pt idx="716">
                  <c:v>5074.0756300000003</c:v>
                </c:pt>
                <c:pt idx="717">
                  <c:v>5074.0756300000003</c:v>
                </c:pt>
                <c:pt idx="718">
                  <c:v>5074.0756300000003</c:v>
                </c:pt>
                <c:pt idx="719">
                  <c:v>5062.2455200000004</c:v>
                </c:pt>
                <c:pt idx="720">
                  <c:v>4982.7703099999999</c:v>
                </c:pt>
                <c:pt idx="721">
                  <c:v>5456.9006900000004</c:v>
                </c:pt>
                <c:pt idx="722">
                  <c:v>5268.0543799999996</c:v>
                </c:pt>
                <c:pt idx="723">
                  <c:v>5363.3594800000001</c:v>
                </c:pt>
                <c:pt idx="724">
                  <c:v>5363.3594800000001</c:v>
                </c:pt>
                <c:pt idx="725">
                  <c:v>5363.3594800000001</c:v>
                </c:pt>
                <c:pt idx="726">
                  <c:v>5405.9711900000002</c:v>
                </c:pt>
                <c:pt idx="727">
                  <c:v>5396.6346800000001</c:v>
                </c:pt>
                <c:pt idx="728">
                  <c:v>5275.7010600000003</c:v>
                </c:pt>
                <c:pt idx="729">
                  <c:v>5282.7010200000004</c:v>
                </c:pt>
                <c:pt idx="730">
                  <c:v>5282.7010200000004</c:v>
                </c:pt>
                <c:pt idx="731">
                  <c:v>5282.7010200000004</c:v>
                </c:pt>
                <c:pt idx="732">
                  <c:v>5282.7010200000004</c:v>
                </c:pt>
                <c:pt idx="733">
                  <c:v>5158.2026800000003</c:v>
                </c:pt>
                <c:pt idx="734">
                  <c:v>5287.7630099999997</c:v>
                </c:pt>
                <c:pt idx="735">
                  <c:v>5375.8638300000002</c:v>
                </c:pt>
                <c:pt idx="736">
                  <c:v>5484.7738099999997</c:v>
                </c:pt>
                <c:pt idx="737">
                  <c:v>5525.2051199999996</c:v>
                </c:pt>
                <c:pt idx="738">
                  <c:v>5525.2051199999996</c:v>
                </c:pt>
                <c:pt idx="739">
                  <c:v>5525.2051199999996</c:v>
                </c:pt>
                <c:pt idx="740">
                  <c:v>5528.7457400000003</c:v>
                </c:pt>
                <c:pt idx="741">
                  <c:v>5560.82701</c:v>
                </c:pt>
                <c:pt idx="742">
                  <c:v>5569.0646699999998</c:v>
                </c:pt>
                <c:pt idx="743">
                  <c:v>5604.1413300000004</c:v>
                </c:pt>
                <c:pt idx="744">
                  <c:v>5686.6748299999999</c:v>
                </c:pt>
                <c:pt idx="745">
                  <c:v>5686.6748299999999</c:v>
                </c:pt>
                <c:pt idx="746">
                  <c:v>5686.6748299999999</c:v>
                </c:pt>
                <c:pt idx="747">
                  <c:v>5650.3816699999998</c:v>
                </c:pt>
                <c:pt idx="748">
                  <c:v>5606.9067999999997</c:v>
                </c:pt>
                <c:pt idx="749">
                  <c:v>5631.28431</c:v>
                </c:pt>
                <c:pt idx="750">
                  <c:v>5663.9393099999998</c:v>
                </c:pt>
                <c:pt idx="751">
                  <c:v>5659.9122500000003</c:v>
                </c:pt>
                <c:pt idx="752">
                  <c:v>5659.9122500000003</c:v>
                </c:pt>
                <c:pt idx="753">
                  <c:v>5659.9122500000003</c:v>
                </c:pt>
                <c:pt idx="754">
                  <c:v>5844.1866900000005</c:v>
                </c:pt>
                <c:pt idx="755">
                  <c:v>5886.5528100000001</c:v>
                </c:pt>
                <c:pt idx="756">
                  <c:v>5892.5844900000002</c:v>
                </c:pt>
                <c:pt idx="757">
                  <c:v>5916.9260800000002</c:v>
                </c:pt>
                <c:pt idx="758">
                  <c:v>5958.3755300000003</c:v>
                </c:pt>
                <c:pt idx="759">
                  <c:v>5958.3755300000003</c:v>
                </c:pt>
                <c:pt idx="760">
                  <c:v>5958.3755300000003</c:v>
                </c:pt>
                <c:pt idx="761">
                  <c:v>5963.6043499999996</c:v>
                </c:pt>
                <c:pt idx="762">
                  <c:v>5940.4637499999999</c:v>
                </c:pt>
                <c:pt idx="763">
                  <c:v>5844.6121300000004</c:v>
                </c:pt>
                <c:pt idx="764">
                  <c:v>5842.0083100000002</c:v>
                </c:pt>
                <c:pt idx="765">
                  <c:v>5802.8150800000003</c:v>
                </c:pt>
                <c:pt idx="766">
                  <c:v>5802.8150800000003</c:v>
                </c:pt>
                <c:pt idx="767">
                  <c:v>5802.8150800000003</c:v>
                </c:pt>
                <c:pt idx="768">
                  <c:v>5802.8150800000003</c:v>
                </c:pt>
                <c:pt idx="769">
                  <c:v>5921.5403500000002</c:v>
                </c:pt>
                <c:pt idx="770">
                  <c:v>5888.5525799999996</c:v>
                </c:pt>
                <c:pt idx="771">
                  <c:v>5912.1727199999996</c:v>
                </c:pt>
                <c:pt idx="772">
                  <c:v>5911.6867199999997</c:v>
                </c:pt>
                <c:pt idx="773">
                  <c:v>5911.6867199999997</c:v>
                </c:pt>
                <c:pt idx="774">
                  <c:v>5911.6867199999997</c:v>
                </c:pt>
                <c:pt idx="775">
                  <c:v>5935.9409599999999</c:v>
                </c:pt>
                <c:pt idx="776">
                  <c:v>5970.3682399999998</c:v>
                </c:pt>
                <c:pt idx="777">
                  <c:v>5970.8132400000004</c:v>
                </c:pt>
                <c:pt idx="778">
                  <c:v>5939.30332</c:v>
                </c:pt>
                <c:pt idx="779">
                  <c:v>6000.3551299999999</c:v>
                </c:pt>
                <c:pt idx="780">
                  <c:v>6000.3551299999999</c:v>
                </c:pt>
                <c:pt idx="781">
                  <c:v>6000.3551299999999</c:v>
                </c:pt>
                <c:pt idx="782">
                  <c:v>6005.88346</c:v>
                </c:pt>
                <c:pt idx="783">
                  <c:v>6038.8057900000003</c:v>
                </c:pt>
                <c:pt idx="784">
                  <c:v>6022.2412100000001</c:v>
                </c:pt>
                <c:pt idx="785">
                  <c:v>6045.2556699999996</c:v>
                </c:pt>
                <c:pt idx="786">
                  <c:v>5976.96587</c:v>
                </c:pt>
                <c:pt idx="787">
                  <c:v>5976.96587</c:v>
                </c:pt>
                <c:pt idx="788">
                  <c:v>5976.96587</c:v>
                </c:pt>
                <c:pt idx="789">
                  <c:v>6033.1062899999997</c:v>
                </c:pt>
                <c:pt idx="790">
                  <c:v>5982.7169899999999</c:v>
                </c:pt>
                <c:pt idx="791">
                  <c:v>5980.8654999999999</c:v>
                </c:pt>
                <c:pt idx="792">
                  <c:v>5980.8654999999999</c:v>
                </c:pt>
                <c:pt idx="793">
                  <c:v>5967.8395</c:v>
                </c:pt>
                <c:pt idx="794">
                  <c:v>5967.8395</c:v>
                </c:pt>
                <c:pt idx="795">
                  <c:v>5967.8395</c:v>
                </c:pt>
                <c:pt idx="796">
                  <c:v>6025.1740399999999</c:v>
                </c:pt>
                <c:pt idx="797">
                  <c:v>6092.1810500000001</c:v>
                </c:pt>
                <c:pt idx="798">
                  <c:v>6092.1613699999998</c:v>
                </c:pt>
                <c:pt idx="799">
                  <c:v>6141.0192800000004</c:v>
                </c:pt>
                <c:pt idx="800">
                  <c:v>6173.0735699999996</c:v>
                </c:pt>
                <c:pt idx="801">
                  <c:v>6173.0735699999996</c:v>
                </c:pt>
                <c:pt idx="802">
                  <c:v>6173.0735699999996</c:v>
                </c:pt>
                <c:pt idx="803">
                  <c:v>6204.9539500000001</c:v>
                </c:pt>
                <c:pt idx="804">
                  <c:v>6198.00695</c:v>
                </c:pt>
                <c:pt idx="805">
                  <c:v>6227.4196899999997</c:v>
                </c:pt>
                <c:pt idx="806">
                  <c:v>6279.3509700000004</c:v>
                </c:pt>
                <c:pt idx="807">
                  <c:v>6279.3509700000004</c:v>
                </c:pt>
                <c:pt idx="808">
                  <c:v>6279.3509700000004</c:v>
                </c:pt>
                <c:pt idx="809">
                  <c:v>6279.3509700000004</c:v>
                </c:pt>
                <c:pt idx="810">
                  <c:v>6229.9774600000001</c:v>
                </c:pt>
                <c:pt idx="811">
                  <c:v>6225.5234099999998</c:v>
                </c:pt>
                <c:pt idx="812">
                  <c:v>6263.2643799999996</c:v>
                </c:pt>
                <c:pt idx="813">
                  <c:v>6280.4583000000002</c:v>
                </c:pt>
                <c:pt idx="814">
                  <c:v>6259.7464399999999</c:v>
                </c:pt>
                <c:pt idx="815">
                  <c:v>6259.7464399999999</c:v>
                </c:pt>
                <c:pt idx="816">
                  <c:v>6259.7464399999999</c:v>
                </c:pt>
                <c:pt idx="817">
                  <c:v>6268.5590099999999</c:v>
                </c:pt>
                <c:pt idx="818">
                  <c:v>6243.7557100000004</c:v>
                </c:pt>
                <c:pt idx="819">
                  <c:v>6263.69524</c:v>
                </c:pt>
                <c:pt idx="820">
                  <c:v>6297.3619099999996</c:v>
                </c:pt>
                <c:pt idx="821">
                  <c:v>6296.7890399999997</c:v>
                </c:pt>
                <c:pt idx="822">
                  <c:v>6296.7890399999997</c:v>
                </c:pt>
                <c:pt idx="823">
                  <c:v>6296.7890399999997</c:v>
                </c:pt>
                <c:pt idx="824">
                  <c:v>6305.5951800000003</c:v>
                </c:pt>
                <c:pt idx="825">
                  <c:v>6309.6236799999997</c:v>
                </c:pt>
                <c:pt idx="826">
                  <c:v>6358.9137899999996</c:v>
                </c:pt>
                <c:pt idx="827">
                  <c:v>6363.3492999999999</c:v>
                </c:pt>
                <c:pt idx="828">
                  <c:v>6388.6445000000003</c:v>
                </c:pt>
                <c:pt idx="829">
                  <c:v>6388.6445000000003</c:v>
                </c:pt>
                <c:pt idx="830">
                  <c:v>6388.6445000000003</c:v>
                </c:pt>
                <c:pt idx="831">
                  <c:v>6389.7664800000002</c:v>
                </c:pt>
                <c:pt idx="832">
                  <c:v>6370.8612999999996</c:v>
                </c:pt>
                <c:pt idx="833">
                  <c:v>6362.89876</c:v>
                </c:pt>
                <c:pt idx="834">
                  <c:v>6339.3945700000004</c:v>
                </c:pt>
                <c:pt idx="835">
                  <c:v>6238.0065699999996</c:v>
                </c:pt>
                <c:pt idx="836">
                  <c:v>6238.0065699999996</c:v>
                </c:pt>
                <c:pt idx="837">
                  <c:v>6238.0065699999996</c:v>
                </c:pt>
                <c:pt idx="838">
                  <c:v>6329.9395000000004</c:v>
                </c:pt>
                <c:pt idx="839">
                  <c:v>6299.1939499999999</c:v>
                </c:pt>
                <c:pt idx="840">
                  <c:v>6345.0595400000002</c:v>
                </c:pt>
                <c:pt idx="841">
                  <c:v>6339.99773</c:v>
                </c:pt>
                <c:pt idx="842">
                  <c:v>6389.4453100000001</c:v>
                </c:pt>
                <c:pt idx="843">
                  <c:v>6389.4453100000001</c:v>
                </c:pt>
                <c:pt idx="844">
                  <c:v>6389.4453100000001</c:v>
                </c:pt>
                <c:pt idx="845">
                  <c:v>6373.4533700000002</c:v>
                </c:pt>
                <c:pt idx="846">
                  <c:v>6445.7622000000001</c:v>
                </c:pt>
                <c:pt idx="847">
                  <c:v>6466.5846899999997</c:v>
                </c:pt>
                <c:pt idx="848">
                  <c:v>6468.5351899999996</c:v>
                </c:pt>
                <c:pt idx="849">
                  <c:v>6449.7965800000002</c:v>
                </c:pt>
                <c:pt idx="850">
                  <c:v>6449.7965800000002</c:v>
                </c:pt>
                <c:pt idx="851">
                  <c:v>6449.7965800000002</c:v>
                </c:pt>
                <c:pt idx="852">
                  <c:v>6449.1491500000002</c:v>
                </c:pt>
                <c:pt idx="853">
                  <c:v>6411.3745900000004</c:v>
                </c:pt>
                <c:pt idx="854">
                  <c:v>6395.7811899999997</c:v>
                </c:pt>
                <c:pt idx="855">
                  <c:v>6370.1726699999999</c:v>
                </c:pt>
                <c:pt idx="856">
                  <c:v>6466.9129700000003</c:v>
                </c:pt>
                <c:pt idx="857">
                  <c:v>6466.9129700000003</c:v>
                </c:pt>
                <c:pt idx="858">
                  <c:v>6466.9129700000003</c:v>
                </c:pt>
                <c:pt idx="859">
                  <c:v>6439.31988</c:v>
                </c:pt>
                <c:pt idx="860">
                  <c:v>6465.9352799999997</c:v>
                </c:pt>
                <c:pt idx="861">
                  <c:v>6481.40319</c:v>
                </c:pt>
                <c:pt idx="862">
                  <c:v>6501.8594199999998</c:v>
                </c:pt>
                <c:pt idx="863">
                  <c:v>6460.2626700000001</c:v>
                </c:pt>
                <c:pt idx="864">
                  <c:v>6460.2626700000001</c:v>
                </c:pt>
                <c:pt idx="865">
                  <c:v>6460.2626700000001</c:v>
                </c:pt>
                <c:pt idx="866">
                  <c:v>6460.2626700000001</c:v>
                </c:pt>
                <c:pt idx="867">
                  <c:v>6415.5413399999998</c:v>
                </c:pt>
                <c:pt idx="868">
                  <c:v>6448.2608499999997</c:v>
                </c:pt>
                <c:pt idx="869">
                  <c:v>6502.0829199999998</c:v>
                </c:pt>
                <c:pt idx="870">
                  <c:v>6481.4955300000001</c:v>
                </c:pt>
                <c:pt idx="871">
                  <c:v>6481.4955300000001</c:v>
                </c:pt>
                <c:pt idx="872">
                  <c:v>6481.4955300000001</c:v>
                </c:pt>
                <c:pt idx="873">
                  <c:v>6495.1548300000004</c:v>
                </c:pt>
                <c:pt idx="874">
                  <c:v>6512.6107499999998</c:v>
                </c:pt>
                <c:pt idx="875">
                  <c:v>6532.0433400000002</c:v>
                </c:pt>
                <c:pt idx="876">
                  <c:v>6587.4708700000001</c:v>
                </c:pt>
                <c:pt idx="877">
                  <c:v>6584.2850200000003</c:v>
                </c:pt>
                <c:pt idx="878">
                  <c:v>6584.2850200000003</c:v>
                </c:pt>
                <c:pt idx="879">
                  <c:v>6584.2850200000003</c:v>
                </c:pt>
                <c:pt idx="880">
                  <c:v>6615.2767599999997</c:v>
                </c:pt>
                <c:pt idx="881">
                  <c:v>6606.75594</c:v>
                </c:pt>
                <c:pt idx="882">
                  <c:v>6600.3470900000002</c:v>
                </c:pt>
                <c:pt idx="883">
                  <c:v>6631.9628899999998</c:v>
                </c:pt>
                <c:pt idx="884">
                  <c:v>6664.3648000000003</c:v>
                </c:pt>
                <c:pt idx="885">
                  <c:v>6664.3648000000003</c:v>
                </c:pt>
                <c:pt idx="886">
                  <c:v>6664.3648000000003</c:v>
                </c:pt>
                <c:pt idx="887">
                  <c:v>6693.7533400000002</c:v>
                </c:pt>
                <c:pt idx="888">
                  <c:v>6656.9198800000004</c:v>
                </c:pt>
                <c:pt idx="889">
                  <c:v>6637.9736700000003</c:v>
                </c:pt>
                <c:pt idx="890">
                  <c:v>6604.7172399999999</c:v>
                </c:pt>
                <c:pt idx="891">
                  <c:v>6643.6975400000001</c:v>
                </c:pt>
                <c:pt idx="892">
                  <c:v>6643.6975400000001</c:v>
                </c:pt>
                <c:pt idx="893">
                  <c:v>6643.6975400000001</c:v>
                </c:pt>
                <c:pt idx="894">
                  <c:v>6661.2073300000002</c:v>
                </c:pt>
                <c:pt idx="895">
                  <c:v>6688.4590399999997</c:v>
                </c:pt>
                <c:pt idx="896">
                  <c:v>6711.2039100000002</c:v>
                </c:pt>
                <c:pt idx="897">
                  <c:v>6715.3463000000002</c:v>
                </c:pt>
                <c:pt idx="898">
                  <c:v>6715.7892599999996</c:v>
                </c:pt>
                <c:pt idx="899">
                  <c:v>6715.7892599999996</c:v>
                </c:pt>
                <c:pt idx="900">
                  <c:v>6715.7892599999996</c:v>
                </c:pt>
                <c:pt idx="901">
                  <c:v>6740.2813599999999</c:v>
                </c:pt>
                <c:pt idx="902">
                  <c:v>6714.5879199999999</c:v>
                </c:pt>
                <c:pt idx="903">
                  <c:v>6753.7170699999997</c:v>
                </c:pt>
                <c:pt idx="904">
                  <c:v>6735.1107899999997</c:v>
                </c:pt>
                <c:pt idx="905">
                  <c:v>6552.51325</c:v>
                </c:pt>
                <c:pt idx="906">
                  <c:v>6552.51325</c:v>
                </c:pt>
                <c:pt idx="907">
                  <c:v>6552.51325</c:v>
                </c:pt>
                <c:pt idx="908">
                  <c:v>6654.7190899999996</c:v>
                </c:pt>
                <c:pt idx="909">
                  <c:v>6644.3083999999999</c:v>
                </c:pt>
                <c:pt idx="910">
                  <c:v>6671.0582800000002</c:v>
                </c:pt>
                <c:pt idx="911">
                  <c:v>6629.0742300000002</c:v>
                </c:pt>
                <c:pt idx="912">
                  <c:v>6664.01098</c:v>
                </c:pt>
                <c:pt idx="913">
                  <c:v>6664.01098</c:v>
                </c:pt>
                <c:pt idx="914">
                  <c:v>6664.01098</c:v>
                </c:pt>
                <c:pt idx="915">
                  <c:v>6735.1265100000001</c:v>
                </c:pt>
                <c:pt idx="916">
                  <c:v>6735.3514999999998</c:v>
                </c:pt>
                <c:pt idx="917">
                  <c:v>6699.4023999999999</c:v>
                </c:pt>
                <c:pt idx="918">
                  <c:v>6738.4377100000002</c:v>
                </c:pt>
                <c:pt idx="919">
                  <c:v>6791.6938099999998</c:v>
                </c:pt>
                <c:pt idx="920">
                  <c:v>6791.6938099999998</c:v>
                </c:pt>
                <c:pt idx="921">
                  <c:v>6791.6938099999998</c:v>
                </c:pt>
                <c:pt idx="922">
                  <c:v>6875.1568900000002</c:v>
                </c:pt>
                <c:pt idx="923">
                  <c:v>6890.8883699999997</c:v>
                </c:pt>
                <c:pt idx="924">
                  <c:v>6890.5870500000001</c:v>
                </c:pt>
                <c:pt idx="925">
                  <c:v>6822.34033</c:v>
                </c:pt>
                <c:pt idx="926">
                  <c:v>6840.1987399999998</c:v>
                </c:pt>
                <c:pt idx="927">
                  <c:v>6840.1987399999998</c:v>
                </c:pt>
                <c:pt idx="928">
                  <c:v>6840.1987399999998</c:v>
                </c:pt>
                <c:pt idx="929">
                  <c:v>6851.96666</c:v>
                </c:pt>
                <c:pt idx="930">
                  <c:v>6771.5474899999999</c:v>
                </c:pt>
                <c:pt idx="931">
                  <c:v>6796.2894299999998</c:v>
                </c:pt>
                <c:pt idx="932">
                  <c:v>6720.3201499999996</c:v>
                </c:pt>
                <c:pt idx="933">
                  <c:v>6728.8011100000003</c:v>
                </c:pt>
                <c:pt idx="934">
                  <c:v>6728.8011100000003</c:v>
                </c:pt>
                <c:pt idx="935">
                  <c:v>6728.8011100000003</c:v>
                </c:pt>
                <c:pt idx="936">
                  <c:v>6832.4301599999999</c:v>
                </c:pt>
                <c:pt idx="937">
                  <c:v>6846.6142300000001</c:v>
                </c:pt>
                <c:pt idx="938">
                  <c:v>6850.9164799999999</c:v>
                </c:pt>
                <c:pt idx="939">
                  <c:v>6737.4887200000003</c:v>
                </c:pt>
                <c:pt idx="940">
                  <c:v>6734.11067</c:v>
                </c:pt>
                <c:pt idx="941">
                  <c:v>6734.11067</c:v>
                </c:pt>
                <c:pt idx="942">
                  <c:v>6734.11067</c:v>
                </c:pt>
                <c:pt idx="943">
                  <c:v>6672.4116299999996</c:v>
                </c:pt>
                <c:pt idx="944">
                  <c:v>6617.32006</c:v>
                </c:pt>
                <c:pt idx="945">
                  <c:v>6642.1585100000002</c:v>
                </c:pt>
                <c:pt idx="946">
                  <c:v>6538.7626700000001</c:v>
                </c:pt>
                <c:pt idx="947">
                  <c:v>6602.9863299999997</c:v>
                </c:pt>
                <c:pt idx="948">
                  <c:v>6602.9863299999997</c:v>
                </c:pt>
                <c:pt idx="949">
                  <c:v>6602.9863299999997</c:v>
                </c:pt>
                <c:pt idx="950">
                  <c:v>6705.1170899999997</c:v>
                </c:pt>
                <c:pt idx="951">
                  <c:v>6765.8759700000001</c:v>
                </c:pt>
                <c:pt idx="952">
                  <c:v>6812.6130899999998</c:v>
                </c:pt>
                <c:pt idx="953">
                  <c:v>6812.6130899999998</c:v>
                </c:pt>
                <c:pt idx="954">
                  <c:v>6849.0873700000002</c:v>
                </c:pt>
                <c:pt idx="955">
                  <c:v>6849.0873700000002</c:v>
                </c:pt>
                <c:pt idx="956">
                  <c:v>6849.0873700000002</c:v>
                </c:pt>
                <c:pt idx="957">
                  <c:v>6812.6258500000004</c:v>
                </c:pt>
                <c:pt idx="958">
                  <c:v>6829.3705799999998</c:v>
                </c:pt>
                <c:pt idx="959">
                  <c:v>6849.7227199999998</c:v>
                </c:pt>
                <c:pt idx="960">
                  <c:v>6857.1196900000004</c:v>
                </c:pt>
                <c:pt idx="961">
                  <c:v>6870.4042099999997</c:v>
                </c:pt>
                <c:pt idx="962">
                  <c:v>6870.4042099999997</c:v>
                </c:pt>
                <c:pt idx="963">
                  <c:v>6870.4042099999997</c:v>
                </c:pt>
                <c:pt idx="964">
                  <c:v>6846.5061699999997</c:v>
                </c:pt>
                <c:pt idx="965">
                  <c:v>6840.5096199999998</c:v>
                </c:pt>
                <c:pt idx="966">
                  <c:v>6886.6829900000002</c:v>
                </c:pt>
                <c:pt idx="967">
                  <c:v>6900.9951899999996</c:v>
                </c:pt>
                <c:pt idx="968">
                  <c:v>6827.4064600000002</c:v>
                </c:pt>
                <c:pt idx="969">
                  <c:v>6827.4064600000002</c:v>
                </c:pt>
                <c:pt idx="970">
                  <c:v>6827.4064600000002</c:v>
                </c:pt>
                <c:pt idx="971">
                  <c:v>6816.5083000000004</c:v>
                </c:pt>
                <c:pt idx="972">
                  <c:v>6800.2572200000004</c:v>
                </c:pt>
                <c:pt idx="973">
                  <c:v>6721.4295499999998</c:v>
                </c:pt>
                <c:pt idx="974">
                  <c:v>6774.7575699999998</c:v>
                </c:pt>
                <c:pt idx="975">
                  <c:v>6834.4961899999998</c:v>
                </c:pt>
                <c:pt idx="976">
                  <c:v>6834.4961899999998</c:v>
                </c:pt>
                <c:pt idx="977">
                  <c:v>6834.4961899999998</c:v>
                </c:pt>
                <c:pt idx="978">
                  <c:v>6878.4894800000002</c:v>
                </c:pt>
                <c:pt idx="979">
                  <c:v>6909.7920700000004</c:v>
                </c:pt>
                <c:pt idx="980">
                  <c:v>6932.04918</c:v>
                </c:pt>
                <c:pt idx="981">
                  <c:v>6932.04918</c:v>
                </c:pt>
                <c:pt idx="982">
                  <c:v>6929.9361200000003</c:v>
                </c:pt>
                <c:pt idx="983">
                  <c:v>6929.9361200000003</c:v>
                </c:pt>
                <c:pt idx="984">
                  <c:v>6929.9361200000003</c:v>
                </c:pt>
                <c:pt idx="985">
                  <c:v>6905.7440500000002</c:v>
                </c:pt>
                <c:pt idx="986">
                  <c:v>6896.2417400000004</c:v>
                </c:pt>
                <c:pt idx="987">
                  <c:v>6845.5047100000002</c:v>
                </c:pt>
                <c:pt idx="988">
                  <c:v>6845.5047100000002</c:v>
                </c:pt>
                <c:pt idx="989">
                  <c:v>6858.4723100000001</c:v>
                </c:pt>
                <c:pt idx="990">
                  <c:v>6858.4723100000001</c:v>
                </c:pt>
                <c:pt idx="991">
                  <c:v>6858.4723100000001</c:v>
                </c:pt>
                <c:pt idx="992">
                  <c:v>6902.0508499999996</c:v>
                </c:pt>
                <c:pt idx="993">
                  <c:v>6944.8192200000003</c:v>
                </c:pt>
                <c:pt idx="994">
                  <c:v>6920.9292599999999</c:v>
                </c:pt>
                <c:pt idx="995">
                  <c:v>6921.4570899999999</c:v>
                </c:pt>
                <c:pt idx="996">
                  <c:v>6966.2839199999999</c:v>
                </c:pt>
                <c:pt idx="997">
                  <c:v>6966.2839199999999</c:v>
                </c:pt>
                <c:pt idx="998">
                  <c:v>6966.2839199999999</c:v>
                </c:pt>
                <c:pt idx="999">
                  <c:v>6977.2650299999996</c:v>
                </c:pt>
                <c:pt idx="1000">
                  <c:v>6963.7350999999999</c:v>
                </c:pt>
                <c:pt idx="1001">
                  <c:v>6926.5961500000003</c:v>
                </c:pt>
                <c:pt idx="1002">
                  <c:v>6944.4718800000001</c:v>
                </c:pt>
                <c:pt idx="1003">
                  <c:v>6940.0095099999999</c:v>
                </c:pt>
                <c:pt idx="1004">
                  <c:v>6940.0095099999999</c:v>
                </c:pt>
                <c:pt idx="1005">
                  <c:v>6940.0095099999999</c:v>
                </c:pt>
                <c:pt idx="1006">
                  <c:v>6940.0095099999999</c:v>
                </c:pt>
                <c:pt idx="1007">
                  <c:v>6796.8608100000001</c:v>
                </c:pt>
                <c:pt idx="1008">
                  <c:v>6875.6152700000002</c:v>
                </c:pt>
                <c:pt idx="1009">
                  <c:v>6913.3520399999998</c:v>
                </c:pt>
                <c:pt idx="1010">
                  <c:v>6915.6106499999996</c:v>
                </c:pt>
                <c:pt idx="1011">
                  <c:v>6915.6106499999996</c:v>
                </c:pt>
                <c:pt idx="1012">
                  <c:v>6915.6106499999996</c:v>
                </c:pt>
                <c:pt idx="1013">
                  <c:v>6950.2322000000004</c:v>
                </c:pt>
                <c:pt idx="1014">
                  <c:v>6978.5969299999997</c:v>
                </c:pt>
                <c:pt idx="1015">
                  <c:v>6978.0293899999997</c:v>
                </c:pt>
                <c:pt idx="1016">
                  <c:v>6969.0068899999997</c:v>
                </c:pt>
                <c:pt idx="1017">
                  <c:v>6939.02952</c:v>
                </c:pt>
                <c:pt idx="1018">
                  <c:v>6939.02952</c:v>
                </c:pt>
                <c:pt idx="1019">
                  <c:v>6939.02952</c:v>
                </c:pt>
                <c:pt idx="1020">
                  <c:v>6976.4441800000004</c:v>
                </c:pt>
                <c:pt idx="1021">
                  <c:v>6917.8117000000002</c:v>
                </c:pt>
                <c:pt idx="1022">
                  <c:v>6882.7211100000004</c:v>
                </c:pt>
                <c:pt idx="1023">
                  <c:v>6798.39948</c:v>
                </c:pt>
                <c:pt idx="1024">
                  <c:v>6932.2976699999999</c:v>
                </c:pt>
                <c:pt idx="1025">
                  <c:v>6932.2976699999999</c:v>
                </c:pt>
                <c:pt idx="1026">
                  <c:v>6932.2976699999999</c:v>
                </c:pt>
                <c:pt idx="1027">
                  <c:v>6964.8198499999999</c:v>
                </c:pt>
                <c:pt idx="1028">
                  <c:v>6941.8125099999997</c:v>
                </c:pt>
                <c:pt idx="1029">
                  <c:v>6941.4710100000002</c:v>
                </c:pt>
                <c:pt idx="1030">
                  <c:v>6832.7614700000004</c:v>
                </c:pt>
                <c:pt idx="1031">
                  <c:v>6836.17209</c:v>
                </c:pt>
                <c:pt idx="1032">
                  <c:v>6836.17209</c:v>
                </c:pt>
                <c:pt idx="1033">
                  <c:v>6836.17209</c:v>
                </c:pt>
                <c:pt idx="1034">
                  <c:v>6836.17209</c:v>
                </c:pt>
                <c:pt idx="1035">
                  <c:v>6843.2232599999998</c:v>
                </c:pt>
                <c:pt idx="1036">
                  <c:v>6881.3145599999998</c:v>
                </c:pt>
                <c:pt idx="1037">
                  <c:v>6861.8937400000004</c:v>
                </c:pt>
                <c:pt idx="1038">
                  <c:v>6909.5066200000001</c:v>
                </c:pt>
                <c:pt idx="1039">
                  <c:v>6909.5066200000001</c:v>
                </c:pt>
                <c:pt idx="1040">
                  <c:v>6909.5066200000001</c:v>
                </c:pt>
                <c:pt idx="1041">
                  <c:v>6837.7545200000004</c:v>
                </c:pt>
                <c:pt idx="1042">
                  <c:v>6890.0723099999996</c:v>
                </c:pt>
                <c:pt idx="1043">
                  <c:v>6946.1266900000001</c:v>
                </c:pt>
                <c:pt idx="1044">
                  <c:v>6908.8646799999997</c:v>
                </c:pt>
                <c:pt idx="1045">
                  <c:v>6878.8784999999998</c:v>
                </c:pt>
                <c:pt idx="1046">
                  <c:v>6878.8784999999998</c:v>
                </c:pt>
                <c:pt idx="1047">
                  <c:v>6878.8784999999998</c:v>
                </c:pt>
                <c:pt idx="1048">
                  <c:v>6881.6200799999997</c:v>
                </c:pt>
                <c:pt idx="1049">
                  <c:v>6816.6270299999996</c:v>
                </c:pt>
                <c:pt idx="1050">
                  <c:v>6869.5024400000002</c:v>
                </c:pt>
                <c:pt idx="1051">
                  <c:v>6830.7080699999997</c:v>
                </c:pt>
                <c:pt idx="1052">
                  <c:v>6740.0234300000002</c:v>
                </c:pt>
                <c:pt idx="1053">
                  <c:v>6740.0234300000002</c:v>
                </c:pt>
                <c:pt idx="1054">
                  <c:v>6740.0234300000002</c:v>
                </c:pt>
                <c:pt idx="1055">
                  <c:v>6795.9918699999998</c:v>
                </c:pt>
                <c:pt idx="1056">
                  <c:v>6781.4819299999999</c:v>
                </c:pt>
                <c:pt idx="1057">
                  <c:v>6775.8043200000002</c:v>
                </c:pt>
                <c:pt idx="1058">
                  <c:v>6672.6180400000003</c:v>
                </c:pt>
                <c:pt idx="1059">
                  <c:v>6632.1915300000001</c:v>
                </c:pt>
                <c:pt idx="1060">
                  <c:v>6632.1915300000001</c:v>
                </c:pt>
                <c:pt idx="1061">
                  <c:v>6632.1915300000001</c:v>
                </c:pt>
                <c:pt idx="1062">
                  <c:v>6699.3833299999997</c:v>
                </c:pt>
                <c:pt idx="1063">
                  <c:v>6716.0925100000004</c:v>
                </c:pt>
                <c:pt idx="1064">
                  <c:v>6624.6951600000002</c:v>
                </c:pt>
                <c:pt idx="1065">
                  <c:v>6606.4945399999997</c:v>
                </c:pt>
                <c:pt idx="1066">
                  <c:v>6506.4789099999998</c:v>
                </c:pt>
                <c:pt idx="1067">
                  <c:v>6506.4789099999998</c:v>
                </c:pt>
                <c:pt idx="1068">
                  <c:v>6506.4789099999998</c:v>
                </c:pt>
                <c:pt idx="1069">
                  <c:v>6581.0002100000002</c:v>
                </c:pt>
                <c:pt idx="1070">
                  <c:v>6556.3711400000002</c:v>
                </c:pt>
                <c:pt idx="1071">
                  <c:v>6591.9005900000002</c:v>
                </c:pt>
                <c:pt idx="1072">
                  <c:v>6477.1646300000002</c:v>
                </c:pt>
                <c:pt idx="1073">
                  <c:v>6368.8530700000001</c:v>
                </c:pt>
                <c:pt idx="1074">
                  <c:v>6368.8530700000001</c:v>
                </c:pt>
                <c:pt idx="1075">
                  <c:v>6368.8530700000001</c:v>
                </c:pt>
                <c:pt idx="1076">
                  <c:v>6343.7248300000001</c:v>
                </c:pt>
                <c:pt idx="1077">
                  <c:v>6528.5173800000002</c:v>
                </c:pt>
                <c:pt idx="1078">
                  <c:v>6575.3159299999998</c:v>
                </c:pt>
                <c:pt idx="1079">
                  <c:v>6582.6867599999996</c:v>
                </c:pt>
                <c:pt idx="1080">
                  <c:v>6582.6867599999996</c:v>
                </c:pt>
                <c:pt idx="1081">
                  <c:v>6582.6867599999996</c:v>
                </c:pt>
                <c:pt idx="1082">
                  <c:v>6582.6867599999996</c:v>
                </c:pt>
                <c:pt idx="1083">
                  <c:v>6611.8304099999996</c:v>
                </c:pt>
                <c:pt idx="1084">
                  <c:v>6616.8508300000003</c:v>
                </c:pt>
                <c:pt idx="1085">
                  <c:v>6782.81167</c:v>
                </c:pt>
                <c:pt idx="1086">
                  <c:v>6824.6572699999997</c:v>
                </c:pt>
                <c:pt idx="1087">
                  <c:v>6816.89192</c:v>
                </c:pt>
                <c:pt idx="1088">
                  <c:v>6816.89192</c:v>
                </c:pt>
                <c:pt idx="1089">
                  <c:v>6816.89192</c:v>
                </c:pt>
                <c:pt idx="1090">
                  <c:v>6886.2352300000002</c:v>
                </c:pt>
                <c:pt idx="1091">
                  <c:v>6967.3786899999996</c:v>
                </c:pt>
                <c:pt idx="1092">
                  <c:v>7022.9523300000001</c:v>
                </c:pt>
                <c:pt idx="1093">
                  <c:v>7041.2766899999997</c:v>
                </c:pt>
                <c:pt idx="1094">
                  <c:v>7041.2766899999997</c:v>
                </c:pt>
              </c:numCache>
            </c:numRef>
          </c:val>
          <c:smooth val="0"/>
          <c:extLst>
            <c:ext xmlns:c16="http://schemas.microsoft.com/office/drawing/2014/chart" uri="{C3380CC4-5D6E-409C-BE32-E72D297353CC}">
              <c16:uniqueId val="{00000001-D9D0-45CE-82FE-893C78ABBA92}"/>
            </c:ext>
          </c:extLst>
        </c:ser>
        <c:dLbls>
          <c:showLegendKey val="0"/>
          <c:showVal val="0"/>
          <c:showCatName val="0"/>
          <c:showSerName val="0"/>
          <c:showPercent val="0"/>
          <c:showBubbleSize val="0"/>
        </c:dLbls>
        <c:marker val="1"/>
        <c:smooth val="0"/>
        <c:axId val="2085424671"/>
        <c:axId val="2060063199"/>
      </c:lineChart>
      <c:dateAx>
        <c:axId val="2085423231"/>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71215679"/>
        <c:crosses val="autoZero"/>
        <c:auto val="0"/>
        <c:lblOffset val="100"/>
        <c:baseTimeUnit val="days"/>
      </c:dateAx>
      <c:valAx>
        <c:axId val="20712156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C00000"/>
                </a:solidFill>
                <a:latin typeface="+mn-lt"/>
                <a:ea typeface="+mn-ea"/>
                <a:cs typeface="+mn-cs"/>
              </a:defRPr>
            </a:pPr>
            <a:endParaRPr lang="en-US"/>
          </a:p>
        </c:txPr>
        <c:crossAx val="2085423231"/>
        <c:crosses val="autoZero"/>
        <c:crossBetween val="midCat"/>
      </c:valAx>
      <c:valAx>
        <c:axId val="206006319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lumMod val="50000"/>
                  </a:schemeClr>
                </a:solidFill>
                <a:latin typeface="+mn-lt"/>
                <a:ea typeface="+mn-ea"/>
                <a:cs typeface="+mn-cs"/>
              </a:defRPr>
            </a:pPr>
            <a:endParaRPr lang="en-US"/>
          </a:p>
        </c:txPr>
        <c:crossAx val="2085424671"/>
        <c:crosses val="max"/>
        <c:crossBetween val="between"/>
      </c:valAx>
      <c:dateAx>
        <c:axId val="2085424671"/>
        <c:scaling>
          <c:orientation val="minMax"/>
        </c:scaling>
        <c:delete val="1"/>
        <c:axPos val="b"/>
        <c:numFmt formatCode="dd/mm/yy;@" sourceLinked="1"/>
        <c:majorTickMark val="out"/>
        <c:minorTickMark val="none"/>
        <c:tickLblPos val="nextTo"/>
        <c:crossAx val="2060063199"/>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0015363281615E-2"/>
          <c:y val="9.9275579628679486E-2"/>
          <c:w val="0.79995086579315156"/>
          <c:h val="0.66392003962582569"/>
        </c:manualLayout>
      </c:layout>
      <c:lineChart>
        <c:grouping val="standard"/>
        <c:varyColors val="0"/>
        <c:ser>
          <c:idx val="0"/>
          <c:order val="0"/>
          <c:tx>
            <c:v>Aktie</c:v>
          </c:tx>
          <c:spPr>
            <a:ln w="12700" cap="rnd">
              <a:solidFill>
                <a:srgbClr val="C00000"/>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F7'!$AI$6:$AI$1100</c:f>
              <c:numCache>
                <c:formatCode>#,##0.00</c:formatCode>
                <c:ptCount val="1095"/>
                <c:pt idx="0">
                  <c:v>215.7</c:v>
                </c:pt>
                <c:pt idx="1">
                  <c:v>213.07</c:v>
                </c:pt>
                <c:pt idx="2">
                  <c:v>212.89</c:v>
                </c:pt>
                <c:pt idx="3">
                  <c:v>212.89</c:v>
                </c:pt>
                <c:pt idx="4">
                  <c:v>212.89</c:v>
                </c:pt>
                <c:pt idx="5">
                  <c:v>212.79</c:v>
                </c:pt>
                <c:pt idx="6">
                  <c:v>207.55</c:v>
                </c:pt>
                <c:pt idx="7">
                  <c:v>209.4</c:v>
                </c:pt>
                <c:pt idx="8">
                  <c:v>238.56</c:v>
                </c:pt>
                <c:pt idx="9">
                  <c:v>240.32</c:v>
                </c:pt>
                <c:pt idx="10">
                  <c:v>240.32</c:v>
                </c:pt>
                <c:pt idx="11">
                  <c:v>240.32</c:v>
                </c:pt>
                <c:pt idx="12">
                  <c:v>243.18</c:v>
                </c:pt>
                <c:pt idx="13">
                  <c:v>239.24</c:v>
                </c:pt>
                <c:pt idx="14">
                  <c:v>237.03</c:v>
                </c:pt>
                <c:pt idx="15">
                  <c:v>233.52</c:v>
                </c:pt>
                <c:pt idx="16">
                  <c:v>232.78</c:v>
                </c:pt>
                <c:pt idx="17">
                  <c:v>232.78</c:v>
                </c:pt>
                <c:pt idx="18">
                  <c:v>232.78</c:v>
                </c:pt>
                <c:pt idx="19">
                  <c:v>233.27</c:v>
                </c:pt>
                <c:pt idx="20">
                  <c:v>233.37</c:v>
                </c:pt>
                <c:pt idx="21">
                  <c:v>233.08</c:v>
                </c:pt>
                <c:pt idx="22">
                  <c:v>235.79</c:v>
                </c:pt>
                <c:pt idx="23">
                  <c:v>233.81</c:v>
                </c:pt>
                <c:pt idx="24">
                  <c:v>233.81</c:v>
                </c:pt>
                <c:pt idx="25">
                  <c:v>233.81</c:v>
                </c:pt>
                <c:pt idx="26">
                  <c:v>238.86</c:v>
                </c:pt>
                <c:pt idx="27">
                  <c:v>238.82</c:v>
                </c:pt>
                <c:pt idx="28">
                  <c:v>242.48500000000001</c:v>
                </c:pt>
                <c:pt idx="29">
                  <c:v>246.85</c:v>
                </c:pt>
                <c:pt idx="30">
                  <c:v>245.64</c:v>
                </c:pt>
                <c:pt idx="31">
                  <c:v>245.64</c:v>
                </c:pt>
                <c:pt idx="32">
                  <c:v>245.64</c:v>
                </c:pt>
                <c:pt idx="33">
                  <c:v>248.32</c:v>
                </c:pt>
                <c:pt idx="34">
                  <c:v>246.74</c:v>
                </c:pt>
                <c:pt idx="35">
                  <c:v>249.21</c:v>
                </c:pt>
                <c:pt idx="36">
                  <c:v>252.69</c:v>
                </c:pt>
                <c:pt idx="37">
                  <c:v>262.04000000000002</c:v>
                </c:pt>
                <c:pt idx="38">
                  <c:v>262.04000000000002</c:v>
                </c:pt>
                <c:pt idx="39">
                  <c:v>262.04000000000002</c:v>
                </c:pt>
                <c:pt idx="40">
                  <c:v>262.04000000000002</c:v>
                </c:pt>
                <c:pt idx="41">
                  <c:v>262.52</c:v>
                </c:pt>
                <c:pt idx="42">
                  <c:v>264.72000000000003</c:v>
                </c:pt>
                <c:pt idx="43">
                  <c:v>272.61</c:v>
                </c:pt>
                <c:pt idx="44">
                  <c:v>272.61</c:v>
                </c:pt>
                <c:pt idx="45">
                  <c:v>272.61</c:v>
                </c:pt>
                <c:pt idx="46">
                  <c:v>272.61</c:v>
                </c:pt>
                <c:pt idx="47">
                  <c:v>271.39</c:v>
                </c:pt>
                <c:pt idx="48">
                  <c:v>271.12</c:v>
                </c:pt>
                <c:pt idx="49">
                  <c:v>263.60000000000002</c:v>
                </c:pt>
                <c:pt idx="50">
                  <c:v>264.58</c:v>
                </c:pt>
                <c:pt idx="51">
                  <c:v>264.95</c:v>
                </c:pt>
                <c:pt idx="52">
                  <c:v>264.95</c:v>
                </c:pt>
                <c:pt idx="53">
                  <c:v>264.95</c:v>
                </c:pt>
                <c:pt idx="54">
                  <c:v>271.05</c:v>
                </c:pt>
                <c:pt idx="55">
                  <c:v>271.32</c:v>
                </c:pt>
                <c:pt idx="56">
                  <c:v>273.35000000000002</c:v>
                </c:pt>
                <c:pt idx="57">
                  <c:v>281.83</c:v>
                </c:pt>
                <c:pt idx="58">
                  <c:v>281</c:v>
                </c:pt>
                <c:pt idx="59">
                  <c:v>281</c:v>
                </c:pt>
                <c:pt idx="60">
                  <c:v>281</c:v>
                </c:pt>
                <c:pt idx="61">
                  <c:v>281</c:v>
                </c:pt>
                <c:pt idx="62">
                  <c:v>284.33</c:v>
                </c:pt>
                <c:pt idx="63">
                  <c:v>281.64</c:v>
                </c:pt>
                <c:pt idx="64">
                  <c:v>284.88</c:v>
                </c:pt>
                <c:pt idx="65">
                  <c:v>288.73</c:v>
                </c:pt>
                <c:pt idx="66">
                  <c:v>288.73</c:v>
                </c:pt>
                <c:pt idx="67">
                  <c:v>288.73</c:v>
                </c:pt>
                <c:pt idx="68">
                  <c:v>278.47000000000003</c:v>
                </c:pt>
                <c:pt idx="69">
                  <c:v>287.05</c:v>
                </c:pt>
                <c:pt idx="70">
                  <c:v>285.29000000000002</c:v>
                </c:pt>
                <c:pt idx="71">
                  <c:v>281.52999999999997</c:v>
                </c:pt>
                <c:pt idx="72">
                  <c:v>286.98</c:v>
                </c:pt>
                <c:pt idx="73">
                  <c:v>286.98</c:v>
                </c:pt>
                <c:pt idx="74">
                  <c:v>286.98</c:v>
                </c:pt>
                <c:pt idx="75">
                  <c:v>286.02</c:v>
                </c:pt>
                <c:pt idx="76">
                  <c:v>286.02</c:v>
                </c:pt>
                <c:pt idx="77">
                  <c:v>294.37</c:v>
                </c:pt>
                <c:pt idx="78">
                  <c:v>291.99</c:v>
                </c:pt>
                <c:pt idx="79">
                  <c:v>290.52999999999997</c:v>
                </c:pt>
                <c:pt idx="80">
                  <c:v>290.52999999999997</c:v>
                </c:pt>
                <c:pt idx="81">
                  <c:v>290.52999999999997</c:v>
                </c:pt>
                <c:pt idx="82">
                  <c:v>294.10000000000002</c:v>
                </c:pt>
                <c:pt idx="83">
                  <c:v>298.29000000000002</c:v>
                </c:pt>
                <c:pt idx="84">
                  <c:v>309.33999999999997</c:v>
                </c:pt>
                <c:pt idx="85">
                  <c:v>313.41000000000003</c:v>
                </c:pt>
                <c:pt idx="86">
                  <c:v>308.87</c:v>
                </c:pt>
                <c:pt idx="87">
                  <c:v>308.87</c:v>
                </c:pt>
                <c:pt idx="88">
                  <c:v>308.87</c:v>
                </c:pt>
                <c:pt idx="89">
                  <c:v>310.62</c:v>
                </c:pt>
                <c:pt idx="90">
                  <c:v>312.05</c:v>
                </c:pt>
                <c:pt idx="91">
                  <c:v>316.01</c:v>
                </c:pt>
                <c:pt idx="92">
                  <c:v>302.52</c:v>
                </c:pt>
                <c:pt idx="93">
                  <c:v>294.26</c:v>
                </c:pt>
                <c:pt idx="94">
                  <c:v>294.26</c:v>
                </c:pt>
                <c:pt idx="95">
                  <c:v>294.26</c:v>
                </c:pt>
                <c:pt idx="96">
                  <c:v>291.61</c:v>
                </c:pt>
                <c:pt idx="97">
                  <c:v>294.47000000000003</c:v>
                </c:pt>
                <c:pt idx="98">
                  <c:v>298.57</c:v>
                </c:pt>
                <c:pt idx="99">
                  <c:v>311.70999999999998</c:v>
                </c:pt>
                <c:pt idx="100">
                  <c:v>325.48</c:v>
                </c:pt>
                <c:pt idx="101">
                  <c:v>325.48</c:v>
                </c:pt>
                <c:pt idx="102">
                  <c:v>325.48</c:v>
                </c:pt>
                <c:pt idx="103">
                  <c:v>318.60000000000002</c:v>
                </c:pt>
                <c:pt idx="104">
                  <c:v>322.70999999999998</c:v>
                </c:pt>
                <c:pt idx="105">
                  <c:v>314.31</c:v>
                </c:pt>
                <c:pt idx="106">
                  <c:v>313.19</c:v>
                </c:pt>
                <c:pt idx="107">
                  <c:v>310.73</c:v>
                </c:pt>
                <c:pt idx="108">
                  <c:v>310.73</c:v>
                </c:pt>
                <c:pt idx="109">
                  <c:v>310.73</c:v>
                </c:pt>
                <c:pt idx="110">
                  <c:v>316.56</c:v>
                </c:pt>
                <c:pt idx="111">
                  <c:v>312.64</c:v>
                </c:pt>
                <c:pt idx="112">
                  <c:v>305.20999999999998</c:v>
                </c:pt>
                <c:pt idx="113">
                  <c:v>305.74</c:v>
                </c:pt>
                <c:pt idx="114">
                  <c:v>301.64</c:v>
                </c:pt>
                <c:pt idx="115">
                  <c:v>301.64</c:v>
                </c:pt>
                <c:pt idx="116">
                  <c:v>301.64</c:v>
                </c:pt>
                <c:pt idx="117">
                  <c:v>306.19</c:v>
                </c:pt>
                <c:pt idx="118">
                  <c:v>301.95</c:v>
                </c:pt>
                <c:pt idx="119">
                  <c:v>294.29000000000002</c:v>
                </c:pt>
                <c:pt idx="120">
                  <c:v>285.08999999999997</c:v>
                </c:pt>
                <c:pt idx="121">
                  <c:v>283.25</c:v>
                </c:pt>
                <c:pt idx="122">
                  <c:v>283.25</c:v>
                </c:pt>
                <c:pt idx="123">
                  <c:v>283.25</c:v>
                </c:pt>
                <c:pt idx="124">
                  <c:v>289.89999999999998</c:v>
                </c:pt>
                <c:pt idx="125">
                  <c:v>287.60000000000002</c:v>
                </c:pt>
                <c:pt idx="126">
                  <c:v>294.24</c:v>
                </c:pt>
                <c:pt idx="127">
                  <c:v>286.75</c:v>
                </c:pt>
                <c:pt idx="128">
                  <c:v>285.5</c:v>
                </c:pt>
                <c:pt idx="129">
                  <c:v>285.5</c:v>
                </c:pt>
                <c:pt idx="130">
                  <c:v>285.5</c:v>
                </c:pt>
                <c:pt idx="131">
                  <c:v>290.26</c:v>
                </c:pt>
                <c:pt idx="132">
                  <c:v>297.99</c:v>
                </c:pt>
                <c:pt idx="133">
                  <c:v>295.10000000000002</c:v>
                </c:pt>
                <c:pt idx="134">
                  <c:v>295.89</c:v>
                </c:pt>
                <c:pt idx="135">
                  <c:v>296.38</c:v>
                </c:pt>
                <c:pt idx="136">
                  <c:v>296.38</c:v>
                </c:pt>
                <c:pt idx="137">
                  <c:v>296.38</c:v>
                </c:pt>
                <c:pt idx="138">
                  <c:v>296.38</c:v>
                </c:pt>
                <c:pt idx="139">
                  <c:v>300.14999999999998</c:v>
                </c:pt>
                <c:pt idx="140">
                  <c:v>299.17</c:v>
                </c:pt>
                <c:pt idx="141">
                  <c:v>298.67</c:v>
                </c:pt>
                <c:pt idx="142">
                  <c:v>297.89</c:v>
                </c:pt>
                <c:pt idx="143">
                  <c:v>297.89</c:v>
                </c:pt>
                <c:pt idx="144">
                  <c:v>297.89</c:v>
                </c:pt>
                <c:pt idx="145">
                  <c:v>307.56</c:v>
                </c:pt>
                <c:pt idx="146">
                  <c:v>301.66000000000003</c:v>
                </c:pt>
                <c:pt idx="147">
                  <c:v>305.06</c:v>
                </c:pt>
                <c:pt idx="148">
                  <c:v>311.72000000000003</c:v>
                </c:pt>
                <c:pt idx="149">
                  <c:v>300.31</c:v>
                </c:pt>
                <c:pt idx="150">
                  <c:v>300.31</c:v>
                </c:pt>
                <c:pt idx="151">
                  <c:v>300.31</c:v>
                </c:pt>
                <c:pt idx="152">
                  <c:v>302.55</c:v>
                </c:pt>
                <c:pt idx="153">
                  <c:v>305.07</c:v>
                </c:pt>
                <c:pt idx="154">
                  <c:v>299.67</c:v>
                </c:pt>
                <c:pt idx="155">
                  <c:v>295.73</c:v>
                </c:pt>
                <c:pt idx="156">
                  <c:v>299.08</c:v>
                </c:pt>
                <c:pt idx="157">
                  <c:v>299.08</c:v>
                </c:pt>
                <c:pt idx="158">
                  <c:v>299.08</c:v>
                </c:pt>
                <c:pt idx="159">
                  <c:v>300.83</c:v>
                </c:pt>
                <c:pt idx="160">
                  <c:v>298.95999999999998</c:v>
                </c:pt>
                <c:pt idx="161">
                  <c:v>297.74</c:v>
                </c:pt>
                <c:pt idx="162">
                  <c:v>303.95999999999998</c:v>
                </c:pt>
                <c:pt idx="163">
                  <c:v>300.20999999999998</c:v>
                </c:pt>
                <c:pt idx="164">
                  <c:v>300.20999999999998</c:v>
                </c:pt>
                <c:pt idx="165">
                  <c:v>300.20999999999998</c:v>
                </c:pt>
                <c:pt idx="166">
                  <c:v>306.82</c:v>
                </c:pt>
                <c:pt idx="167">
                  <c:v>300.94</c:v>
                </c:pt>
                <c:pt idx="168">
                  <c:v>305.58</c:v>
                </c:pt>
                <c:pt idx="169">
                  <c:v>304.79000000000002</c:v>
                </c:pt>
                <c:pt idx="170">
                  <c:v>315.43</c:v>
                </c:pt>
                <c:pt idx="171">
                  <c:v>315.43</c:v>
                </c:pt>
                <c:pt idx="172">
                  <c:v>315.43</c:v>
                </c:pt>
                <c:pt idx="173">
                  <c:v>318.36</c:v>
                </c:pt>
                <c:pt idx="174">
                  <c:v>321.83999999999997</c:v>
                </c:pt>
                <c:pt idx="175">
                  <c:v>327.82</c:v>
                </c:pt>
                <c:pt idx="176">
                  <c:v>324.16000000000003</c:v>
                </c:pt>
                <c:pt idx="177">
                  <c:v>314.69</c:v>
                </c:pt>
                <c:pt idx="178">
                  <c:v>314.69</c:v>
                </c:pt>
                <c:pt idx="179">
                  <c:v>314.69</c:v>
                </c:pt>
                <c:pt idx="180">
                  <c:v>321.14999999999998</c:v>
                </c:pt>
                <c:pt idx="181">
                  <c:v>324</c:v>
                </c:pt>
                <c:pt idx="182">
                  <c:v>316.97000000000003</c:v>
                </c:pt>
                <c:pt idx="183">
                  <c:v>312.81</c:v>
                </c:pt>
                <c:pt idx="184">
                  <c:v>308.64999999999998</c:v>
                </c:pt>
                <c:pt idx="185">
                  <c:v>308.64999999999998</c:v>
                </c:pt>
                <c:pt idx="186">
                  <c:v>308.64999999999998</c:v>
                </c:pt>
                <c:pt idx="187">
                  <c:v>314.01</c:v>
                </c:pt>
                <c:pt idx="188">
                  <c:v>312.55</c:v>
                </c:pt>
                <c:pt idx="189">
                  <c:v>299.52999999999997</c:v>
                </c:pt>
                <c:pt idx="190">
                  <c:v>288.35000000000002</c:v>
                </c:pt>
                <c:pt idx="191">
                  <c:v>296.73</c:v>
                </c:pt>
                <c:pt idx="192">
                  <c:v>296.73</c:v>
                </c:pt>
                <c:pt idx="193">
                  <c:v>296.73</c:v>
                </c:pt>
                <c:pt idx="194">
                  <c:v>302.66000000000003</c:v>
                </c:pt>
                <c:pt idx="195">
                  <c:v>301.27</c:v>
                </c:pt>
                <c:pt idx="196">
                  <c:v>311.85000000000002</c:v>
                </c:pt>
                <c:pt idx="197">
                  <c:v>310.87</c:v>
                </c:pt>
                <c:pt idx="198">
                  <c:v>314.60000000000002</c:v>
                </c:pt>
                <c:pt idx="199">
                  <c:v>314.60000000000002</c:v>
                </c:pt>
                <c:pt idx="200">
                  <c:v>314.60000000000002</c:v>
                </c:pt>
                <c:pt idx="201">
                  <c:v>315.8</c:v>
                </c:pt>
                <c:pt idx="202">
                  <c:v>318.82</c:v>
                </c:pt>
                <c:pt idx="203">
                  <c:v>319.77999999999997</c:v>
                </c:pt>
                <c:pt idx="204">
                  <c:v>320.55</c:v>
                </c:pt>
                <c:pt idx="205">
                  <c:v>328.77</c:v>
                </c:pt>
                <c:pt idx="206">
                  <c:v>328.77</c:v>
                </c:pt>
                <c:pt idx="207">
                  <c:v>328.77</c:v>
                </c:pt>
                <c:pt idx="208">
                  <c:v>329.19</c:v>
                </c:pt>
                <c:pt idx="209">
                  <c:v>336.31</c:v>
                </c:pt>
                <c:pt idx="210">
                  <c:v>332.71</c:v>
                </c:pt>
                <c:pt idx="211">
                  <c:v>334.19</c:v>
                </c:pt>
                <c:pt idx="212">
                  <c:v>335.04</c:v>
                </c:pt>
                <c:pt idx="213">
                  <c:v>335.04</c:v>
                </c:pt>
                <c:pt idx="214">
                  <c:v>335.04</c:v>
                </c:pt>
                <c:pt idx="215">
                  <c:v>339.97</c:v>
                </c:pt>
                <c:pt idx="216">
                  <c:v>336.98</c:v>
                </c:pt>
                <c:pt idx="217">
                  <c:v>341.49</c:v>
                </c:pt>
                <c:pt idx="218">
                  <c:v>341.49</c:v>
                </c:pt>
                <c:pt idx="219">
                  <c:v>338.23</c:v>
                </c:pt>
                <c:pt idx="220">
                  <c:v>338.23</c:v>
                </c:pt>
                <c:pt idx="221">
                  <c:v>338.23</c:v>
                </c:pt>
                <c:pt idx="222">
                  <c:v>334.7</c:v>
                </c:pt>
                <c:pt idx="223">
                  <c:v>338.99</c:v>
                </c:pt>
                <c:pt idx="224">
                  <c:v>332.2</c:v>
                </c:pt>
                <c:pt idx="225">
                  <c:v>327.14999999999998</c:v>
                </c:pt>
                <c:pt idx="226">
                  <c:v>324.82</c:v>
                </c:pt>
                <c:pt idx="227">
                  <c:v>324.82</c:v>
                </c:pt>
                <c:pt idx="228">
                  <c:v>324.82</c:v>
                </c:pt>
                <c:pt idx="229">
                  <c:v>320.02</c:v>
                </c:pt>
                <c:pt idx="230">
                  <c:v>318.29000000000002</c:v>
                </c:pt>
                <c:pt idx="231">
                  <c:v>317.45</c:v>
                </c:pt>
                <c:pt idx="232">
                  <c:v>326.58999999999997</c:v>
                </c:pt>
                <c:pt idx="233">
                  <c:v>332.75</c:v>
                </c:pt>
                <c:pt idx="234">
                  <c:v>332.75</c:v>
                </c:pt>
                <c:pt idx="235">
                  <c:v>332.75</c:v>
                </c:pt>
                <c:pt idx="236">
                  <c:v>325.27999999999997</c:v>
                </c:pt>
                <c:pt idx="237">
                  <c:v>334.22</c:v>
                </c:pt>
                <c:pt idx="238">
                  <c:v>334.74</c:v>
                </c:pt>
                <c:pt idx="239">
                  <c:v>333.17</c:v>
                </c:pt>
                <c:pt idx="240">
                  <c:v>334.92</c:v>
                </c:pt>
                <c:pt idx="241">
                  <c:v>334.92</c:v>
                </c:pt>
                <c:pt idx="242">
                  <c:v>334.92</c:v>
                </c:pt>
                <c:pt idx="243">
                  <c:v>344.62</c:v>
                </c:pt>
                <c:pt idx="244">
                  <c:v>350.36</c:v>
                </c:pt>
                <c:pt idx="245">
                  <c:v>349.28</c:v>
                </c:pt>
                <c:pt idx="246">
                  <c:v>354.09</c:v>
                </c:pt>
                <c:pt idx="247">
                  <c:v>353.39</c:v>
                </c:pt>
                <c:pt idx="248">
                  <c:v>353.39</c:v>
                </c:pt>
                <c:pt idx="249">
                  <c:v>353.39</c:v>
                </c:pt>
                <c:pt idx="250">
                  <c:v>353.39</c:v>
                </c:pt>
                <c:pt idx="251">
                  <c:v>354.83</c:v>
                </c:pt>
                <c:pt idx="252">
                  <c:v>357.83</c:v>
                </c:pt>
                <c:pt idx="253">
                  <c:v>358.32</c:v>
                </c:pt>
                <c:pt idx="254">
                  <c:v>353.96</c:v>
                </c:pt>
                <c:pt idx="255">
                  <c:v>353.96</c:v>
                </c:pt>
                <c:pt idx="256">
                  <c:v>353.96</c:v>
                </c:pt>
                <c:pt idx="257">
                  <c:v>353.96</c:v>
                </c:pt>
                <c:pt idx="258">
                  <c:v>346.29</c:v>
                </c:pt>
                <c:pt idx="259">
                  <c:v>344.47</c:v>
                </c:pt>
                <c:pt idx="260">
                  <c:v>347.12</c:v>
                </c:pt>
                <c:pt idx="261">
                  <c:v>351.95</c:v>
                </c:pt>
                <c:pt idx="262">
                  <c:v>351.95</c:v>
                </c:pt>
                <c:pt idx="263">
                  <c:v>351.95</c:v>
                </c:pt>
                <c:pt idx="264">
                  <c:v>358.66</c:v>
                </c:pt>
                <c:pt idx="265">
                  <c:v>357.43</c:v>
                </c:pt>
                <c:pt idx="266">
                  <c:v>370.47</c:v>
                </c:pt>
                <c:pt idx="267">
                  <c:v>369.67</c:v>
                </c:pt>
                <c:pt idx="268">
                  <c:v>374.49</c:v>
                </c:pt>
                <c:pt idx="269">
                  <c:v>374.49</c:v>
                </c:pt>
                <c:pt idx="270">
                  <c:v>374.49</c:v>
                </c:pt>
                <c:pt idx="271">
                  <c:v>374.49</c:v>
                </c:pt>
                <c:pt idx="272">
                  <c:v>367.46</c:v>
                </c:pt>
                <c:pt idx="273">
                  <c:v>368.37</c:v>
                </c:pt>
                <c:pt idx="274">
                  <c:v>376.13</c:v>
                </c:pt>
                <c:pt idx="275">
                  <c:v>383.45</c:v>
                </c:pt>
                <c:pt idx="276">
                  <c:v>383.45</c:v>
                </c:pt>
                <c:pt idx="277">
                  <c:v>383.45</c:v>
                </c:pt>
                <c:pt idx="278">
                  <c:v>381.78</c:v>
                </c:pt>
                <c:pt idx="279">
                  <c:v>385.2</c:v>
                </c:pt>
                <c:pt idx="280">
                  <c:v>390.7</c:v>
                </c:pt>
                <c:pt idx="281">
                  <c:v>393.18</c:v>
                </c:pt>
                <c:pt idx="282">
                  <c:v>394.14</c:v>
                </c:pt>
                <c:pt idx="283">
                  <c:v>394.14</c:v>
                </c:pt>
                <c:pt idx="284">
                  <c:v>394.14</c:v>
                </c:pt>
                <c:pt idx="285">
                  <c:v>401.02</c:v>
                </c:pt>
                <c:pt idx="286">
                  <c:v>400.06</c:v>
                </c:pt>
                <c:pt idx="287">
                  <c:v>390.14</c:v>
                </c:pt>
                <c:pt idx="288">
                  <c:v>394.78</c:v>
                </c:pt>
                <c:pt idx="289">
                  <c:v>474.99</c:v>
                </c:pt>
                <c:pt idx="290">
                  <c:v>474.99</c:v>
                </c:pt>
                <c:pt idx="291">
                  <c:v>474.99</c:v>
                </c:pt>
                <c:pt idx="292">
                  <c:v>459.41</c:v>
                </c:pt>
                <c:pt idx="293">
                  <c:v>454.72</c:v>
                </c:pt>
                <c:pt idx="294">
                  <c:v>469.59</c:v>
                </c:pt>
                <c:pt idx="295">
                  <c:v>470</c:v>
                </c:pt>
                <c:pt idx="296">
                  <c:v>468.11</c:v>
                </c:pt>
                <c:pt idx="297">
                  <c:v>468.11</c:v>
                </c:pt>
                <c:pt idx="298">
                  <c:v>468.11</c:v>
                </c:pt>
                <c:pt idx="299">
                  <c:v>468.9</c:v>
                </c:pt>
                <c:pt idx="300">
                  <c:v>460.12</c:v>
                </c:pt>
                <c:pt idx="301">
                  <c:v>473.28</c:v>
                </c:pt>
                <c:pt idx="302">
                  <c:v>484.03</c:v>
                </c:pt>
                <c:pt idx="303">
                  <c:v>473.32</c:v>
                </c:pt>
                <c:pt idx="304">
                  <c:v>473.32</c:v>
                </c:pt>
                <c:pt idx="305">
                  <c:v>473.32</c:v>
                </c:pt>
                <c:pt idx="306">
                  <c:v>473.32</c:v>
                </c:pt>
                <c:pt idx="307">
                  <c:v>471.75</c:v>
                </c:pt>
                <c:pt idx="308">
                  <c:v>468.03</c:v>
                </c:pt>
                <c:pt idx="309">
                  <c:v>486.13</c:v>
                </c:pt>
                <c:pt idx="310">
                  <c:v>484.03</c:v>
                </c:pt>
                <c:pt idx="311">
                  <c:v>484.03</c:v>
                </c:pt>
                <c:pt idx="312">
                  <c:v>484.03</c:v>
                </c:pt>
                <c:pt idx="313">
                  <c:v>481.74</c:v>
                </c:pt>
                <c:pt idx="314">
                  <c:v>487.05</c:v>
                </c:pt>
                <c:pt idx="315">
                  <c:v>484.02</c:v>
                </c:pt>
                <c:pt idx="316">
                  <c:v>490.13</c:v>
                </c:pt>
                <c:pt idx="317">
                  <c:v>502.3</c:v>
                </c:pt>
                <c:pt idx="318">
                  <c:v>502.3</c:v>
                </c:pt>
                <c:pt idx="319">
                  <c:v>502.3</c:v>
                </c:pt>
                <c:pt idx="320">
                  <c:v>498.19</c:v>
                </c:pt>
                <c:pt idx="321">
                  <c:v>490.22</c:v>
                </c:pt>
                <c:pt idx="322">
                  <c:v>496.09</c:v>
                </c:pt>
                <c:pt idx="323">
                  <c:v>512.19000000000005</c:v>
                </c:pt>
                <c:pt idx="324">
                  <c:v>505.95</c:v>
                </c:pt>
                <c:pt idx="325">
                  <c:v>505.95</c:v>
                </c:pt>
                <c:pt idx="326">
                  <c:v>505.95</c:v>
                </c:pt>
                <c:pt idx="327">
                  <c:v>483.59</c:v>
                </c:pt>
                <c:pt idx="328">
                  <c:v>499.75</c:v>
                </c:pt>
                <c:pt idx="329">
                  <c:v>495.57</c:v>
                </c:pt>
                <c:pt idx="330">
                  <c:v>491.83</c:v>
                </c:pt>
                <c:pt idx="331">
                  <c:v>484.1</c:v>
                </c:pt>
                <c:pt idx="332">
                  <c:v>484.1</c:v>
                </c:pt>
                <c:pt idx="333">
                  <c:v>484.1</c:v>
                </c:pt>
                <c:pt idx="334">
                  <c:v>496.98</c:v>
                </c:pt>
                <c:pt idx="335">
                  <c:v>496.24</c:v>
                </c:pt>
                <c:pt idx="336">
                  <c:v>505.52</c:v>
                </c:pt>
                <c:pt idx="337">
                  <c:v>507.76</c:v>
                </c:pt>
                <c:pt idx="338">
                  <c:v>509.58</c:v>
                </c:pt>
                <c:pt idx="339">
                  <c:v>509.58</c:v>
                </c:pt>
                <c:pt idx="340">
                  <c:v>509.58</c:v>
                </c:pt>
                <c:pt idx="341">
                  <c:v>503.02</c:v>
                </c:pt>
                <c:pt idx="342">
                  <c:v>495.89</c:v>
                </c:pt>
                <c:pt idx="343">
                  <c:v>493.86</c:v>
                </c:pt>
                <c:pt idx="344">
                  <c:v>485.58</c:v>
                </c:pt>
                <c:pt idx="345">
                  <c:v>485.58</c:v>
                </c:pt>
                <c:pt idx="346">
                  <c:v>485.58</c:v>
                </c:pt>
                <c:pt idx="347">
                  <c:v>485.58</c:v>
                </c:pt>
                <c:pt idx="348">
                  <c:v>491.35</c:v>
                </c:pt>
                <c:pt idx="349">
                  <c:v>497.37</c:v>
                </c:pt>
                <c:pt idx="350">
                  <c:v>506.74</c:v>
                </c:pt>
                <c:pt idx="351">
                  <c:v>510.92</c:v>
                </c:pt>
                <c:pt idx="352">
                  <c:v>527.34</c:v>
                </c:pt>
                <c:pt idx="353">
                  <c:v>527.34</c:v>
                </c:pt>
                <c:pt idx="354">
                  <c:v>527.34</c:v>
                </c:pt>
                <c:pt idx="355">
                  <c:v>519.25</c:v>
                </c:pt>
                <c:pt idx="356">
                  <c:v>516.9</c:v>
                </c:pt>
                <c:pt idx="357">
                  <c:v>519.83000000000004</c:v>
                </c:pt>
                <c:pt idx="358">
                  <c:v>523.16</c:v>
                </c:pt>
                <c:pt idx="359">
                  <c:v>511.9</c:v>
                </c:pt>
                <c:pt idx="360">
                  <c:v>511.9</c:v>
                </c:pt>
                <c:pt idx="361">
                  <c:v>511.9</c:v>
                </c:pt>
                <c:pt idx="362">
                  <c:v>500.23</c:v>
                </c:pt>
                <c:pt idx="363">
                  <c:v>499.76</c:v>
                </c:pt>
                <c:pt idx="364">
                  <c:v>494.17</c:v>
                </c:pt>
                <c:pt idx="365">
                  <c:v>501.8</c:v>
                </c:pt>
                <c:pt idx="366">
                  <c:v>481.07</c:v>
                </c:pt>
                <c:pt idx="367">
                  <c:v>481.07</c:v>
                </c:pt>
                <c:pt idx="368">
                  <c:v>481.07</c:v>
                </c:pt>
                <c:pt idx="369">
                  <c:v>481.73</c:v>
                </c:pt>
                <c:pt idx="370">
                  <c:v>496.1</c:v>
                </c:pt>
                <c:pt idx="371">
                  <c:v>493.5</c:v>
                </c:pt>
                <c:pt idx="372">
                  <c:v>441.38</c:v>
                </c:pt>
                <c:pt idx="373">
                  <c:v>443.29</c:v>
                </c:pt>
                <c:pt idx="374">
                  <c:v>443.29</c:v>
                </c:pt>
                <c:pt idx="375">
                  <c:v>443.29</c:v>
                </c:pt>
                <c:pt idx="376">
                  <c:v>432.62</c:v>
                </c:pt>
                <c:pt idx="377">
                  <c:v>430.17</c:v>
                </c:pt>
                <c:pt idx="378">
                  <c:v>439.19</c:v>
                </c:pt>
                <c:pt idx="379">
                  <c:v>441.68</c:v>
                </c:pt>
                <c:pt idx="380">
                  <c:v>451.96</c:v>
                </c:pt>
                <c:pt idx="381">
                  <c:v>451.96</c:v>
                </c:pt>
                <c:pt idx="382">
                  <c:v>451.96</c:v>
                </c:pt>
                <c:pt idx="383">
                  <c:v>465.68</c:v>
                </c:pt>
                <c:pt idx="384">
                  <c:v>468.24</c:v>
                </c:pt>
                <c:pt idx="385">
                  <c:v>472.6</c:v>
                </c:pt>
                <c:pt idx="386">
                  <c:v>475.42</c:v>
                </c:pt>
                <c:pt idx="387">
                  <c:v>476.2</c:v>
                </c:pt>
                <c:pt idx="388">
                  <c:v>476.2</c:v>
                </c:pt>
                <c:pt idx="389">
                  <c:v>476.2</c:v>
                </c:pt>
                <c:pt idx="390">
                  <c:v>468.01</c:v>
                </c:pt>
                <c:pt idx="391">
                  <c:v>471.85</c:v>
                </c:pt>
                <c:pt idx="392">
                  <c:v>481.54</c:v>
                </c:pt>
                <c:pt idx="393">
                  <c:v>473.23</c:v>
                </c:pt>
                <c:pt idx="394">
                  <c:v>471.91</c:v>
                </c:pt>
                <c:pt idx="395">
                  <c:v>471.91</c:v>
                </c:pt>
                <c:pt idx="396">
                  <c:v>471.91</c:v>
                </c:pt>
                <c:pt idx="397">
                  <c:v>468.84</c:v>
                </c:pt>
                <c:pt idx="398">
                  <c:v>464.63</c:v>
                </c:pt>
                <c:pt idx="399">
                  <c:v>467.78</c:v>
                </c:pt>
                <c:pt idx="400">
                  <c:v>465.78</c:v>
                </c:pt>
                <c:pt idx="401">
                  <c:v>478.22</c:v>
                </c:pt>
                <c:pt idx="402">
                  <c:v>478.22</c:v>
                </c:pt>
                <c:pt idx="403">
                  <c:v>478.22</c:v>
                </c:pt>
                <c:pt idx="404">
                  <c:v>478.22</c:v>
                </c:pt>
                <c:pt idx="405">
                  <c:v>479.92</c:v>
                </c:pt>
                <c:pt idx="406">
                  <c:v>474.36</c:v>
                </c:pt>
                <c:pt idx="407">
                  <c:v>467.05</c:v>
                </c:pt>
                <c:pt idx="408">
                  <c:v>466.83</c:v>
                </c:pt>
                <c:pt idx="409">
                  <c:v>466.83</c:v>
                </c:pt>
                <c:pt idx="410">
                  <c:v>466.83</c:v>
                </c:pt>
                <c:pt idx="411">
                  <c:v>477.49</c:v>
                </c:pt>
                <c:pt idx="412">
                  <c:v>476.99</c:v>
                </c:pt>
                <c:pt idx="413">
                  <c:v>495.06</c:v>
                </c:pt>
                <c:pt idx="414">
                  <c:v>493.76</c:v>
                </c:pt>
                <c:pt idx="415">
                  <c:v>492.96</c:v>
                </c:pt>
                <c:pt idx="416">
                  <c:v>492.96</c:v>
                </c:pt>
                <c:pt idx="417">
                  <c:v>492.96</c:v>
                </c:pt>
                <c:pt idx="418">
                  <c:v>502.6</c:v>
                </c:pt>
                <c:pt idx="419">
                  <c:v>507.47</c:v>
                </c:pt>
                <c:pt idx="420">
                  <c:v>508.84</c:v>
                </c:pt>
                <c:pt idx="421">
                  <c:v>504.1</c:v>
                </c:pt>
                <c:pt idx="422">
                  <c:v>504.16</c:v>
                </c:pt>
                <c:pt idx="423">
                  <c:v>504.16</c:v>
                </c:pt>
                <c:pt idx="424">
                  <c:v>504.16</c:v>
                </c:pt>
                <c:pt idx="425">
                  <c:v>506.63</c:v>
                </c:pt>
                <c:pt idx="426">
                  <c:v>499.49</c:v>
                </c:pt>
                <c:pt idx="427">
                  <c:v>499.49</c:v>
                </c:pt>
                <c:pt idx="428">
                  <c:v>501.7</c:v>
                </c:pt>
                <c:pt idx="429">
                  <c:v>494.78</c:v>
                </c:pt>
                <c:pt idx="430">
                  <c:v>494.78</c:v>
                </c:pt>
                <c:pt idx="431">
                  <c:v>494.78</c:v>
                </c:pt>
                <c:pt idx="432">
                  <c:v>498.91</c:v>
                </c:pt>
                <c:pt idx="433">
                  <c:v>510.6</c:v>
                </c:pt>
                <c:pt idx="434">
                  <c:v>513.12</c:v>
                </c:pt>
                <c:pt idx="435">
                  <c:v>519.55999999999995</c:v>
                </c:pt>
                <c:pt idx="436">
                  <c:v>504.22</c:v>
                </c:pt>
                <c:pt idx="437">
                  <c:v>504.22</c:v>
                </c:pt>
                <c:pt idx="438">
                  <c:v>504.22</c:v>
                </c:pt>
                <c:pt idx="439">
                  <c:v>504.68</c:v>
                </c:pt>
                <c:pt idx="440">
                  <c:v>509.5</c:v>
                </c:pt>
                <c:pt idx="441">
                  <c:v>509.96</c:v>
                </c:pt>
                <c:pt idx="442">
                  <c:v>509.96</c:v>
                </c:pt>
                <c:pt idx="443">
                  <c:v>539.91</c:v>
                </c:pt>
                <c:pt idx="444">
                  <c:v>539.91</c:v>
                </c:pt>
                <c:pt idx="445">
                  <c:v>539.91</c:v>
                </c:pt>
                <c:pt idx="446">
                  <c:v>529.32000000000005</c:v>
                </c:pt>
                <c:pt idx="447">
                  <c:v>530</c:v>
                </c:pt>
                <c:pt idx="448">
                  <c:v>534.69000000000005</c:v>
                </c:pt>
                <c:pt idx="449">
                  <c:v>512.70000000000005</c:v>
                </c:pt>
                <c:pt idx="450">
                  <c:v>498.87</c:v>
                </c:pt>
                <c:pt idx="451">
                  <c:v>498.87</c:v>
                </c:pt>
                <c:pt idx="452">
                  <c:v>498.87</c:v>
                </c:pt>
                <c:pt idx="453">
                  <c:v>496.16</c:v>
                </c:pt>
                <c:pt idx="454">
                  <c:v>489.79</c:v>
                </c:pt>
                <c:pt idx="455">
                  <c:v>461.99</c:v>
                </c:pt>
                <c:pt idx="456">
                  <c:v>475.85</c:v>
                </c:pt>
                <c:pt idx="457">
                  <c:v>476.79</c:v>
                </c:pt>
                <c:pt idx="458">
                  <c:v>476.79</c:v>
                </c:pt>
                <c:pt idx="459">
                  <c:v>476.79</c:v>
                </c:pt>
                <c:pt idx="460">
                  <c:v>487.4</c:v>
                </c:pt>
                <c:pt idx="461">
                  <c:v>488.69</c:v>
                </c:pt>
                <c:pt idx="462">
                  <c:v>461.27</c:v>
                </c:pt>
                <c:pt idx="463">
                  <c:v>453.41</c:v>
                </c:pt>
                <c:pt idx="464">
                  <c:v>465.7</c:v>
                </c:pt>
                <c:pt idx="465">
                  <c:v>465.7</c:v>
                </c:pt>
                <c:pt idx="466">
                  <c:v>465.7</c:v>
                </c:pt>
                <c:pt idx="467">
                  <c:v>465.71</c:v>
                </c:pt>
                <c:pt idx="468">
                  <c:v>463.19</c:v>
                </c:pt>
                <c:pt idx="469">
                  <c:v>474.83</c:v>
                </c:pt>
                <c:pt idx="470">
                  <c:v>497.74</c:v>
                </c:pt>
                <c:pt idx="471">
                  <c:v>488.14</c:v>
                </c:pt>
                <c:pt idx="472">
                  <c:v>488.14</c:v>
                </c:pt>
                <c:pt idx="473">
                  <c:v>488.14</c:v>
                </c:pt>
                <c:pt idx="474">
                  <c:v>475.73</c:v>
                </c:pt>
                <c:pt idx="475">
                  <c:v>494.09</c:v>
                </c:pt>
                <c:pt idx="476">
                  <c:v>488.92</c:v>
                </c:pt>
                <c:pt idx="477">
                  <c:v>509.63</c:v>
                </c:pt>
                <c:pt idx="478">
                  <c:v>517.77</c:v>
                </c:pt>
                <c:pt idx="479">
                  <c:v>517.77</c:v>
                </c:pt>
                <c:pt idx="480">
                  <c:v>517.77</c:v>
                </c:pt>
                <c:pt idx="481">
                  <c:v>515.95000000000005</c:v>
                </c:pt>
                <c:pt idx="482">
                  <c:v>528.54</c:v>
                </c:pt>
                <c:pt idx="483">
                  <c:v>526.76</c:v>
                </c:pt>
                <c:pt idx="484">
                  <c:v>537.33000000000004</c:v>
                </c:pt>
                <c:pt idx="485">
                  <c:v>527.41999999999996</c:v>
                </c:pt>
                <c:pt idx="486">
                  <c:v>527.41999999999996</c:v>
                </c:pt>
                <c:pt idx="487">
                  <c:v>527.41999999999996</c:v>
                </c:pt>
                <c:pt idx="488">
                  <c:v>529.28</c:v>
                </c:pt>
                <c:pt idx="489">
                  <c:v>526.73</c:v>
                </c:pt>
                <c:pt idx="490">
                  <c:v>535.16</c:v>
                </c:pt>
                <c:pt idx="491">
                  <c:v>531.92999999999995</c:v>
                </c:pt>
                <c:pt idx="492">
                  <c:v>528</c:v>
                </c:pt>
                <c:pt idx="493">
                  <c:v>528</c:v>
                </c:pt>
                <c:pt idx="494">
                  <c:v>528</c:v>
                </c:pt>
                <c:pt idx="495">
                  <c:v>521.12</c:v>
                </c:pt>
                <c:pt idx="496">
                  <c:v>519.1</c:v>
                </c:pt>
                <c:pt idx="497">
                  <c:v>516.78</c:v>
                </c:pt>
                <c:pt idx="498">
                  <c:v>518.22</c:v>
                </c:pt>
                <c:pt idx="499">
                  <c:v>521.30999999999995</c:v>
                </c:pt>
                <c:pt idx="500">
                  <c:v>521.30999999999995</c:v>
                </c:pt>
                <c:pt idx="501">
                  <c:v>521.30999999999995</c:v>
                </c:pt>
                <c:pt idx="502">
                  <c:v>521.30999999999995</c:v>
                </c:pt>
                <c:pt idx="503">
                  <c:v>511.76</c:v>
                </c:pt>
                <c:pt idx="504">
                  <c:v>512.74</c:v>
                </c:pt>
                <c:pt idx="505">
                  <c:v>516.86</c:v>
                </c:pt>
                <c:pt idx="506">
                  <c:v>500.27</c:v>
                </c:pt>
                <c:pt idx="507">
                  <c:v>500.27</c:v>
                </c:pt>
                <c:pt idx="508">
                  <c:v>500.27</c:v>
                </c:pt>
                <c:pt idx="509">
                  <c:v>504.79</c:v>
                </c:pt>
                <c:pt idx="510">
                  <c:v>504.79</c:v>
                </c:pt>
                <c:pt idx="511">
                  <c:v>511.83</c:v>
                </c:pt>
                <c:pt idx="512">
                  <c:v>525.6</c:v>
                </c:pt>
                <c:pt idx="513">
                  <c:v>524.62</c:v>
                </c:pt>
                <c:pt idx="514">
                  <c:v>524.62</c:v>
                </c:pt>
                <c:pt idx="515">
                  <c:v>524.62</c:v>
                </c:pt>
                <c:pt idx="516">
                  <c:v>533.28</c:v>
                </c:pt>
                <c:pt idx="517">
                  <c:v>536.31500000000005</c:v>
                </c:pt>
                <c:pt idx="518">
                  <c:v>537.95000000000005</c:v>
                </c:pt>
                <c:pt idx="519">
                  <c:v>559.1</c:v>
                </c:pt>
                <c:pt idx="520">
                  <c:v>561.35</c:v>
                </c:pt>
                <c:pt idx="521">
                  <c:v>561.35</c:v>
                </c:pt>
                <c:pt idx="522">
                  <c:v>561.35</c:v>
                </c:pt>
                <c:pt idx="523">
                  <c:v>564.41</c:v>
                </c:pt>
                <c:pt idx="524">
                  <c:v>563.33000000000004</c:v>
                </c:pt>
                <c:pt idx="525">
                  <c:v>568.30999999999995</c:v>
                </c:pt>
                <c:pt idx="526">
                  <c:v>567.84</c:v>
                </c:pt>
                <c:pt idx="527">
                  <c:v>567.36</c:v>
                </c:pt>
                <c:pt idx="528">
                  <c:v>567.36</c:v>
                </c:pt>
                <c:pt idx="529">
                  <c:v>567.36</c:v>
                </c:pt>
                <c:pt idx="530">
                  <c:v>572.44000000000005</c:v>
                </c:pt>
                <c:pt idx="531">
                  <c:v>576.47</c:v>
                </c:pt>
                <c:pt idx="532">
                  <c:v>572.80999999999995</c:v>
                </c:pt>
                <c:pt idx="533">
                  <c:v>582.77</c:v>
                </c:pt>
                <c:pt idx="534">
                  <c:v>595.94000000000005</c:v>
                </c:pt>
                <c:pt idx="535">
                  <c:v>595.94000000000005</c:v>
                </c:pt>
                <c:pt idx="536">
                  <c:v>595.94000000000005</c:v>
                </c:pt>
                <c:pt idx="537">
                  <c:v>584.78</c:v>
                </c:pt>
                <c:pt idx="538">
                  <c:v>592.89</c:v>
                </c:pt>
                <c:pt idx="539">
                  <c:v>590.51</c:v>
                </c:pt>
                <c:pt idx="540">
                  <c:v>583.83000000000004</c:v>
                </c:pt>
                <c:pt idx="541">
                  <c:v>589.95000000000005</c:v>
                </c:pt>
                <c:pt idx="542">
                  <c:v>589.95000000000005</c:v>
                </c:pt>
                <c:pt idx="543">
                  <c:v>589.95000000000005</c:v>
                </c:pt>
                <c:pt idx="544">
                  <c:v>590.41999999999996</c:v>
                </c:pt>
                <c:pt idx="545">
                  <c:v>586.27</c:v>
                </c:pt>
                <c:pt idx="546">
                  <c:v>576.79</c:v>
                </c:pt>
                <c:pt idx="547">
                  <c:v>576.92999999999995</c:v>
                </c:pt>
                <c:pt idx="548">
                  <c:v>576.47</c:v>
                </c:pt>
                <c:pt idx="549">
                  <c:v>576.47</c:v>
                </c:pt>
                <c:pt idx="550">
                  <c:v>576.47</c:v>
                </c:pt>
                <c:pt idx="551">
                  <c:v>575.16</c:v>
                </c:pt>
                <c:pt idx="552">
                  <c:v>582.01</c:v>
                </c:pt>
                <c:pt idx="553">
                  <c:v>563.69000000000005</c:v>
                </c:pt>
                <c:pt idx="554">
                  <c:v>567.78</c:v>
                </c:pt>
                <c:pt idx="555">
                  <c:v>573.25</c:v>
                </c:pt>
                <c:pt idx="556">
                  <c:v>573.25</c:v>
                </c:pt>
                <c:pt idx="557">
                  <c:v>573.25</c:v>
                </c:pt>
                <c:pt idx="558">
                  <c:v>578.16</c:v>
                </c:pt>
                <c:pt idx="559">
                  <c:v>593.28</c:v>
                </c:pt>
                <c:pt idx="560">
                  <c:v>591.79999999999995</c:v>
                </c:pt>
                <c:pt idx="561">
                  <c:v>567.58000000000004</c:v>
                </c:pt>
                <c:pt idx="562">
                  <c:v>567.16</c:v>
                </c:pt>
                <c:pt idx="563">
                  <c:v>567.16</c:v>
                </c:pt>
                <c:pt idx="564">
                  <c:v>567.16</c:v>
                </c:pt>
                <c:pt idx="565">
                  <c:v>560.67999999999995</c:v>
                </c:pt>
                <c:pt idx="566">
                  <c:v>572.42999999999995</c:v>
                </c:pt>
                <c:pt idx="567">
                  <c:v>572.04999999999995</c:v>
                </c:pt>
                <c:pt idx="568">
                  <c:v>591.70000000000005</c:v>
                </c:pt>
                <c:pt idx="569">
                  <c:v>589.34</c:v>
                </c:pt>
                <c:pt idx="570">
                  <c:v>589.34</c:v>
                </c:pt>
                <c:pt idx="571">
                  <c:v>589.34</c:v>
                </c:pt>
                <c:pt idx="572">
                  <c:v>583.16999999999996</c:v>
                </c:pt>
                <c:pt idx="573">
                  <c:v>584.82000000000005</c:v>
                </c:pt>
                <c:pt idx="574">
                  <c:v>580</c:v>
                </c:pt>
                <c:pt idx="575">
                  <c:v>577.16</c:v>
                </c:pt>
                <c:pt idx="576">
                  <c:v>554.08000000000004</c:v>
                </c:pt>
                <c:pt idx="577">
                  <c:v>554.08000000000004</c:v>
                </c:pt>
                <c:pt idx="578">
                  <c:v>554.08000000000004</c:v>
                </c:pt>
                <c:pt idx="579">
                  <c:v>554.4</c:v>
                </c:pt>
                <c:pt idx="580">
                  <c:v>561.09</c:v>
                </c:pt>
                <c:pt idx="581">
                  <c:v>565.52</c:v>
                </c:pt>
                <c:pt idx="582">
                  <c:v>563.09</c:v>
                </c:pt>
                <c:pt idx="583">
                  <c:v>559.14</c:v>
                </c:pt>
                <c:pt idx="584">
                  <c:v>559.14</c:v>
                </c:pt>
                <c:pt idx="585">
                  <c:v>559.14</c:v>
                </c:pt>
                <c:pt idx="586">
                  <c:v>565.11</c:v>
                </c:pt>
                <c:pt idx="587">
                  <c:v>573.54</c:v>
                </c:pt>
                <c:pt idx="588">
                  <c:v>569.20000000000005</c:v>
                </c:pt>
                <c:pt idx="589">
                  <c:v>569.20000000000005</c:v>
                </c:pt>
                <c:pt idx="590">
                  <c:v>574.32000000000005</c:v>
                </c:pt>
                <c:pt idx="591">
                  <c:v>574.32000000000005</c:v>
                </c:pt>
                <c:pt idx="592">
                  <c:v>574.32000000000005</c:v>
                </c:pt>
                <c:pt idx="593">
                  <c:v>592.83000000000004</c:v>
                </c:pt>
                <c:pt idx="594">
                  <c:v>613.65</c:v>
                </c:pt>
                <c:pt idx="595">
                  <c:v>613.78</c:v>
                </c:pt>
                <c:pt idx="596">
                  <c:v>608.92999999999995</c:v>
                </c:pt>
                <c:pt idx="597">
                  <c:v>623.77</c:v>
                </c:pt>
                <c:pt idx="598">
                  <c:v>623.77</c:v>
                </c:pt>
                <c:pt idx="599">
                  <c:v>623.77</c:v>
                </c:pt>
                <c:pt idx="600">
                  <c:v>613.57000000000005</c:v>
                </c:pt>
                <c:pt idx="601">
                  <c:v>619.32000000000005</c:v>
                </c:pt>
                <c:pt idx="602">
                  <c:v>632.67999999999995</c:v>
                </c:pt>
                <c:pt idx="603">
                  <c:v>630.79</c:v>
                </c:pt>
                <c:pt idx="604">
                  <c:v>620.35</c:v>
                </c:pt>
                <c:pt idx="605">
                  <c:v>620.35</c:v>
                </c:pt>
                <c:pt idx="606">
                  <c:v>620.35</c:v>
                </c:pt>
                <c:pt idx="607">
                  <c:v>624.24</c:v>
                </c:pt>
                <c:pt idx="608">
                  <c:v>619.44000000000005</c:v>
                </c:pt>
                <c:pt idx="609">
                  <c:v>597.19000000000005</c:v>
                </c:pt>
                <c:pt idx="610">
                  <c:v>595.57000000000005</c:v>
                </c:pt>
                <c:pt idx="611">
                  <c:v>585.25</c:v>
                </c:pt>
                <c:pt idx="612">
                  <c:v>585.25</c:v>
                </c:pt>
                <c:pt idx="613">
                  <c:v>585.25</c:v>
                </c:pt>
                <c:pt idx="614">
                  <c:v>599.85</c:v>
                </c:pt>
                <c:pt idx="615">
                  <c:v>607.75</c:v>
                </c:pt>
                <c:pt idx="616">
                  <c:v>607.75</c:v>
                </c:pt>
                <c:pt idx="617">
                  <c:v>603.35</c:v>
                </c:pt>
                <c:pt idx="618">
                  <c:v>599.80999999999995</c:v>
                </c:pt>
                <c:pt idx="619">
                  <c:v>599.80999999999995</c:v>
                </c:pt>
                <c:pt idx="620">
                  <c:v>599.80999999999995</c:v>
                </c:pt>
                <c:pt idx="621">
                  <c:v>591.24</c:v>
                </c:pt>
                <c:pt idx="622">
                  <c:v>585.51</c:v>
                </c:pt>
                <c:pt idx="623">
                  <c:v>585.51</c:v>
                </c:pt>
                <c:pt idx="624">
                  <c:v>599.24</c:v>
                </c:pt>
                <c:pt idx="625">
                  <c:v>604.63</c:v>
                </c:pt>
                <c:pt idx="626">
                  <c:v>604.63</c:v>
                </c:pt>
                <c:pt idx="627">
                  <c:v>604.63</c:v>
                </c:pt>
                <c:pt idx="628">
                  <c:v>630.20000000000005</c:v>
                </c:pt>
                <c:pt idx="629">
                  <c:v>617.89</c:v>
                </c:pt>
                <c:pt idx="630">
                  <c:v>610.72</c:v>
                </c:pt>
                <c:pt idx="631">
                  <c:v>610.72</c:v>
                </c:pt>
                <c:pt idx="632">
                  <c:v>615.86</c:v>
                </c:pt>
                <c:pt idx="633">
                  <c:v>615.86</c:v>
                </c:pt>
                <c:pt idx="634">
                  <c:v>615.86</c:v>
                </c:pt>
                <c:pt idx="635">
                  <c:v>608.33000000000004</c:v>
                </c:pt>
                <c:pt idx="636">
                  <c:v>594.25</c:v>
                </c:pt>
                <c:pt idx="637">
                  <c:v>617.12</c:v>
                </c:pt>
                <c:pt idx="638">
                  <c:v>611.29999999999995</c:v>
                </c:pt>
                <c:pt idx="639">
                  <c:v>612.77</c:v>
                </c:pt>
                <c:pt idx="640">
                  <c:v>612.77</c:v>
                </c:pt>
                <c:pt idx="641">
                  <c:v>612.77</c:v>
                </c:pt>
                <c:pt idx="642">
                  <c:v>612.77</c:v>
                </c:pt>
                <c:pt idx="643">
                  <c:v>616.46</c:v>
                </c:pt>
                <c:pt idx="644">
                  <c:v>623.5</c:v>
                </c:pt>
                <c:pt idx="645">
                  <c:v>636.45000000000005</c:v>
                </c:pt>
                <c:pt idx="646">
                  <c:v>647.49</c:v>
                </c:pt>
                <c:pt idx="647">
                  <c:v>647.49</c:v>
                </c:pt>
                <c:pt idx="648">
                  <c:v>647.49</c:v>
                </c:pt>
                <c:pt idx="649">
                  <c:v>659.88</c:v>
                </c:pt>
                <c:pt idx="650">
                  <c:v>674.33</c:v>
                </c:pt>
                <c:pt idx="651">
                  <c:v>676.49</c:v>
                </c:pt>
                <c:pt idx="652">
                  <c:v>687</c:v>
                </c:pt>
                <c:pt idx="653">
                  <c:v>689.18</c:v>
                </c:pt>
                <c:pt idx="654">
                  <c:v>689.18</c:v>
                </c:pt>
                <c:pt idx="655">
                  <c:v>689.18</c:v>
                </c:pt>
                <c:pt idx="656">
                  <c:v>697.46</c:v>
                </c:pt>
                <c:pt idx="657">
                  <c:v>704.19</c:v>
                </c:pt>
                <c:pt idx="658">
                  <c:v>704.87</c:v>
                </c:pt>
                <c:pt idx="659">
                  <c:v>711.99</c:v>
                </c:pt>
                <c:pt idx="660">
                  <c:v>714.52</c:v>
                </c:pt>
                <c:pt idx="661">
                  <c:v>714.52</c:v>
                </c:pt>
                <c:pt idx="662">
                  <c:v>714.52</c:v>
                </c:pt>
                <c:pt idx="663">
                  <c:v>717.4</c:v>
                </c:pt>
                <c:pt idx="664">
                  <c:v>719.8</c:v>
                </c:pt>
                <c:pt idx="665">
                  <c:v>725.38</c:v>
                </c:pt>
                <c:pt idx="666">
                  <c:v>728.56</c:v>
                </c:pt>
                <c:pt idx="667">
                  <c:v>736.67</c:v>
                </c:pt>
                <c:pt idx="668">
                  <c:v>736.67</c:v>
                </c:pt>
                <c:pt idx="669">
                  <c:v>736.67</c:v>
                </c:pt>
                <c:pt idx="670">
                  <c:v>736.67</c:v>
                </c:pt>
                <c:pt idx="671">
                  <c:v>716.37</c:v>
                </c:pt>
                <c:pt idx="672">
                  <c:v>703.77</c:v>
                </c:pt>
                <c:pt idx="673">
                  <c:v>694.84</c:v>
                </c:pt>
                <c:pt idx="674">
                  <c:v>683.55</c:v>
                </c:pt>
                <c:pt idx="675">
                  <c:v>683.55</c:v>
                </c:pt>
                <c:pt idx="676">
                  <c:v>683.55</c:v>
                </c:pt>
                <c:pt idx="677">
                  <c:v>668.13</c:v>
                </c:pt>
                <c:pt idx="678">
                  <c:v>657.5</c:v>
                </c:pt>
                <c:pt idx="679">
                  <c:v>673.7</c:v>
                </c:pt>
                <c:pt idx="680">
                  <c:v>658.24</c:v>
                </c:pt>
                <c:pt idx="681">
                  <c:v>668.2</c:v>
                </c:pt>
                <c:pt idx="682">
                  <c:v>668.2</c:v>
                </c:pt>
                <c:pt idx="683">
                  <c:v>668.2</c:v>
                </c:pt>
                <c:pt idx="684">
                  <c:v>655.04999999999995</c:v>
                </c:pt>
                <c:pt idx="685">
                  <c:v>640</c:v>
                </c:pt>
                <c:pt idx="686">
                  <c:v>656.47</c:v>
                </c:pt>
                <c:pt idx="687">
                  <c:v>627.92999999999995</c:v>
                </c:pt>
                <c:pt idx="688">
                  <c:v>625.66</c:v>
                </c:pt>
                <c:pt idx="689">
                  <c:v>625.66</c:v>
                </c:pt>
                <c:pt idx="690">
                  <c:v>625.66</c:v>
                </c:pt>
                <c:pt idx="691">
                  <c:v>597.99</c:v>
                </c:pt>
                <c:pt idx="692">
                  <c:v>605.71</c:v>
                </c:pt>
                <c:pt idx="693">
                  <c:v>619.55999999999995</c:v>
                </c:pt>
                <c:pt idx="694">
                  <c:v>590.64</c:v>
                </c:pt>
                <c:pt idx="695">
                  <c:v>607.6</c:v>
                </c:pt>
                <c:pt idx="696">
                  <c:v>607.6</c:v>
                </c:pt>
                <c:pt idx="697">
                  <c:v>607.6</c:v>
                </c:pt>
                <c:pt idx="698">
                  <c:v>604.9</c:v>
                </c:pt>
                <c:pt idx="699">
                  <c:v>582.36</c:v>
                </c:pt>
                <c:pt idx="700">
                  <c:v>584.05999999999995</c:v>
                </c:pt>
                <c:pt idx="701">
                  <c:v>586</c:v>
                </c:pt>
                <c:pt idx="702">
                  <c:v>596.25</c:v>
                </c:pt>
                <c:pt idx="703">
                  <c:v>596.25</c:v>
                </c:pt>
                <c:pt idx="704">
                  <c:v>596.25</c:v>
                </c:pt>
                <c:pt idx="705">
                  <c:v>618.85</c:v>
                </c:pt>
                <c:pt idx="706">
                  <c:v>626.30999999999995</c:v>
                </c:pt>
                <c:pt idx="707">
                  <c:v>610.98</c:v>
                </c:pt>
                <c:pt idx="708">
                  <c:v>602.58000000000004</c:v>
                </c:pt>
                <c:pt idx="709">
                  <c:v>576.74</c:v>
                </c:pt>
                <c:pt idx="710">
                  <c:v>576.74</c:v>
                </c:pt>
                <c:pt idx="711">
                  <c:v>576.74</c:v>
                </c:pt>
                <c:pt idx="712">
                  <c:v>576.36</c:v>
                </c:pt>
                <c:pt idx="713">
                  <c:v>586</c:v>
                </c:pt>
                <c:pt idx="714">
                  <c:v>583.92999999999995</c:v>
                </c:pt>
                <c:pt idx="715">
                  <c:v>531.62</c:v>
                </c:pt>
                <c:pt idx="716">
                  <c:v>504.73</c:v>
                </c:pt>
                <c:pt idx="717">
                  <c:v>504.73</c:v>
                </c:pt>
                <c:pt idx="718">
                  <c:v>504.73</c:v>
                </c:pt>
                <c:pt idx="719">
                  <c:v>516.25</c:v>
                </c:pt>
                <c:pt idx="720">
                  <c:v>510.45</c:v>
                </c:pt>
                <c:pt idx="721">
                  <c:v>585.77</c:v>
                </c:pt>
                <c:pt idx="722">
                  <c:v>546.29</c:v>
                </c:pt>
                <c:pt idx="723">
                  <c:v>543.57000000000005</c:v>
                </c:pt>
                <c:pt idx="724">
                  <c:v>543.57000000000005</c:v>
                </c:pt>
                <c:pt idx="725">
                  <c:v>543.57000000000005</c:v>
                </c:pt>
                <c:pt idx="726">
                  <c:v>531.48</c:v>
                </c:pt>
                <c:pt idx="727">
                  <c:v>521.52</c:v>
                </c:pt>
                <c:pt idx="728">
                  <c:v>502.31</c:v>
                </c:pt>
                <c:pt idx="729">
                  <c:v>501.48</c:v>
                </c:pt>
                <c:pt idx="730">
                  <c:v>501.48</c:v>
                </c:pt>
                <c:pt idx="731">
                  <c:v>501.48</c:v>
                </c:pt>
                <c:pt idx="732">
                  <c:v>501.48</c:v>
                </c:pt>
                <c:pt idx="733">
                  <c:v>484.66</c:v>
                </c:pt>
                <c:pt idx="734">
                  <c:v>500.28</c:v>
                </c:pt>
                <c:pt idx="735">
                  <c:v>520.27</c:v>
                </c:pt>
                <c:pt idx="736">
                  <c:v>533.15</c:v>
                </c:pt>
                <c:pt idx="737">
                  <c:v>547.27</c:v>
                </c:pt>
                <c:pt idx="738">
                  <c:v>547.27</c:v>
                </c:pt>
                <c:pt idx="739">
                  <c:v>547.27</c:v>
                </c:pt>
                <c:pt idx="740">
                  <c:v>549.74</c:v>
                </c:pt>
                <c:pt idx="741">
                  <c:v>554.44000000000005</c:v>
                </c:pt>
                <c:pt idx="742">
                  <c:v>549</c:v>
                </c:pt>
                <c:pt idx="743">
                  <c:v>572.21</c:v>
                </c:pt>
                <c:pt idx="744">
                  <c:v>597.02</c:v>
                </c:pt>
                <c:pt idx="745">
                  <c:v>597.02</c:v>
                </c:pt>
                <c:pt idx="746">
                  <c:v>597.02</c:v>
                </c:pt>
                <c:pt idx="747">
                  <c:v>599.27</c:v>
                </c:pt>
                <c:pt idx="748">
                  <c:v>587.30999999999995</c:v>
                </c:pt>
                <c:pt idx="749">
                  <c:v>596.80999999999995</c:v>
                </c:pt>
                <c:pt idx="750">
                  <c:v>598.01</c:v>
                </c:pt>
                <c:pt idx="751">
                  <c:v>592.49</c:v>
                </c:pt>
                <c:pt idx="752">
                  <c:v>592.49</c:v>
                </c:pt>
                <c:pt idx="753">
                  <c:v>592.49</c:v>
                </c:pt>
                <c:pt idx="754">
                  <c:v>639.42999999999995</c:v>
                </c:pt>
                <c:pt idx="755">
                  <c:v>656.03</c:v>
                </c:pt>
                <c:pt idx="756">
                  <c:v>659.36</c:v>
                </c:pt>
                <c:pt idx="757">
                  <c:v>643.88</c:v>
                </c:pt>
                <c:pt idx="758">
                  <c:v>640.34</c:v>
                </c:pt>
                <c:pt idx="759">
                  <c:v>640.34</c:v>
                </c:pt>
                <c:pt idx="760">
                  <c:v>640.34</c:v>
                </c:pt>
                <c:pt idx="761">
                  <c:v>640.42999999999995</c:v>
                </c:pt>
                <c:pt idx="762">
                  <c:v>637.1</c:v>
                </c:pt>
                <c:pt idx="763">
                  <c:v>635.5</c:v>
                </c:pt>
                <c:pt idx="764">
                  <c:v>636.57000000000005</c:v>
                </c:pt>
                <c:pt idx="765">
                  <c:v>627.05999999999995</c:v>
                </c:pt>
                <c:pt idx="766">
                  <c:v>627.05999999999995</c:v>
                </c:pt>
                <c:pt idx="767">
                  <c:v>627.05999999999995</c:v>
                </c:pt>
                <c:pt idx="768">
                  <c:v>627.05999999999995</c:v>
                </c:pt>
                <c:pt idx="769">
                  <c:v>642.32000000000005</c:v>
                </c:pt>
                <c:pt idx="770">
                  <c:v>643.58000000000004</c:v>
                </c:pt>
                <c:pt idx="771">
                  <c:v>645.04999999999995</c:v>
                </c:pt>
                <c:pt idx="772">
                  <c:v>647.49</c:v>
                </c:pt>
                <c:pt idx="773">
                  <c:v>647.49</c:v>
                </c:pt>
                <c:pt idx="774">
                  <c:v>647.49</c:v>
                </c:pt>
                <c:pt idx="775">
                  <c:v>670.9</c:v>
                </c:pt>
                <c:pt idx="776">
                  <c:v>666.85</c:v>
                </c:pt>
                <c:pt idx="777">
                  <c:v>687.95</c:v>
                </c:pt>
                <c:pt idx="778">
                  <c:v>684.62</c:v>
                </c:pt>
                <c:pt idx="779">
                  <c:v>697.71</c:v>
                </c:pt>
                <c:pt idx="780">
                  <c:v>697.71</c:v>
                </c:pt>
                <c:pt idx="781">
                  <c:v>697.71</c:v>
                </c:pt>
                <c:pt idx="782">
                  <c:v>694.06</c:v>
                </c:pt>
                <c:pt idx="783">
                  <c:v>702.4</c:v>
                </c:pt>
                <c:pt idx="784">
                  <c:v>694.14</c:v>
                </c:pt>
                <c:pt idx="785">
                  <c:v>693.36</c:v>
                </c:pt>
                <c:pt idx="786">
                  <c:v>682.87</c:v>
                </c:pt>
                <c:pt idx="787">
                  <c:v>682.87</c:v>
                </c:pt>
                <c:pt idx="788">
                  <c:v>682.87</c:v>
                </c:pt>
                <c:pt idx="789">
                  <c:v>702.12</c:v>
                </c:pt>
                <c:pt idx="790">
                  <c:v>697.23</c:v>
                </c:pt>
                <c:pt idx="791">
                  <c:v>695.77</c:v>
                </c:pt>
                <c:pt idx="792">
                  <c:v>695.77</c:v>
                </c:pt>
                <c:pt idx="793">
                  <c:v>682.35</c:v>
                </c:pt>
                <c:pt idx="794">
                  <c:v>682.35</c:v>
                </c:pt>
                <c:pt idx="795">
                  <c:v>682.35</c:v>
                </c:pt>
                <c:pt idx="796">
                  <c:v>698.53</c:v>
                </c:pt>
                <c:pt idx="797">
                  <c:v>712.2</c:v>
                </c:pt>
                <c:pt idx="798">
                  <c:v>708.68</c:v>
                </c:pt>
                <c:pt idx="799">
                  <c:v>726.09</c:v>
                </c:pt>
                <c:pt idx="800">
                  <c:v>733.63</c:v>
                </c:pt>
                <c:pt idx="801">
                  <c:v>733.63</c:v>
                </c:pt>
                <c:pt idx="802">
                  <c:v>733.63</c:v>
                </c:pt>
                <c:pt idx="803">
                  <c:v>738.09</c:v>
                </c:pt>
                <c:pt idx="804">
                  <c:v>719.22</c:v>
                </c:pt>
                <c:pt idx="805">
                  <c:v>713.57</c:v>
                </c:pt>
                <c:pt idx="806">
                  <c:v>719.01</c:v>
                </c:pt>
                <c:pt idx="807">
                  <c:v>719.01</c:v>
                </c:pt>
                <c:pt idx="808">
                  <c:v>719.01</c:v>
                </c:pt>
                <c:pt idx="809">
                  <c:v>719.01</c:v>
                </c:pt>
                <c:pt idx="810">
                  <c:v>718.35</c:v>
                </c:pt>
                <c:pt idx="811">
                  <c:v>720.67</c:v>
                </c:pt>
                <c:pt idx="812">
                  <c:v>732.78</c:v>
                </c:pt>
                <c:pt idx="813">
                  <c:v>727.24</c:v>
                </c:pt>
                <c:pt idx="814">
                  <c:v>717.51</c:v>
                </c:pt>
                <c:pt idx="815">
                  <c:v>717.51</c:v>
                </c:pt>
                <c:pt idx="816">
                  <c:v>717.51</c:v>
                </c:pt>
                <c:pt idx="817">
                  <c:v>720.92</c:v>
                </c:pt>
                <c:pt idx="818">
                  <c:v>710.39</c:v>
                </c:pt>
                <c:pt idx="819">
                  <c:v>702.91</c:v>
                </c:pt>
                <c:pt idx="820">
                  <c:v>701.41</c:v>
                </c:pt>
                <c:pt idx="821">
                  <c:v>704.28</c:v>
                </c:pt>
                <c:pt idx="822">
                  <c:v>704.28</c:v>
                </c:pt>
                <c:pt idx="823">
                  <c:v>704.28</c:v>
                </c:pt>
                <c:pt idx="824">
                  <c:v>712.96500000000003</c:v>
                </c:pt>
                <c:pt idx="825">
                  <c:v>704.81</c:v>
                </c:pt>
                <c:pt idx="826">
                  <c:v>713.58</c:v>
                </c:pt>
                <c:pt idx="827">
                  <c:v>714.8</c:v>
                </c:pt>
                <c:pt idx="828">
                  <c:v>712.68</c:v>
                </c:pt>
                <c:pt idx="829">
                  <c:v>712.68</c:v>
                </c:pt>
                <c:pt idx="830">
                  <c:v>712.68</c:v>
                </c:pt>
                <c:pt idx="831">
                  <c:v>717.63</c:v>
                </c:pt>
                <c:pt idx="832">
                  <c:v>700</c:v>
                </c:pt>
                <c:pt idx="833">
                  <c:v>695.21</c:v>
                </c:pt>
                <c:pt idx="834">
                  <c:v>773.44</c:v>
                </c:pt>
                <c:pt idx="835">
                  <c:v>750.01</c:v>
                </c:pt>
                <c:pt idx="836">
                  <c:v>750.01</c:v>
                </c:pt>
                <c:pt idx="837">
                  <c:v>750.01</c:v>
                </c:pt>
                <c:pt idx="838">
                  <c:v>776.37</c:v>
                </c:pt>
                <c:pt idx="839">
                  <c:v>763.46</c:v>
                </c:pt>
                <c:pt idx="840">
                  <c:v>771.99</c:v>
                </c:pt>
                <c:pt idx="841">
                  <c:v>761.83</c:v>
                </c:pt>
                <c:pt idx="842">
                  <c:v>769.3</c:v>
                </c:pt>
                <c:pt idx="843">
                  <c:v>769.3</c:v>
                </c:pt>
                <c:pt idx="844">
                  <c:v>769.3</c:v>
                </c:pt>
                <c:pt idx="845">
                  <c:v>765.87</c:v>
                </c:pt>
                <c:pt idx="846">
                  <c:v>790</c:v>
                </c:pt>
                <c:pt idx="847">
                  <c:v>780.08</c:v>
                </c:pt>
                <c:pt idx="848">
                  <c:v>782.13</c:v>
                </c:pt>
                <c:pt idx="849">
                  <c:v>785.23</c:v>
                </c:pt>
                <c:pt idx="850">
                  <c:v>785.23</c:v>
                </c:pt>
                <c:pt idx="851">
                  <c:v>785.23</c:v>
                </c:pt>
                <c:pt idx="852">
                  <c:v>767.37</c:v>
                </c:pt>
                <c:pt idx="853">
                  <c:v>751.48</c:v>
                </c:pt>
                <c:pt idx="854">
                  <c:v>747.72</c:v>
                </c:pt>
                <c:pt idx="855">
                  <c:v>739.1</c:v>
                </c:pt>
                <c:pt idx="856">
                  <c:v>754.79</c:v>
                </c:pt>
                <c:pt idx="857">
                  <c:v>754.79</c:v>
                </c:pt>
                <c:pt idx="858">
                  <c:v>754.79</c:v>
                </c:pt>
                <c:pt idx="859">
                  <c:v>753.3</c:v>
                </c:pt>
                <c:pt idx="860">
                  <c:v>754.1</c:v>
                </c:pt>
                <c:pt idx="861">
                  <c:v>747.38</c:v>
                </c:pt>
                <c:pt idx="862">
                  <c:v>751.11</c:v>
                </c:pt>
                <c:pt idx="863">
                  <c:v>738.7</c:v>
                </c:pt>
                <c:pt idx="864">
                  <c:v>738.7</c:v>
                </c:pt>
                <c:pt idx="865">
                  <c:v>738.7</c:v>
                </c:pt>
                <c:pt idx="866">
                  <c:v>738.7</c:v>
                </c:pt>
                <c:pt idx="867">
                  <c:v>735.11</c:v>
                </c:pt>
                <c:pt idx="868">
                  <c:v>737.05</c:v>
                </c:pt>
                <c:pt idx="869">
                  <c:v>748.65</c:v>
                </c:pt>
                <c:pt idx="870">
                  <c:v>752.45</c:v>
                </c:pt>
                <c:pt idx="871">
                  <c:v>752.45</c:v>
                </c:pt>
                <c:pt idx="872">
                  <c:v>752.45</c:v>
                </c:pt>
                <c:pt idx="873">
                  <c:v>752.3</c:v>
                </c:pt>
                <c:pt idx="874">
                  <c:v>765.7</c:v>
                </c:pt>
                <c:pt idx="875">
                  <c:v>751.98</c:v>
                </c:pt>
                <c:pt idx="876">
                  <c:v>750.9</c:v>
                </c:pt>
                <c:pt idx="877">
                  <c:v>755.59</c:v>
                </c:pt>
                <c:pt idx="878">
                  <c:v>755.59</c:v>
                </c:pt>
                <c:pt idx="879">
                  <c:v>755.59</c:v>
                </c:pt>
                <c:pt idx="880">
                  <c:v>764.7</c:v>
                </c:pt>
                <c:pt idx="881">
                  <c:v>779</c:v>
                </c:pt>
                <c:pt idx="882">
                  <c:v>775.71500000000003</c:v>
                </c:pt>
                <c:pt idx="883">
                  <c:v>780.25</c:v>
                </c:pt>
                <c:pt idx="884">
                  <c:v>778.38</c:v>
                </c:pt>
                <c:pt idx="885">
                  <c:v>778.38</c:v>
                </c:pt>
                <c:pt idx="886">
                  <c:v>778.38</c:v>
                </c:pt>
                <c:pt idx="887">
                  <c:v>765.16</c:v>
                </c:pt>
                <c:pt idx="888">
                  <c:v>755.4</c:v>
                </c:pt>
                <c:pt idx="889">
                  <c:v>760.66</c:v>
                </c:pt>
                <c:pt idx="890">
                  <c:v>748.91</c:v>
                </c:pt>
                <c:pt idx="891">
                  <c:v>743.75</c:v>
                </c:pt>
                <c:pt idx="892">
                  <c:v>743.75</c:v>
                </c:pt>
                <c:pt idx="893">
                  <c:v>743.75</c:v>
                </c:pt>
                <c:pt idx="894">
                  <c:v>743.4</c:v>
                </c:pt>
                <c:pt idx="895">
                  <c:v>734.38</c:v>
                </c:pt>
                <c:pt idx="896">
                  <c:v>717.34</c:v>
                </c:pt>
                <c:pt idx="897">
                  <c:v>727.05</c:v>
                </c:pt>
                <c:pt idx="898">
                  <c:v>710.56</c:v>
                </c:pt>
                <c:pt idx="899">
                  <c:v>710.56</c:v>
                </c:pt>
                <c:pt idx="900">
                  <c:v>710.56</c:v>
                </c:pt>
                <c:pt idx="901">
                  <c:v>715.66</c:v>
                </c:pt>
                <c:pt idx="902">
                  <c:v>713.08</c:v>
                </c:pt>
                <c:pt idx="903">
                  <c:v>717.84</c:v>
                </c:pt>
                <c:pt idx="904">
                  <c:v>733.51</c:v>
                </c:pt>
                <c:pt idx="905">
                  <c:v>705.3</c:v>
                </c:pt>
                <c:pt idx="906">
                  <c:v>705.3</c:v>
                </c:pt>
                <c:pt idx="907">
                  <c:v>705.3</c:v>
                </c:pt>
                <c:pt idx="908">
                  <c:v>715.7</c:v>
                </c:pt>
                <c:pt idx="909">
                  <c:v>708.65</c:v>
                </c:pt>
                <c:pt idx="910">
                  <c:v>717.55</c:v>
                </c:pt>
                <c:pt idx="911">
                  <c:v>712.07</c:v>
                </c:pt>
                <c:pt idx="912">
                  <c:v>716.91499999999996</c:v>
                </c:pt>
                <c:pt idx="913">
                  <c:v>716.91499999999996</c:v>
                </c:pt>
                <c:pt idx="914">
                  <c:v>716.91499999999996</c:v>
                </c:pt>
                <c:pt idx="915">
                  <c:v>732.17</c:v>
                </c:pt>
                <c:pt idx="916">
                  <c:v>733.27</c:v>
                </c:pt>
                <c:pt idx="917">
                  <c:v>733.41</c:v>
                </c:pt>
                <c:pt idx="918">
                  <c:v>734</c:v>
                </c:pt>
                <c:pt idx="919">
                  <c:v>738.36</c:v>
                </c:pt>
                <c:pt idx="920">
                  <c:v>738.36</c:v>
                </c:pt>
                <c:pt idx="921">
                  <c:v>738.36</c:v>
                </c:pt>
                <c:pt idx="922">
                  <c:v>750.82</c:v>
                </c:pt>
                <c:pt idx="923">
                  <c:v>751.44</c:v>
                </c:pt>
                <c:pt idx="924">
                  <c:v>751.67</c:v>
                </c:pt>
                <c:pt idx="925">
                  <c:v>666.47</c:v>
                </c:pt>
                <c:pt idx="926">
                  <c:v>648.35</c:v>
                </c:pt>
                <c:pt idx="927">
                  <c:v>648.35</c:v>
                </c:pt>
                <c:pt idx="928">
                  <c:v>648.35</c:v>
                </c:pt>
                <c:pt idx="929">
                  <c:v>637.71</c:v>
                </c:pt>
                <c:pt idx="930">
                  <c:v>627.32000000000005</c:v>
                </c:pt>
                <c:pt idx="931">
                  <c:v>635.95000000000005</c:v>
                </c:pt>
                <c:pt idx="932">
                  <c:v>618.94000000000005</c:v>
                </c:pt>
                <c:pt idx="933">
                  <c:v>621.71</c:v>
                </c:pt>
                <c:pt idx="934">
                  <c:v>621.71</c:v>
                </c:pt>
                <c:pt idx="935">
                  <c:v>621.71</c:v>
                </c:pt>
                <c:pt idx="936">
                  <c:v>631.76</c:v>
                </c:pt>
                <c:pt idx="937">
                  <c:v>627.08000000000004</c:v>
                </c:pt>
                <c:pt idx="938">
                  <c:v>609.01</c:v>
                </c:pt>
                <c:pt idx="939">
                  <c:v>609.89</c:v>
                </c:pt>
                <c:pt idx="940">
                  <c:v>609.46</c:v>
                </c:pt>
                <c:pt idx="941">
                  <c:v>609.46</c:v>
                </c:pt>
                <c:pt idx="942">
                  <c:v>609.46</c:v>
                </c:pt>
                <c:pt idx="943">
                  <c:v>602.01</c:v>
                </c:pt>
                <c:pt idx="944">
                  <c:v>597.69000000000005</c:v>
                </c:pt>
                <c:pt idx="945">
                  <c:v>590.32000000000005</c:v>
                </c:pt>
                <c:pt idx="946">
                  <c:v>589.15</c:v>
                </c:pt>
                <c:pt idx="947">
                  <c:v>594.25</c:v>
                </c:pt>
                <c:pt idx="948">
                  <c:v>594.25</c:v>
                </c:pt>
                <c:pt idx="949">
                  <c:v>594.25</c:v>
                </c:pt>
                <c:pt idx="950">
                  <c:v>613.04999999999995</c:v>
                </c:pt>
                <c:pt idx="951">
                  <c:v>636.22</c:v>
                </c:pt>
                <c:pt idx="952">
                  <c:v>633.61</c:v>
                </c:pt>
                <c:pt idx="953">
                  <c:v>633.61</c:v>
                </c:pt>
                <c:pt idx="954">
                  <c:v>647.95000000000005</c:v>
                </c:pt>
                <c:pt idx="955">
                  <c:v>647.95000000000005</c:v>
                </c:pt>
                <c:pt idx="956">
                  <c:v>647.95000000000005</c:v>
                </c:pt>
                <c:pt idx="957">
                  <c:v>640.87</c:v>
                </c:pt>
                <c:pt idx="958">
                  <c:v>647.1</c:v>
                </c:pt>
                <c:pt idx="959">
                  <c:v>639.6</c:v>
                </c:pt>
                <c:pt idx="960">
                  <c:v>661.53</c:v>
                </c:pt>
                <c:pt idx="961">
                  <c:v>673.42</c:v>
                </c:pt>
                <c:pt idx="962">
                  <c:v>673.42</c:v>
                </c:pt>
                <c:pt idx="963">
                  <c:v>673.42</c:v>
                </c:pt>
                <c:pt idx="964">
                  <c:v>666.8</c:v>
                </c:pt>
                <c:pt idx="965">
                  <c:v>656.96</c:v>
                </c:pt>
                <c:pt idx="966">
                  <c:v>650.13</c:v>
                </c:pt>
                <c:pt idx="967">
                  <c:v>652.71</c:v>
                </c:pt>
                <c:pt idx="968">
                  <c:v>644.23</c:v>
                </c:pt>
                <c:pt idx="969">
                  <c:v>644.23</c:v>
                </c:pt>
                <c:pt idx="970">
                  <c:v>644.23</c:v>
                </c:pt>
                <c:pt idx="971">
                  <c:v>647.51</c:v>
                </c:pt>
                <c:pt idx="972">
                  <c:v>657.15</c:v>
                </c:pt>
                <c:pt idx="973">
                  <c:v>649.5</c:v>
                </c:pt>
                <c:pt idx="974">
                  <c:v>664.45</c:v>
                </c:pt>
                <c:pt idx="975">
                  <c:v>658.77</c:v>
                </c:pt>
                <c:pt idx="976">
                  <c:v>658.77</c:v>
                </c:pt>
                <c:pt idx="977">
                  <c:v>658.77</c:v>
                </c:pt>
                <c:pt idx="978">
                  <c:v>661.5</c:v>
                </c:pt>
                <c:pt idx="979">
                  <c:v>664.94</c:v>
                </c:pt>
                <c:pt idx="980">
                  <c:v>667.55</c:v>
                </c:pt>
                <c:pt idx="981">
                  <c:v>667.55</c:v>
                </c:pt>
                <c:pt idx="982">
                  <c:v>663.29</c:v>
                </c:pt>
                <c:pt idx="983">
                  <c:v>663.29</c:v>
                </c:pt>
                <c:pt idx="984">
                  <c:v>663.29</c:v>
                </c:pt>
                <c:pt idx="985">
                  <c:v>658.69</c:v>
                </c:pt>
                <c:pt idx="986">
                  <c:v>665.95</c:v>
                </c:pt>
                <c:pt idx="987">
                  <c:v>660.09</c:v>
                </c:pt>
                <c:pt idx="988">
                  <c:v>660.09</c:v>
                </c:pt>
                <c:pt idx="989">
                  <c:v>650.41</c:v>
                </c:pt>
                <c:pt idx="990">
                  <c:v>650.41</c:v>
                </c:pt>
                <c:pt idx="991">
                  <c:v>650.41</c:v>
                </c:pt>
                <c:pt idx="992">
                  <c:v>658.79</c:v>
                </c:pt>
                <c:pt idx="993">
                  <c:v>660.62</c:v>
                </c:pt>
                <c:pt idx="994">
                  <c:v>648.69000000000005</c:v>
                </c:pt>
                <c:pt idx="995">
                  <c:v>646.05999999999995</c:v>
                </c:pt>
                <c:pt idx="996">
                  <c:v>653.05999999999995</c:v>
                </c:pt>
                <c:pt idx="997">
                  <c:v>653.05999999999995</c:v>
                </c:pt>
                <c:pt idx="998">
                  <c:v>653.05999999999995</c:v>
                </c:pt>
                <c:pt idx="999">
                  <c:v>641.97</c:v>
                </c:pt>
                <c:pt idx="1000">
                  <c:v>631.09</c:v>
                </c:pt>
                <c:pt idx="1001">
                  <c:v>615.52</c:v>
                </c:pt>
                <c:pt idx="1002">
                  <c:v>620.79999999999995</c:v>
                </c:pt>
                <c:pt idx="1003">
                  <c:v>620.25</c:v>
                </c:pt>
                <c:pt idx="1004">
                  <c:v>620.25</c:v>
                </c:pt>
                <c:pt idx="1005">
                  <c:v>620.25</c:v>
                </c:pt>
                <c:pt idx="1006">
                  <c:v>620.25</c:v>
                </c:pt>
                <c:pt idx="1007">
                  <c:v>604.12</c:v>
                </c:pt>
                <c:pt idx="1008">
                  <c:v>612.96</c:v>
                </c:pt>
                <c:pt idx="1009">
                  <c:v>647.63</c:v>
                </c:pt>
                <c:pt idx="1010">
                  <c:v>658.76</c:v>
                </c:pt>
                <c:pt idx="1011">
                  <c:v>658.76</c:v>
                </c:pt>
                <c:pt idx="1012">
                  <c:v>658.76</c:v>
                </c:pt>
                <c:pt idx="1013">
                  <c:v>672.36</c:v>
                </c:pt>
                <c:pt idx="1014">
                  <c:v>672.97</c:v>
                </c:pt>
                <c:pt idx="1015">
                  <c:v>668.73</c:v>
                </c:pt>
                <c:pt idx="1016">
                  <c:v>738.31</c:v>
                </c:pt>
                <c:pt idx="1017">
                  <c:v>716.5</c:v>
                </c:pt>
                <c:pt idx="1018">
                  <c:v>716.5</c:v>
                </c:pt>
                <c:pt idx="1019">
                  <c:v>716.5</c:v>
                </c:pt>
                <c:pt idx="1020">
                  <c:v>706.41</c:v>
                </c:pt>
                <c:pt idx="1021">
                  <c:v>691.7</c:v>
                </c:pt>
                <c:pt idx="1022">
                  <c:v>668.99</c:v>
                </c:pt>
                <c:pt idx="1023">
                  <c:v>670.21</c:v>
                </c:pt>
                <c:pt idx="1024">
                  <c:v>661.46</c:v>
                </c:pt>
                <c:pt idx="1025">
                  <c:v>661.46</c:v>
                </c:pt>
                <c:pt idx="1026">
                  <c:v>661.46</c:v>
                </c:pt>
                <c:pt idx="1027">
                  <c:v>677.22</c:v>
                </c:pt>
                <c:pt idx="1028">
                  <c:v>670.72</c:v>
                </c:pt>
                <c:pt idx="1029">
                  <c:v>668.69</c:v>
                </c:pt>
                <c:pt idx="1030">
                  <c:v>649.80999999999995</c:v>
                </c:pt>
                <c:pt idx="1031">
                  <c:v>639.77</c:v>
                </c:pt>
                <c:pt idx="1032">
                  <c:v>639.77</c:v>
                </c:pt>
                <c:pt idx="1033">
                  <c:v>639.77</c:v>
                </c:pt>
                <c:pt idx="1034">
                  <c:v>639.77</c:v>
                </c:pt>
                <c:pt idx="1035">
                  <c:v>639.29</c:v>
                </c:pt>
                <c:pt idx="1036">
                  <c:v>643.22</c:v>
                </c:pt>
                <c:pt idx="1037">
                  <c:v>644.78</c:v>
                </c:pt>
                <c:pt idx="1038">
                  <c:v>655.66</c:v>
                </c:pt>
                <c:pt idx="1039">
                  <c:v>655.66</c:v>
                </c:pt>
                <c:pt idx="1040">
                  <c:v>655.66</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644.86</c:v>
                </c:pt>
                <c:pt idx="1054">
                  <c:v>644.86</c:v>
                </c:pt>
                <c:pt idx="1055">
                  <c:v>647.39</c:v>
                </c:pt>
                <c:pt idx="1056">
                  <c:v>654.07000000000005</c:v>
                </c:pt>
                <c:pt idx="1057">
                  <c:v>654.86</c:v>
                </c:pt>
                <c:pt idx="1058">
                  <c:v>638.17999999999995</c:v>
                </c:pt>
                <c:pt idx="1059">
                  <c:v>613.71</c:v>
                </c:pt>
                <c:pt idx="1060">
                  <c:v>613.71</c:v>
                </c:pt>
                <c:pt idx="1061">
                  <c:v>613.71</c:v>
                </c:pt>
                <c:pt idx="1062">
                  <c:v>627.45000000000005</c:v>
                </c:pt>
                <c:pt idx="1063">
                  <c:v>622.66</c:v>
                </c:pt>
                <c:pt idx="1064">
                  <c:v>615.67999999999995</c:v>
                </c:pt>
                <c:pt idx="1065">
                  <c:v>606.70000000000005</c:v>
                </c:pt>
                <c:pt idx="1066">
                  <c:v>593.66</c:v>
                </c:pt>
                <c:pt idx="1067">
                  <c:v>593.66</c:v>
                </c:pt>
                <c:pt idx="1068">
                  <c:v>593.66</c:v>
                </c:pt>
                <c:pt idx="1069">
                  <c:v>604.05999999999995</c:v>
                </c:pt>
                <c:pt idx="1070">
                  <c:v>592.91999999999996</c:v>
                </c:pt>
                <c:pt idx="1071">
                  <c:v>594.89</c:v>
                </c:pt>
                <c:pt idx="1072">
                  <c:v>547.54</c:v>
                </c:pt>
                <c:pt idx="1073">
                  <c:v>525.72</c:v>
                </c:pt>
                <c:pt idx="1074">
                  <c:v>525.72</c:v>
                </c:pt>
                <c:pt idx="1075">
                  <c:v>525.72</c:v>
                </c:pt>
                <c:pt idx="1076">
                  <c:v>536.38</c:v>
                </c:pt>
                <c:pt idx="1077">
                  <c:v>572.13</c:v>
                </c:pt>
                <c:pt idx="1078">
                  <c:v>579.23</c:v>
                </c:pt>
                <c:pt idx="1079">
                  <c:v>574.46</c:v>
                </c:pt>
                <c:pt idx="1080">
                  <c:v>574.46</c:v>
                </c:pt>
                <c:pt idx="1081">
                  <c:v>574.46</c:v>
                </c:pt>
                <c:pt idx="1082">
                  <c:v>574.46</c:v>
                </c:pt>
                <c:pt idx="1083">
                  <c:v>573.02</c:v>
                </c:pt>
                <c:pt idx="1084">
                  <c:v>575.04999999999995</c:v>
                </c:pt>
                <c:pt idx="1085">
                  <c:v>612.41999999999996</c:v>
                </c:pt>
                <c:pt idx="1086">
                  <c:v>628.39</c:v>
                </c:pt>
                <c:pt idx="1087">
                  <c:v>629.86</c:v>
                </c:pt>
                <c:pt idx="1088">
                  <c:v>629.86</c:v>
                </c:pt>
                <c:pt idx="1089">
                  <c:v>629.86</c:v>
                </c:pt>
                <c:pt idx="1090">
                  <c:v>634.53</c:v>
                </c:pt>
                <c:pt idx="1091">
                  <c:v>662.49</c:v>
                </c:pt>
                <c:pt idx="1092">
                  <c:v>671.58</c:v>
                </c:pt>
                <c:pt idx="1093">
                  <c:v>676.87</c:v>
                </c:pt>
                <c:pt idx="1094">
                  <c:v>676.87</c:v>
                </c:pt>
              </c:numCache>
            </c:numRef>
          </c:val>
          <c:smooth val="0"/>
          <c:extLst>
            <c:ext xmlns:c16="http://schemas.microsoft.com/office/drawing/2014/chart" uri="{C3380CC4-5D6E-409C-BE32-E72D297353CC}">
              <c16:uniqueId val="{00000000-925A-4450-A04F-571E8F5DDB7B}"/>
            </c:ext>
          </c:extLst>
        </c:ser>
        <c:dLbls>
          <c:showLegendKey val="0"/>
          <c:showVal val="0"/>
          <c:showCatName val="0"/>
          <c:showSerName val="0"/>
          <c:showPercent val="0"/>
          <c:showBubbleSize val="0"/>
        </c:dLbls>
        <c:marker val="1"/>
        <c:smooth val="0"/>
        <c:axId val="2085423231"/>
        <c:axId val="2071215679"/>
      </c:lineChart>
      <c:lineChart>
        <c:grouping val="standard"/>
        <c:varyColors val="0"/>
        <c:ser>
          <c:idx val="1"/>
          <c:order val="1"/>
          <c:tx>
            <c:v>S&amp;P 500</c:v>
          </c:tx>
          <c:spPr>
            <a:ln w="12700" cap="rnd">
              <a:solidFill>
                <a:schemeClr val="bg1">
                  <a:lumMod val="50000"/>
                </a:schemeClr>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F7'!$AL$6:$AL$1100</c:f>
              <c:numCache>
                <c:formatCode>#,##0</c:formatCode>
                <c:ptCount val="1095"/>
                <c:pt idx="0">
                  <c:v>4154.5189899999996</c:v>
                </c:pt>
                <c:pt idx="1">
                  <c:v>4129.7923700000001</c:v>
                </c:pt>
                <c:pt idx="2">
                  <c:v>4133.5213199999998</c:v>
                </c:pt>
                <c:pt idx="3">
                  <c:v>4133.5213199999998</c:v>
                </c:pt>
                <c:pt idx="4">
                  <c:v>4133.5213199999998</c:v>
                </c:pt>
                <c:pt idx="5">
                  <c:v>4137.0445900000004</c:v>
                </c:pt>
                <c:pt idx="6">
                  <c:v>4071.6304300000002</c:v>
                </c:pt>
                <c:pt idx="7">
                  <c:v>4055.9877799999999</c:v>
                </c:pt>
                <c:pt idx="8">
                  <c:v>4135.3522300000004</c:v>
                </c:pt>
                <c:pt idx="9">
                  <c:v>4169.4813999999997</c:v>
                </c:pt>
                <c:pt idx="10">
                  <c:v>4169.4813999999997</c:v>
                </c:pt>
                <c:pt idx="11">
                  <c:v>4169.4813999999997</c:v>
                </c:pt>
                <c:pt idx="12">
                  <c:v>4167.8668900000002</c:v>
                </c:pt>
                <c:pt idx="13">
                  <c:v>4119.5804500000004</c:v>
                </c:pt>
                <c:pt idx="14">
                  <c:v>4090.7522199999999</c:v>
                </c:pt>
                <c:pt idx="15">
                  <c:v>4061.2168900000001</c:v>
                </c:pt>
                <c:pt idx="16">
                  <c:v>4136.25335</c:v>
                </c:pt>
                <c:pt idx="17">
                  <c:v>4136.25335</c:v>
                </c:pt>
                <c:pt idx="18">
                  <c:v>4136.25335</c:v>
                </c:pt>
                <c:pt idx="19">
                  <c:v>4138.1229800000001</c:v>
                </c:pt>
                <c:pt idx="20">
                  <c:v>4119.1733700000004</c:v>
                </c:pt>
                <c:pt idx="21">
                  <c:v>4137.6421899999996</c:v>
                </c:pt>
                <c:pt idx="22">
                  <c:v>4130.6212699999996</c:v>
                </c:pt>
                <c:pt idx="23">
                  <c:v>4124.0810199999996</c:v>
                </c:pt>
                <c:pt idx="24">
                  <c:v>4124.0810199999996</c:v>
                </c:pt>
                <c:pt idx="25">
                  <c:v>4124.0810199999996</c:v>
                </c:pt>
                <c:pt idx="26">
                  <c:v>4136.2842099999998</c:v>
                </c:pt>
                <c:pt idx="27">
                  <c:v>4109.8970099999997</c:v>
                </c:pt>
                <c:pt idx="28">
                  <c:v>4158.7707700000001</c:v>
                </c:pt>
                <c:pt idx="29">
                  <c:v>4198.0509499999998</c:v>
                </c:pt>
                <c:pt idx="30">
                  <c:v>4191.9797900000003</c:v>
                </c:pt>
                <c:pt idx="31">
                  <c:v>4191.9797900000003</c:v>
                </c:pt>
                <c:pt idx="32">
                  <c:v>4191.9797900000003</c:v>
                </c:pt>
                <c:pt idx="33">
                  <c:v>4192.6306999999997</c:v>
                </c:pt>
                <c:pt idx="34">
                  <c:v>4145.5751899999996</c:v>
                </c:pt>
                <c:pt idx="35">
                  <c:v>4115.2385700000004</c:v>
                </c:pt>
                <c:pt idx="36">
                  <c:v>4151.2798700000003</c:v>
                </c:pt>
                <c:pt idx="37">
                  <c:v>4205.4525299999996</c:v>
                </c:pt>
                <c:pt idx="38">
                  <c:v>4205.4525299999996</c:v>
                </c:pt>
                <c:pt idx="39">
                  <c:v>4205.4525299999996</c:v>
                </c:pt>
                <c:pt idx="40">
                  <c:v>4205.4525299999996</c:v>
                </c:pt>
                <c:pt idx="41">
                  <c:v>4205.5206900000003</c:v>
                </c:pt>
                <c:pt idx="42">
                  <c:v>4179.82546</c:v>
                </c:pt>
                <c:pt idx="43">
                  <c:v>4221.0202200000003</c:v>
                </c:pt>
                <c:pt idx="44">
                  <c:v>4282.3655699999999</c:v>
                </c:pt>
                <c:pt idx="45">
                  <c:v>4282.3655699999999</c:v>
                </c:pt>
                <c:pt idx="46">
                  <c:v>4282.3655699999999</c:v>
                </c:pt>
                <c:pt idx="47">
                  <c:v>4273.7941899999996</c:v>
                </c:pt>
                <c:pt idx="48">
                  <c:v>4283.8483900000001</c:v>
                </c:pt>
                <c:pt idx="49">
                  <c:v>4267.5184600000002</c:v>
                </c:pt>
                <c:pt idx="50">
                  <c:v>4293.9277700000002</c:v>
                </c:pt>
                <c:pt idx="51">
                  <c:v>4298.8573100000003</c:v>
                </c:pt>
                <c:pt idx="52">
                  <c:v>4298.8573100000003</c:v>
                </c:pt>
                <c:pt idx="53">
                  <c:v>4298.8573100000003</c:v>
                </c:pt>
                <c:pt idx="54">
                  <c:v>4338.93444</c:v>
                </c:pt>
                <c:pt idx="55">
                  <c:v>4369.0063899999996</c:v>
                </c:pt>
                <c:pt idx="56">
                  <c:v>4372.5894399999997</c:v>
                </c:pt>
                <c:pt idx="57">
                  <c:v>4425.8442599999998</c:v>
                </c:pt>
                <c:pt idx="58">
                  <c:v>4409.5943600000001</c:v>
                </c:pt>
                <c:pt idx="59">
                  <c:v>4409.5943600000001</c:v>
                </c:pt>
                <c:pt idx="60">
                  <c:v>4409.5943600000001</c:v>
                </c:pt>
                <c:pt idx="61">
                  <c:v>4409.5943600000001</c:v>
                </c:pt>
                <c:pt idx="62">
                  <c:v>4388.7097599999997</c:v>
                </c:pt>
                <c:pt idx="63">
                  <c:v>4365.6898300000003</c:v>
                </c:pt>
                <c:pt idx="64">
                  <c:v>4381.89048</c:v>
                </c:pt>
                <c:pt idx="65">
                  <c:v>4348.3306700000003</c:v>
                </c:pt>
                <c:pt idx="66">
                  <c:v>4348.3306700000003</c:v>
                </c:pt>
                <c:pt idx="67">
                  <c:v>4348.3306700000003</c:v>
                </c:pt>
                <c:pt idx="68">
                  <c:v>4328.82161</c:v>
                </c:pt>
                <c:pt idx="69">
                  <c:v>4378.4053199999998</c:v>
                </c:pt>
                <c:pt idx="70">
                  <c:v>4376.8637099999996</c:v>
                </c:pt>
                <c:pt idx="71">
                  <c:v>4396.4434199999996</c:v>
                </c:pt>
                <c:pt idx="72">
                  <c:v>4450.3813099999998</c:v>
                </c:pt>
                <c:pt idx="73">
                  <c:v>4450.3813099999998</c:v>
                </c:pt>
                <c:pt idx="74">
                  <c:v>4450.3813099999998</c:v>
                </c:pt>
                <c:pt idx="75">
                  <c:v>4455.5938800000004</c:v>
                </c:pt>
                <c:pt idx="76">
                  <c:v>4455.5938800000004</c:v>
                </c:pt>
                <c:pt idx="77">
                  <c:v>4446.8247700000002</c:v>
                </c:pt>
                <c:pt idx="78">
                  <c:v>4411.5907299999999</c:v>
                </c:pt>
                <c:pt idx="79">
                  <c:v>4398.9526599999999</c:v>
                </c:pt>
                <c:pt idx="80">
                  <c:v>4398.9526599999999</c:v>
                </c:pt>
                <c:pt idx="81">
                  <c:v>4398.9526599999999</c:v>
                </c:pt>
                <c:pt idx="82">
                  <c:v>4409.5258000000003</c:v>
                </c:pt>
                <c:pt idx="83">
                  <c:v>4439.2563300000002</c:v>
                </c:pt>
                <c:pt idx="84">
                  <c:v>4472.1603299999997</c:v>
                </c:pt>
                <c:pt idx="85">
                  <c:v>4510.0418</c:v>
                </c:pt>
                <c:pt idx="86">
                  <c:v>4505.4203399999997</c:v>
                </c:pt>
                <c:pt idx="87">
                  <c:v>4505.4203399999997</c:v>
                </c:pt>
                <c:pt idx="88">
                  <c:v>4505.4203399999997</c:v>
                </c:pt>
                <c:pt idx="89">
                  <c:v>4522.7930999999999</c:v>
                </c:pt>
                <c:pt idx="90">
                  <c:v>4554.9769500000002</c:v>
                </c:pt>
                <c:pt idx="91">
                  <c:v>4565.7167099999997</c:v>
                </c:pt>
                <c:pt idx="92">
                  <c:v>4534.8675499999999</c:v>
                </c:pt>
                <c:pt idx="93">
                  <c:v>4536.3385399999997</c:v>
                </c:pt>
                <c:pt idx="94">
                  <c:v>4536.3385399999997</c:v>
                </c:pt>
                <c:pt idx="95">
                  <c:v>4536.3385399999997</c:v>
                </c:pt>
                <c:pt idx="96">
                  <c:v>4554.6424399999996</c:v>
                </c:pt>
                <c:pt idx="97">
                  <c:v>4567.4637000000002</c:v>
                </c:pt>
                <c:pt idx="98">
                  <c:v>4566.7517200000002</c:v>
                </c:pt>
                <c:pt idx="99">
                  <c:v>4537.4118600000002</c:v>
                </c:pt>
                <c:pt idx="100">
                  <c:v>4582.2313299999996</c:v>
                </c:pt>
                <c:pt idx="101">
                  <c:v>4582.2313299999996</c:v>
                </c:pt>
                <c:pt idx="102">
                  <c:v>4582.2313299999996</c:v>
                </c:pt>
                <c:pt idx="103">
                  <c:v>4588.9611400000003</c:v>
                </c:pt>
                <c:pt idx="104">
                  <c:v>4576.7291500000001</c:v>
                </c:pt>
                <c:pt idx="105">
                  <c:v>4513.3938600000001</c:v>
                </c:pt>
                <c:pt idx="106">
                  <c:v>4501.8856699999997</c:v>
                </c:pt>
                <c:pt idx="107">
                  <c:v>4478.0338400000001</c:v>
                </c:pt>
                <c:pt idx="108">
                  <c:v>4478.0338400000001</c:v>
                </c:pt>
                <c:pt idx="109">
                  <c:v>4478.0338400000001</c:v>
                </c:pt>
                <c:pt idx="110">
                  <c:v>4518.4433600000002</c:v>
                </c:pt>
                <c:pt idx="111">
                  <c:v>4499.3772600000002</c:v>
                </c:pt>
                <c:pt idx="112">
                  <c:v>4467.7140900000004</c:v>
                </c:pt>
                <c:pt idx="113">
                  <c:v>4468.8347700000004</c:v>
                </c:pt>
                <c:pt idx="114">
                  <c:v>4464.0545599999996</c:v>
                </c:pt>
                <c:pt idx="115">
                  <c:v>4464.0545599999996</c:v>
                </c:pt>
                <c:pt idx="116">
                  <c:v>4464.0545599999996</c:v>
                </c:pt>
                <c:pt idx="117">
                  <c:v>4489.7183299999997</c:v>
                </c:pt>
                <c:pt idx="118">
                  <c:v>4437.85905</c:v>
                </c:pt>
                <c:pt idx="119">
                  <c:v>4404.3334699999996</c:v>
                </c:pt>
                <c:pt idx="120">
                  <c:v>4370.36006</c:v>
                </c:pt>
                <c:pt idx="121">
                  <c:v>4369.7115000000003</c:v>
                </c:pt>
                <c:pt idx="122">
                  <c:v>4369.7115000000003</c:v>
                </c:pt>
                <c:pt idx="123">
                  <c:v>4369.7115000000003</c:v>
                </c:pt>
                <c:pt idx="124">
                  <c:v>4399.7691000000004</c:v>
                </c:pt>
                <c:pt idx="125">
                  <c:v>4387.5487000000003</c:v>
                </c:pt>
                <c:pt idx="126">
                  <c:v>4436.0117399999999</c:v>
                </c:pt>
                <c:pt idx="127">
                  <c:v>4376.31495</c:v>
                </c:pt>
                <c:pt idx="128">
                  <c:v>4405.7057299999997</c:v>
                </c:pt>
                <c:pt idx="129">
                  <c:v>4405.7057299999997</c:v>
                </c:pt>
                <c:pt idx="130">
                  <c:v>4405.7057299999997</c:v>
                </c:pt>
                <c:pt idx="131">
                  <c:v>4433.3056500000002</c:v>
                </c:pt>
                <c:pt idx="132">
                  <c:v>4497.6316699999998</c:v>
                </c:pt>
                <c:pt idx="133">
                  <c:v>4514.8652599999996</c:v>
                </c:pt>
                <c:pt idx="134">
                  <c:v>4507.6617900000001</c:v>
                </c:pt>
                <c:pt idx="135">
                  <c:v>4515.7673999999997</c:v>
                </c:pt>
                <c:pt idx="136">
                  <c:v>4515.7673999999997</c:v>
                </c:pt>
                <c:pt idx="137">
                  <c:v>4515.7673999999997</c:v>
                </c:pt>
                <c:pt idx="138">
                  <c:v>4515.7673999999997</c:v>
                </c:pt>
                <c:pt idx="139">
                  <c:v>4496.8272800000004</c:v>
                </c:pt>
                <c:pt idx="140">
                  <c:v>4465.4847600000003</c:v>
                </c:pt>
                <c:pt idx="141">
                  <c:v>4451.1379800000004</c:v>
                </c:pt>
                <c:pt idx="142">
                  <c:v>4457.4893099999999</c:v>
                </c:pt>
                <c:pt idx="143">
                  <c:v>4457.4893099999999</c:v>
                </c:pt>
                <c:pt idx="144">
                  <c:v>4457.4893099999999</c:v>
                </c:pt>
                <c:pt idx="145">
                  <c:v>4487.4638599999998</c:v>
                </c:pt>
                <c:pt idx="146">
                  <c:v>4461.9049199999999</c:v>
                </c:pt>
                <c:pt idx="147">
                  <c:v>4467.44193</c:v>
                </c:pt>
                <c:pt idx="148">
                  <c:v>4505.0962799999998</c:v>
                </c:pt>
                <c:pt idx="149">
                  <c:v>4450.31628</c:v>
                </c:pt>
                <c:pt idx="150">
                  <c:v>4450.31628</c:v>
                </c:pt>
                <c:pt idx="151">
                  <c:v>4450.31628</c:v>
                </c:pt>
                <c:pt idx="152">
                  <c:v>4453.5338000000002</c:v>
                </c:pt>
                <c:pt idx="153">
                  <c:v>4443.9475000000002</c:v>
                </c:pt>
                <c:pt idx="154">
                  <c:v>4402.2035400000004</c:v>
                </c:pt>
                <c:pt idx="155">
                  <c:v>4330.0048500000003</c:v>
                </c:pt>
                <c:pt idx="156">
                  <c:v>4320.0571300000001</c:v>
                </c:pt>
                <c:pt idx="157">
                  <c:v>4320.0571300000001</c:v>
                </c:pt>
                <c:pt idx="158">
                  <c:v>4320.0571300000001</c:v>
                </c:pt>
                <c:pt idx="159">
                  <c:v>4337.4449800000002</c:v>
                </c:pt>
                <c:pt idx="160">
                  <c:v>4273.5283099999997</c:v>
                </c:pt>
                <c:pt idx="161">
                  <c:v>4274.5094099999997</c:v>
                </c:pt>
                <c:pt idx="162">
                  <c:v>4299.7019899999996</c:v>
                </c:pt>
                <c:pt idx="163">
                  <c:v>4288.0541199999998</c:v>
                </c:pt>
                <c:pt idx="164">
                  <c:v>4288.0541199999998</c:v>
                </c:pt>
                <c:pt idx="165">
                  <c:v>4288.0541199999998</c:v>
                </c:pt>
                <c:pt idx="166">
                  <c:v>4288.3906999999999</c:v>
                </c:pt>
                <c:pt idx="167">
                  <c:v>4229.4530299999997</c:v>
                </c:pt>
                <c:pt idx="168">
                  <c:v>4263.7511400000003</c:v>
                </c:pt>
                <c:pt idx="169">
                  <c:v>4258.1858099999999</c:v>
                </c:pt>
                <c:pt idx="170">
                  <c:v>4308.5022600000002</c:v>
                </c:pt>
                <c:pt idx="171">
                  <c:v>4308.5022600000002</c:v>
                </c:pt>
                <c:pt idx="172">
                  <c:v>4308.5022600000002</c:v>
                </c:pt>
                <c:pt idx="173">
                  <c:v>4335.6575199999997</c:v>
                </c:pt>
                <c:pt idx="174">
                  <c:v>4358.2378600000002</c:v>
                </c:pt>
                <c:pt idx="175">
                  <c:v>4376.9451799999997</c:v>
                </c:pt>
                <c:pt idx="176">
                  <c:v>4349.6057799999999</c:v>
                </c:pt>
                <c:pt idx="177">
                  <c:v>4327.7830299999996</c:v>
                </c:pt>
                <c:pt idx="178">
                  <c:v>4327.7830299999996</c:v>
                </c:pt>
                <c:pt idx="179">
                  <c:v>4327.7830299999996</c:v>
                </c:pt>
                <c:pt idx="180">
                  <c:v>4373.6348099999996</c:v>
                </c:pt>
                <c:pt idx="181">
                  <c:v>4373.1959900000002</c:v>
                </c:pt>
                <c:pt idx="182">
                  <c:v>4314.6006500000003</c:v>
                </c:pt>
                <c:pt idx="183">
                  <c:v>4277.9974300000003</c:v>
                </c:pt>
                <c:pt idx="184">
                  <c:v>4224.1594800000003</c:v>
                </c:pt>
                <c:pt idx="185">
                  <c:v>4224.1594800000003</c:v>
                </c:pt>
                <c:pt idx="186">
                  <c:v>4224.1594800000003</c:v>
                </c:pt>
                <c:pt idx="187">
                  <c:v>4217.0433899999998</c:v>
                </c:pt>
                <c:pt idx="188">
                  <c:v>4247.6768400000001</c:v>
                </c:pt>
                <c:pt idx="189">
                  <c:v>4186.7652500000004</c:v>
                </c:pt>
                <c:pt idx="190">
                  <c:v>4137.2308400000002</c:v>
                </c:pt>
                <c:pt idx="191">
                  <c:v>4117.3738300000005</c:v>
                </c:pt>
                <c:pt idx="192">
                  <c:v>4117.3738300000005</c:v>
                </c:pt>
                <c:pt idx="193">
                  <c:v>4117.3738300000005</c:v>
                </c:pt>
                <c:pt idx="194">
                  <c:v>4166.8151399999997</c:v>
                </c:pt>
                <c:pt idx="195">
                  <c:v>4193.8009599999996</c:v>
                </c:pt>
                <c:pt idx="196">
                  <c:v>4237.8556500000004</c:v>
                </c:pt>
                <c:pt idx="197">
                  <c:v>4317.7754800000002</c:v>
                </c:pt>
                <c:pt idx="198">
                  <c:v>4358.33518</c:v>
                </c:pt>
                <c:pt idx="199">
                  <c:v>4358.33518</c:v>
                </c:pt>
                <c:pt idx="200">
                  <c:v>4358.33518</c:v>
                </c:pt>
                <c:pt idx="201">
                  <c:v>4365.9780199999996</c:v>
                </c:pt>
                <c:pt idx="202">
                  <c:v>4378.37914</c:v>
                </c:pt>
                <c:pt idx="203">
                  <c:v>4382.7837799999998</c:v>
                </c:pt>
                <c:pt idx="204">
                  <c:v>4347.3493200000003</c:v>
                </c:pt>
                <c:pt idx="205">
                  <c:v>4415.2446900000004</c:v>
                </c:pt>
                <c:pt idx="206">
                  <c:v>4415.2446900000004</c:v>
                </c:pt>
                <c:pt idx="207">
                  <c:v>4415.2446900000004</c:v>
                </c:pt>
                <c:pt idx="208">
                  <c:v>4411.5548900000003</c:v>
                </c:pt>
                <c:pt idx="209">
                  <c:v>4495.7015899999997</c:v>
                </c:pt>
                <c:pt idx="210">
                  <c:v>4502.8788299999997</c:v>
                </c:pt>
                <c:pt idx="211">
                  <c:v>4508.2434999999996</c:v>
                </c:pt>
                <c:pt idx="212">
                  <c:v>4514.0178599999999</c:v>
                </c:pt>
                <c:pt idx="213">
                  <c:v>4514.0178599999999</c:v>
                </c:pt>
                <c:pt idx="214">
                  <c:v>4514.0178599999999</c:v>
                </c:pt>
                <c:pt idx="215">
                  <c:v>4547.3774899999999</c:v>
                </c:pt>
                <c:pt idx="216">
                  <c:v>4538.1916600000004</c:v>
                </c:pt>
                <c:pt idx="217">
                  <c:v>4556.6192199999996</c:v>
                </c:pt>
                <c:pt idx="218">
                  <c:v>4556.6192199999996</c:v>
                </c:pt>
                <c:pt idx="219">
                  <c:v>4559.3352100000002</c:v>
                </c:pt>
                <c:pt idx="220">
                  <c:v>4559.3352100000002</c:v>
                </c:pt>
                <c:pt idx="221">
                  <c:v>4559.3352100000002</c:v>
                </c:pt>
                <c:pt idx="222">
                  <c:v>4550.4280500000004</c:v>
                </c:pt>
                <c:pt idx="223">
                  <c:v>4554.8905599999998</c:v>
                </c:pt>
                <c:pt idx="224">
                  <c:v>4550.5823200000004</c:v>
                </c:pt>
                <c:pt idx="225">
                  <c:v>4567.79864</c:v>
                </c:pt>
                <c:pt idx="226">
                  <c:v>4594.6315800000002</c:v>
                </c:pt>
                <c:pt idx="227">
                  <c:v>4594.6315800000002</c:v>
                </c:pt>
                <c:pt idx="228">
                  <c:v>4594.6315800000002</c:v>
                </c:pt>
                <c:pt idx="229">
                  <c:v>4569.7815600000004</c:v>
                </c:pt>
                <c:pt idx="230">
                  <c:v>4567.1829699999998</c:v>
                </c:pt>
                <c:pt idx="231">
                  <c:v>4549.3373799999999</c:v>
                </c:pt>
                <c:pt idx="232">
                  <c:v>4585.58619</c:v>
                </c:pt>
                <c:pt idx="233">
                  <c:v>4604.3722500000003</c:v>
                </c:pt>
                <c:pt idx="234">
                  <c:v>4604.3722500000003</c:v>
                </c:pt>
                <c:pt idx="235">
                  <c:v>4604.3722500000003</c:v>
                </c:pt>
                <c:pt idx="236">
                  <c:v>4622.4407700000002</c:v>
                </c:pt>
                <c:pt idx="237">
                  <c:v>4643.7017699999997</c:v>
                </c:pt>
                <c:pt idx="238">
                  <c:v>4707.0913600000003</c:v>
                </c:pt>
                <c:pt idx="239">
                  <c:v>4719.5519199999999</c:v>
                </c:pt>
                <c:pt idx="240">
                  <c:v>4719.1906499999996</c:v>
                </c:pt>
                <c:pt idx="241">
                  <c:v>4719.1906499999996</c:v>
                </c:pt>
                <c:pt idx="242">
                  <c:v>4719.1906499999996</c:v>
                </c:pt>
                <c:pt idx="243">
                  <c:v>4740.5560100000002</c:v>
                </c:pt>
                <c:pt idx="244">
                  <c:v>4768.3653700000004</c:v>
                </c:pt>
                <c:pt idx="245">
                  <c:v>4698.3519500000002</c:v>
                </c:pt>
                <c:pt idx="246">
                  <c:v>4746.7456400000001</c:v>
                </c:pt>
                <c:pt idx="247">
                  <c:v>4754.6314499999999</c:v>
                </c:pt>
                <c:pt idx="248">
                  <c:v>4754.6314499999999</c:v>
                </c:pt>
                <c:pt idx="249">
                  <c:v>4754.6314499999999</c:v>
                </c:pt>
                <c:pt idx="250">
                  <c:v>4754.6314499999999</c:v>
                </c:pt>
                <c:pt idx="251">
                  <c:v>4774.7506000000003</c:v>
                </c:pt>
                <c:pt idx="252">
                  <c:v>4781.5788000000002</c:v>
                </c:pt>
                <c:pt idx="253">
                  <c:v>4783.3473800000002</c:v>
                </c:pt>
                <c:pt idx="254">
                  <c:v>4769.8294100000003</c:v>
                </c:pt>
                <c:pt idx="255">
                  <c:v>4769.8294100000003</c:v>
                </c:pt>
                <c:pt idx="256">
                  <c:v>4769.8294100000003</c:v>
                </c:pt>
                <c:pt idx="257">
                  <c:v>4769.8294100000003</c:v>
                </c:pt>
                <c:pt idx="258">
                  <c:v>4742.8294900000001</c:v>
                </c:pt>
                <c:pt idx="259">
                  <c:v>4704.8110900000001</c:v>
                </c:pt>
                <c:pt idx="260">
                  <c:v>4688.6760100000001</c:v>
                </c:pt>
                <c:pt idx="261">
                  <c:v>4697.2449399999996</c:v>
                </c:pt>
                <c:pt idx="262">
                  <c:v>4697.2449399999996</c:v>
                </c:pt>
                <c:pt idx="263">
                  <c:v>4697.2449399999996</c:v>
                </c:pt>
                <c:pt idx="264">
                  <c:v>4763.5372799999996</c:v>
                </c:pt>
                <c:pt idx="265">
                  <c:v>4756.4965400000001</c:v>
                </c:pt>
                <c:pt idx="266">
                  <c:v>4783.4491200000002</c:v>
                </c:pt>
                <c:pt idx="267">
                  <c:v>4780.2424700000001</c:v>
                </c:pt>
                <c:pt idx="268">
                  <c:v>4783.8310700000002</c:v>
                </c:pt>
                <c:pt idx="269">
                  <c:v>4783.8310700000002</c:v>
                </c:pt>
                <c:pt idx="270">
                  <c:v>4783.8310700000002</c:v>
                </c:pt>
                <c:pt idx="271">
                  <c:v>4783.8310700000002</c:v>
                </c:pt>
                <c:pt idx="272">
                  <c:v>4765.9760200000001</c:v>
                </c:pt>
                <c:pt idx="273">
                  <c:v>4739.2081399999997</c:v>
                </c:pt>
                <c:pt idx="274">
                  <c:v>4780.9376499999998</c:v>
                </c:pt>
                <c:pt idx="275">
                  <c:v>4839.81142</c:v>
                </c:pt>
                <c:pt idx="276">
                  <c:v>4839.81142</c:v>
                </c:pt>
                <c:pt idx="277">
                  <c:v>4839.81142</c:v>
                </c:pt>
                <c:pt idx="278">
                  <c:v>4850.4256699999996</c:v>
                </c:pt>
                <c:pt idx="279">
                  <c:v>4864.5967199999996</c:v>
                </c:pt>
                <c:pt idx="280">
                  <c:v>4868.5539200000003</c:v>
                </c:pt>
                <c:pt idx="281">
                  <c:v>4894.1555799999996</c:v>
                </c:pt>
                <c:pt idx="282">
                  <c:v>4890.9705100000001</c:v>
                </c:pt>
                <c:pt idx="283">
                  <c:v>4890.9705100000001</c:v>
                </c:pt>
                <c:pt idx="284">
                  <c:v>4890.9705100000001</c:v>
                </c:pt>
                <c:pt idx="285">
                  <c:v>4927.9288200000001</c:v>
                </c:pt>
                <c:pt idx="286">
                  <c:v>4924.9738900000002</c:v>
                </c:pt>
                <c:pt idx="287">
                  <c:v>4845.6471799999999</c:v>
                </c:pt>
                <c:pt idx="288">
                  <c:v>4906.1940400000003</c:v>
                </c:pt>
                <c:pt idx="289">
                  <c:v>4958.6138899999996</c:v>
                </c:pt>
                <c:pt idx="290">
                  <c:v>4958.6138899999996</c:v>
                </c:pt>
                <c:pt idx="291">
                  <c:v>4958.6138899999996</c:v>
                </c:pt>
                <c:pt idx="292">
                  <c:v>4942.8058799999999</c:v>
                </c:pt>
                <c:pt idx="293">
                  <c:v>4954.2305100000003</c:v>
                </c:pt>
                <c:pt idx="294">
                  <c:v>4995.0558499999997</c:v>
                </c:pt>
                <c:pt idx="295">
                  <c:v>4997.9053700000004</c:v>
                </c:pt>
                <c:pt idx="296">
                  <c:v>5026.6085800000001</c:v>
                </c:pt>
                <c:pt idx="297">
                  <c:v>5026.6085800000001</c:v>
                </c:pt>
                <c:pt idx="298">
                  <c:v>5026.6085800000001</c:v>
                </c:pt>
                <c:pt idx="299">
                  <c:v>5021.8444799999997</c:v>
                </c:pt>
                <c:pt idx="300">
                  <c:v>4953.16795</c:v>
                </c:pt>
                <c:pt idx="301">
                  <c:v>5000.6200699999999</c:v>
                </c:pt>
                <c:pt idx="302">
                  <c:v>5029.7347099999997</c:v>
                </c:pt>
                <c:pt idx="303">
                  <c:v>5005.5684499999998</c:v>
                </c:pt>
                <c:pt idx="304">
                  <c:v>5005.5684499999998</c:v>
                </c:pt>
                <c:pt idx="305">
                  <c:v>5005.5684499999998</c:v>
                </c:pt>
                <c:pt idx="306">
                  <c:v>5005.5684499999998</c:v>
                </c:pt>
                <c:pt idx="307">
                  <c:v>4975.51127</c:v>
                </c:pt>
                <c:pt idx="308">
                  <c:v>4981.7969999999996</c:v>
                </c:pt>
                <c:pt idx="309">
                  <c:v>5087.0324300000002</c:v>
                </c:pt>
                <c:pt idx="310">
                  <c:v>5088.7999499999996</c:v>
                </c:pt>
                <c:pt idx="311">
                  <c:v>5088.7999499999996</c:v>
                </c:pt>
                <c:pt idx="312">
                  <c:v>5088.7999499999996</c:v>
                </c:pt>
                <c:pt idx="313">
                  <c:v>5069.5305099999996</c:v>
                </c:pt>
                <c:pt idx="314">
                  <c:v>5078.1825200000003</c:v>
                </c:pt>
                <c:pt idx="315">
                  <c:v>5069.7565100000002</c:v>
                </c:pt>
                <c:pt idx="316">
                  <c:v>5096.2695000000003</c:v>
                </c:pt>
                <c:pt idx="317">
                  <c:v>5137.0838000000003</c:v>
                </c:pt>
                <c:pt idx="318">
                  <c:v>5137.0838000000003</c:v>
                </c:pt>
                <c:pt idx="319">
                  <c:v>5137.0838000000003</c:v>
                </c:pt>
                <c:pt idx="320">
                  <c:v>5130.9491500000004</c:v>
                </c:pt>
                <c:pt idx="321">
                  <c:v>5078.6540000000005</c:v>
                </c:pt>
                <c:pt idx="322">
                  <c:v>5104.7571600000001</c:v>
                </c:pt>
                <c:pt idx="323">
                  <c:v>5157.3592799999997</c:v>
                </c:pt>
                <c:pt idx="324">
                  <c:v>5123.6910900000003</c:v>
                </c:pt>
                <c:pt idx="325">
                  <c:v>5123.6910900000003</c:v>
                </c:pt>
                <c:pt idx="326">
                  <c:v>5123.6910900000003</c:v>
                </c:pt>
                <c:pt idx="327">
                  <c:v>5117.9367599999996</c:v>
                </c:pt>
                <c:pt idx="328">
                  <c:v>5175.2676199999996</c:v>
                </c:pt>
                <c:pt idx="329">
                  <c:v>5165.31185</c:v>
                </c:pt>
                <c:pt idx="330">
                  <c:v>5150.4799199999998</c:v>
                </c:pt>
                <c:pt idx="331">
                  <c:v>5117.0882199999996</c:v>
                </c:pt>
                <c:pt idx="332">
                  <c:v>5117.0882199999996</c:v>
                </c:pt>
                <c:pt idx="333">
                  <c:v>5117.0882199999996</c:v>
                </c:pt>
                <c:pt idx="334">
                  <c:v>5149.4174700000003</c:v>
                </c:pt>
                <c:pt idx="335">
                  <c:v>5178.5092599999998</c:v>
                </c:pt>
                <c:pt idx="336">
                  <c:v>5224.6232399999999</c:v>
                </c:pt>
                <c:pt idx="337">
                  <c:v>5241.5328</c:v>
                </c:pt>
                <c:pt idx="338">
                  <c:v>5234.1800599999997</c:v>
                </c:pt>
                <c:pt idx="339">
                  <c:v>5234.1800599999997</c:v>
                </c:pt>
                <c:pt idx="340">
                  <c:v>5234.1800599999997</c:v>
                </c:pt>
                <c:pt idx="341">
                  <c:v>5218.1866200000004</c:v>
                </c:pt>
                <c:pt idx="342">
                  <c:v>5203.5842000000002</c:v>
                </c:pt>
                <c:pt idx="343">
                  <c:v>5248.4931299999998</c:v>
                </c:pt>
                <c:pt idx="344">
                  <c:v>5254.3544000000002</c:v>
                </c:pt>
                <c:pt idx="345">
                  <c:v>5254.3544000000002</c:v>
                </c:pt>
                <c:pt idx="346">
                  <c:v>5254.3544000000002</c:v>
                </c:pt>
                <c:pt idx="347">
                  <c:v>5254.3544000000002</c:v>
                </c:pt>
                <c:pt idx="348">
                  <c:v>5243.7729499999996</c:v>
                </c:pt>
                <c:pt idx="349">
                  <c:v>5205.8110900000001</c:v>
                </c:pt>
                <c:pt idx="350">
                  <c:v>5211.4860900000003</c:v>
                </c:pt>
                <c:pt idx="351">
                  <c:v>5147.2089800000003</c:v>
                </c:pt>
                <c:pt idx="352">
                  <c:v>5204.3351400000001</c:v>
                </c:pt>
                <c:pt idx="353">
                  <c:v>5204.3351400000001</c:v>
                </c:pt>
                <c:pt idx="354">
                  <c:v>5204.3351400000001</c:v>
                </c:pt>
                <c:pt idx="355">
                  <c:v>5202.3919299999998</c:v>
                </c:pt>
                <c:pt idx="356">
                  <c:v>5209.9108399999996</c:v>
                </c:pt>
                <c:pt idx="357">
                  <c:v>5160.6397900000002</c:v>
                </c:pt>
                <c:pt idx="358">
                  <c:v>5199.0567700000001</c:v>
                </c:pt>
                <c:pt idx="359">
                  <c:v>5123.4068200000002</c:v>
                </c:pt>
                <c:pt idx="360">
                  <c:v>5123.4068200000002</c:v>
                </c:pt>
                <c:pt idx="361">
                  <c:v>5123.4068200000002</c:v>
                </c:pt>
                <c:pt idx="362">
                  <c:v>5061.8155299999999</c:v>
                </c:pt>
                <c:pt idx="363">
                  <c:v>5051.4139500000001</c:v>
                </c:pt>
                <c:pt idx="364">
                  <c:v>5022.2080400000004</c:v>
                </c:pt>
                <c:pt idx="365">
                  <c:v>5011.1227500000005</c:v>
                </c:pt>
                <c:pt idx="366">
                  <c:v>4967.2349000000004</c:v>
                </c:pt>
                <c:pt idx="367">
                  <c:v>4967.2349000000004</c:v>
                </c:pt>
                <c:pt idx="368">
                  <c:v>4967.2349000000004</c:v>
                </c:pt>
                <c:pt idx="369">
                  <c:v>5010.6046399999996</c:v>
                </c:pt>
                <c:pt idx="370">
                  <c:v>5070.55123</c:v>
                </c:pt>
                <c:pt idx="371">
                  <c:v>5071.6284699999997</c:v>
                </c:pt>
                <c:pt idx="372">
                  <c:v>5048.4157100000002</c:v>
                </c:pt>
                <c:pt idx="373">
                  <c:v>5099.96245</c:v>
                </c:pt>
                <c:pt idx="374">
                  <c:v>5099.96245</c:v>
                </c:pt>
                <c:pt idx="375">
                  <c:v>5099.96245</c:v>
                </c:pt>
                <c:pt idx="376">
                  <c:v>5116.1675599999999</c:v>
                </c:pt>
                <c:pt idx="377">
                  <c:v>5035.6916799999999</c:v>
                </c:pt>
                <c:pt idx="378">
                  <c:v>5018.3850000000002</c:v>
                </c:pt>
                <c:pt idx="379">
                  <c:v>5064.1952700000002</c:v>
                </c:pt>
                <c:pt idx="380">
                  <c:v>5127.7866299999996</c:v>
                </c:pt>
                <c:pt idx="381">
                  <c:v>5127.7866299999996</c:v>
                </c:pt>
                <c:pt idx="382">
                  <c:v>5127.7866299999996</c:v>
                </c:pt>
                <c:pt idx="383">
                  <c:v>5180.7406899999996</c:v>
                </c:pt>
                <c:pt idx="384">
                  <c:v>5187.6978600000002</c:v>
                </c:pt>
                <c:pt idx="385">
                  <c:v>5187.6707399999996</c:v>
                </c:pt>
                <c:pt idx="386">
                  <c:v>5214.0814300000002</c:v>
                </c:pt>
                <c:pt idx="387">
                  <c:v>5222.6753699999999</c:v>
                </c:pt>
                <c:pt idx="388">
                  <c:v>5222.6753699999999</c:v>
                </c:pt>
                <c:pt idx="389">
                  <c:v>5222.6753699999999</c:v>
                </c:pt>
                <c:pt idx="390">
                  <c:v>5221.4156400000002</c:v>
                </c:pt>
                <c:pt idx="391">
                  <c:v>5246.6805199999999</c:v>
                </c:pt>
                <c:pt idx="392">
                  <c:v>5308.14959</c:v>
                </c:pt>
                <c:pt idx="393">
                  <c:v>5297.0984500000004</c:v>
                </c:pt>
                <c:pt idx="394">
                  <c:v>5303.2696599999999</c:v>
                </c:pt>
                <c:pt idx="395">
                  <c:v>5303.2696599999999</c:v>
                </c:pt>
                <c:pt idx="396">
                  <c:v>5303.2696599999999</c:v>
                </c:pt>
                <c:pt idx="397">
                  <c:v>5308.1322700000001</c:v>
                </c:pt>
                <c:pt idx="398">
                  <c:v>5321.4120199999998</c:v>
                </c:pt>
                <c:pt idx="399">
                  <c:v>5307.00522</c:v>
                </c:pt>
                <c:pt idx="400">
                  <c:v>5267.8380699999998</c:v>
                </c:pt>
                <c:pt idx="401">
                  <c:v>5304.7175999999999</c:v>
                </c:pt>
                <c:pt idx="402">
                  <c:v>5304.7175999999999</c:v>
                </c:pt>
                <c:pt idx="403">
                  <c:v>5304.7175999999999</c:v>
                </c:pt>
                <c:pt idx="404">
                  <c:v>5304.7175999999999</c:v>
                </c:pt>
                <c:pt idx="405">
                  <c:v>5306.0444699999998</c:v>
                </c:pt>
                <c:pt idx="406">
                  <c:v>5266.9493599999996</c:v>
                </c:pt>
                <c:pt idx="407">
                  <c:v>5235.4772599999997</c:v>
                </c:pt>
                <c:pt idx="408">
                  <c:v>5277.5073499999999</c:v>
                </c:pt>
                <c:pt idx="409">
                  <c:v>5277.5073499999999</c:v>
                </c:pt>
                <c:pt idx="410">
                  <c:v>5277.5073499999999</c:v>
                </c:pt>
                <c:pt idx="411">
                  <c:v>5283.3968699999996</c:v>
                </c:pt>
                <c:pt idx="412">
                  <c:v>5291.3354099999997</c:v>
                </c:pt>
                <c:pt idx="413">
                  <c:v>5354.0286500000002</c:v>
                </c:pt>
                <c:pt idx="414">
                  <c:v>5352.9622399999998</c:v>
                </c:pt>
                <c:pt idx="415">
                  <c:v>5346.9880700000003</c:v>
                </c:pt>
                <c:pt idx="416">
                  <c:v>5346.9880700000003</c:v>
                </c:pt>
                <c:pt idx="417">
                  <c:v>5346.9880700000003</c:v>
                </c:pt>
                <c:pt idx="418">
                  <c:v>5360.7884899999999</c:v>
                </c:pt>
                <c:pt idx="419">
                  <c:v>5375.3161799999998</c:v>
                </c:pt>
                <c:pt idx="420">
                  <c:v>5421.02585</c:v>
                </c:pt>
                <c:pt idx="421">
                  <c:v>5433.7431999999999</c:v>
                </c:pt>
                <c:pt idx="422">
                  <c:v>5431.6016499999996</c:v>
                </c:pt>
                <c:pt idx="423">
                  <c:v>5431.6016499999996</c:v>
                </c:pt>
                <c:pt idx="424">
                  <c:v>5431.6016499999996</c:v>
                </c:pt>
                <c:pt idx="425">
                  <c:v>5473.23315</c:v>
                </c:pt>
                <c:pt idx="426">
                  <c:v>5487.0264900000002</c:v>
                </c:pt>
                <c:pt idx="427">
                  <c:v>5487.0264900000002</c:v>
                </c:pt>
                <c:pt idx="428">
                  <c:v>5473.1687899999997</c:v>
                </c:pt>
                <c:pt idx="429">
                  <c:v>5464.6213399999997</c:v>
                </c:pt>
                <c:pt idx="430">
                  <c:v>5464.6213399999997</c:v>
                </c:pt>
                <c:pt idx="431">
                  <c:v>5464.6213399999997</c:v>
                </c:pt>
                <c:pt idx="432">
                  <c:v>5447.8726500000002</c:v>
                </c:pt>
                <c:pt idx="433">
                  <c:v>5469.2974299999996</c:v>
                </c:pt>
                <c:pt idx="434">
                  <c:v>5477.90362</c:v>
                </c:pt>
                <c:pt idx="435">
                  <c:v>5482.8717800000004</c:v>
                </c:pt>
                <c:pt idx="436">
                  <c:v>5460.4826199999998</c:v>
                </c:pt>
                <c:pt idx="437">
                  <c:v>5460.4826199999998</c:v>
                </c:pt>
                <c:pt idx="438">
                  <c:v>5460.4826199999998</c:v>
                </c:pt>
                <c:pt idx="439">
                  <c:v>5475.08835</c:v>
                </c:pt>
                <c:pt idx="440">
                  <c:v>5509.0111100000004</c:v>
                </c:pt>
                <c:pt idx="441">
                  <c:v>5537.0191299999997</c:v>
                </c:pt>
                <c:pt idx="442">
                  <c:v>5537.0191299999997</c:v>
                </c:pt>
                <c:pt idx="443">
                  <c:v>5567.1903899999998</c:v>
                </c:pt>
                <c:pt idx="444">
                  <c:v>5567.1903899999998</c:v>
                </c:pt>
                <c:pt idx="445">
                  <c:v>5567.1903899999998</c:v>
                </c:pt>
                <c:pt idx="446">
                  <c:v>5572.8501999999999</c:v>
                </c:pt>
                <c:pt idx="447">
                  <c:v>5576.9844999999996</c:v>
                </c:pt>
                <c:pt idx="448">
                  <c:v>5633.9122100000004</c:v>
                </c:pt>
                <c:pt idx="449">
                  <c:v>5584.5443299999997</c:v>
                </c:pt>
                <c:pt idx="450">
                  <c:v>5615.3487599999999</c:v>
                </c:pt>
                <c:pt idx="451">
                  <c:v>5615.3487599999999</c:v>
                </c:pt>
                <c:pt idx="452">
                  <c:v>5615.3487599999999</c:v>
                </c:pt>
                <c:pt idx="453">
                  <c:v>5631.2160400000002</c:v>
                </c:pt>
                <c:pt idx="454">
                  <c:v>5667.19769</c:v>
                </c:pt>
                <c:pt idx="455">
                  <c:v>5588.2716899999996</c:v>
                </c:pt>
                <c:pt idx="456">
                  <c:v>5544.5932400000002</c:v>
                </c:pt>
                <c:pt idx="457">
                  <c:v>5505.0030900000002</c:v>
                </c:pt>
                <c:pt idx="458">
                  <c:v>5505.0030900000002</c:v>
                </c:pt>
                <c:pt idx="459">
                  <c:v>5505.0030900000002</c:v>
                </c:pt>
                <c:pt idx="460">
                  <c:v>5564.4128899999996</c:v>
                </c:pt>
                <c:pt idx="461">
                  <c:v>5555.7436699999998</c:v>
                </c:pt>
                <c:pt idx="462">
                  <c:v>5427.1276799999996</c:v>
                </c:pt>
                <c:pt idx="463">
                  <c:v>5399.2224800000004</c:v>
                </c:pt>
                <c:pt idx="464">
                  <c:v>5459.0973999999997</c:v>
                </c:pt>
                <c:pt idx="465">
                  <c:v>5459.0973999999997</c:v>
                </c:pt>
                <c:pt idx="466">
                  <c:v>5459.0973999999997</c:v>
                </c:pt>
                <c:pt idx="467">
                  <c:v>5463.5384700000004</c:v>
                </c:pt>
                <c:pt idx="468">
                  <c:v>5436.4440999999997</c:v>
                </c:pt>
                <c:pt idx="469">
                  <c:v>5522.3018400000001</c:v>
                </c:pt>
                <c:pt idx="470">
                  <c:v>5446.6843200000003</c:v>
                </c:pt>
                <c:pt idx="471">
                  <c:v>5346.5632599999999</c:v>
                </c:pt>
                <c:pt idx="472">
                  <c:v>5346.5632599999999</c:v>
                </c:pt>
                <c:pt idx="473">
                  <c:v>5346.5632599999999</c:v>
                </c:pt>
                <c:pt idx="474">
                  <c:v>5186.3304099999996</c:v>
                </c:pt>
                <c:pt idx="475">
                  <c:v>5240.0261499999997</c:v>
                </c:pt>
                <c:pt idx="476">
                  <c:v>5199.4999699999998</c:v>
                </c:pt>
                <c:pt idx="477">
                  <c:v>5319.3081199999997</c:v>
                </c:pt>
                <c:pt idx="478">
                  <c:v>5344.1643599999998</c:v>
                </c:pt>
                <c:pt idx="479">
                  <c:v>5344.1643599999998</c:v>
                </c:pt>
                <c:pt idx="480">
                  <c:v>5344.1643599999998</c:v>
                </c:pt>
                <c:pt idx="481">
                  <c:v>5344.3851999999997</c:v>
                </c:pt>
                <c:pt idx="482">
                  <c:v>5434.4328299999997</c:v>
                </c:pt>
                <c:pt idx="483">
                  <c:v>5455.2120000000004</c:v>
                </c:pt>
                <c:pt idx="484">
                  <c:v>5543.2182300000004</c:v>
                </c:pt>
                <c:pt idx="485">
                  <c:v>5554.2510599999996</c:v>
                </c:pt>
                <c:pt idx="486">
                  <c:v>5554.2510599999996</c:v>
                </c:pt>
                <c:pt idx="487">
                  <c:v>5554.2510599999996</c:v>
                </c:pt>
                <c:pt idx="488">
                  <c:v>5608.2472600000001</c:v>
                </c:pt>
                <c:pt idx="489">
                  <c:v>5597.12482</c:v>
                </c:pt>
                <c:pt idx="490">
                  <c:v>5620.8527199999999</c:v>
                </c:pt>
                <c:pt idx="491">
                  <c:v>5570.6445700000004</c:v>
                </c:pt>
                <c:pt idx="492">
                  <c:v>5634.6058499999999</c:v>
                </c:pt>
                <c:pt idx="493">
                  <c:v>5634.6058499999999</c:v>
                </c:pt>
                <c:pt idx="494">
                  <c:v>5634.6058499999999</c:v>
                </c:pt>
                <c:pt idx="495">
                  <c:v>5616.8358500000004</c:v>
                </c:pt>
                <c:pt idx="496">
                  <c:v>5625.8019599999998</c:v>
                </c:pt>
                <c:pt idx="497">
                  <c:v>5592.1772099999998</c:v>
                </c:pt>
                <c:pt idx="498">
                  <c:v>5591.9637199999997</c:v>
                </c:pt>
                <c:pt idx="499">
                  <c:v>5648.3972400000002</c:v>
                </c:pt>
                <c:pt idx="500">
                  <c:v>5648.3972400000002</c:v>
                </c:pt>
                <c:pt idx="501">
                  <c:v>5648.3972400000002</c:v>
                </c:pt>
                <c:pt idx="502">
                  <c:v>5648.3972400000002</c:v>
                </c:pt>
                <c:pt idx="503">
                  <c:v>5528.9333999999999</c:v>
                </c:pt>
                <c:pt idx="504">
                  <c:v>5520.0678200000002</c:v>
                </c:pt>
                <c:pt idx="505">
                  <c:v>5503.4085699999996</c:v>
                </c:pt>
                <c:pt idx="506">
                  <c:v>5408.4221399999997</c:v>
                </c:pt>
                <c:pt idx="507">
                  <c:v>5408.4221399999997</c:v>
                </c:pt>
                <c:pt idx="508">
                  <c:v>5408.4221399999997</c:v>
                </c:pt>
                <c:pt idx="509">
                  <c:v>5471.0514499999999</c:v>
                </c:pt>
                <c:pt idx="510">
                  <c:v>5495.5194099999999</c:v>
                </c:pt>
                <c:pt idx="511">
                  <c:v>5554.1324199999999</c:v>
                </c:pt>
                <c:pt idx="512">
                  <c:v>5595.7634900000003</c:v>
                </c:pt>
                <c:pt idx="513">
                  <c:v>5626.0186000000003</c:v>
                </c:pt>
                <c:pt idx="514">
                  <c:v>5626.0186000000003</c:v>
                </c:pt>
                <c:pt idx="515">
                  <c:v>5626.0186000000003</c:v>
                </c:pt>
                <c:pt idx="516">
                  <c:v>5633.0877799999998</c:v>
                </c:pt>
                <c:pt idx="517">
                  <c:v>5634.5804399999997</c:v>
                </c:pt>
                <c:pt idx="518">
                  <c:v>5618.2590300000002</c:v>
                </c:pt>
                <c:pt idx="519">
                  <c:v>5713.6410900000001</c:v>
                </c:pt>
                <c:pt idx="520">
                  <c:v>5702.5476200000003</c:v>
                </c:pt>
                <c:pt idx="521">
                  <c:v>5702.5476200000003</c:v>
                </c:pt>
                <c:pt idx="522">
                  <c:v>5702.5476200000003</c:v>
                </c:pt>
                <c:pt idx="523">
                  <c:v>5718.5664900000002</c:v>
                </c:pt>
                <c:pt idx="524">
                  <c:v>5732.9273499999999</c:v>
                </c:pt>
                <c:pt idx="525">
                  <c:v>5722.2605999999996</c:v>
                </c:pt>
                <c:pt idx="526">
                  <c:v>5745.3660900000004</c:v>
                </c:pt>
                <c:pt idx="527">
                  <c:v>5738.1717799999997</c:v>
                </c:pt>
                <c:pt idx="528">
                  <c:v>5738.1717799999997</c:v>
                </c:pt>
                <c:pt idx="529">
                  <c:v>5738.1717799999997</c:v>
                </c:pt>
                <c:pt idx="530">
                  <c:v>5762.48488</c:v>
                </c:pt>
                <c:pt idx="531">
                  <c:v>5708.7514799999999</c:v>
                </c:pt>
                <c:pt idx="532">
                  <c:v>5709.5394399999996</c:v>
                </c:pt>
                <c:pt idx="533">
                  <c:v>5699.94175</c:v>
                </c:pt>
                <c:pt idx="534">
                  <c:v>5751.0681999999997</c:v>
                </c:pt>
                <c:pt idx="535">
                  <c:v>5751.0681999999997</c:v>
                </c:pt>
                <c:pt idx="536">
                  <c:v>5751.0681999999997</c:v>
                </c:pt>
                <c:pt idx="537">
                  <c:v>5695.9434199999996</c:v>
                </c:pt>
                <c:pt idx="538">
                  <c:v>5751.1328899999999</c:v>
                </c:pt>
                <c:pt idx="539">
                  <c:v>5792.0414799999999</c:v>
                </c:pt>
                <c:pt idx="540">
                  <c:v>5780.0512900000003</c:v>
                </c:pt>
                <c:pt idx="541">
                  <c:v>5815.03341</c:v>
                </c:pt>
                <c:pt idx="542">
                  <c:v>5815.03341</c:v>
                </c:pt>
                <c:pt idx="543">
                  <c:v>5815.03341</c:v>
                </c:pt>
                <c:pt idx="544">
                  <c:v>5859.8501500000002</c:v>
                </c:pt>
                <c:pt idx="545">
                  <c:v>5815.2599399999999</c:v>
                </c:pt>
                <c:pt idx="546">
                  <c:v>5842.4745199999998</c:v>
                </c:pt>
                <c:pt idx="547">
                  <c:v>5841.4724100000003</c:v>
                </c:pt>
                <c:pt idx="548">
                  <c:v>5864.6679100000001</c:v>
                </c:pt>
                <c:pt idx="549">
                  <c:v>5864.6679100000001</c:v>
                </c:pt>
                <c:pt idx="550">
                  <c:v>5864.6679100000001</c:v>
                </c:pt>
                <c:pt idx="551">
                  <c:v>5853.9822299999996</c:v>
                </c:pt>
                <c:pt idx="552">
                  <c:v>5851.2023600000002</c:v>
                </c:pt>
                <c:pt idx="553">
                  <c:v>5797.4225900000001</c:v>
                </c:pt>
                <c:pt idx="554">
                  <c:v>5809.8592200000003</c:v>
                </c:pt>
                <c:pt idx="555">
                  <c:v>5808.1170099999999</c:v>
                </c:pt>
                <c:pt idx="556">
                  <c:v>5808.1170099999999</c:v>
                </c:pt>
                <c:pt idx="557">
                  <c:v>5808.1170099999999</c:v>
                </c:pt>
                <c:pt idx="558">
                  <c:v>5823.51775</c:v>
                </c:pt>
                <c:pt idx="559">
                  <c:v>5832.91705</c:v>
                </c:pt>
                <c:pt idx="560">
                  <c:v>5813.6697000000004</c:v>
                </c:pt>
                <c:pt idx="561">
                  <c:v>5705.4479199999996</c:v>
                </c:pt>
                <c:pt idx="562">
                  <c:v>5728.8013600000004</c:v>
                </c:pt>
                <c:pt idx="563">
                  <c:v>5728.8013600000004</c:v>
                </c:pt>
                <c:pt idx="564">
                  <c:v>5728.8013600000004</c:v>
                </c:pt>
                <c:pt idx="565">
                  <c:v>5712.6883399999997</c:v>
                </c:pt>
                <c:pt idx="566">
                  <c:v>5782.7558099999997</c:v>
                </c:pt>
                <c:pt idx="567">
                  <c:v>5929.0442400000002</c:v>
                </c:pt>
                <c:pt idx="568">
                  <c:v>5973.1031599999997</c:v>
                </c:pt>
                <c:pt idx="569">
                  <c:v>5995.5373399999999</c:v>
                </c:pt>
                <c:pt idx="570">
                  <c:v>5995.5373399999999</c:v>
                </c:pt>
                <c:pt idx="571">
                  <c:v>5995.5373399999999</c:v>
                </c:pt>
                <c:pt idx="572">
                  <c:v>6001.34699</c:v>
                </c:pt>
                <c:pt idx="573">
                  <c:v>5983.9898599999997</c:v>
                </c:pt>
                <c:pt idx="574">
                  <c:v>5985.3780100000004</c:v>
                </c:pt>
                <c:pt idx="575">
                  <c:v>5949.1709199999996</c:v>
                </c:pt>
                <c:pt idx="576">
                  <c:v>5870.6164099999996</c:v>
                </c:pt>
                <c:pt idx="577">
                  <c:v>5870.6164099999996</c:v>
                </c:pt>
                <c:pt idx="578">
                  <c:v>5870.6164099999996</c:v>
                </c:pt>
                <c:pt idx="579">
                  <c:v>5893.62345</c:v>
                </c:pt>
                <c:pt idx="580">
                  <c:v>5916.9773500000001</c:v>
                </c:pt>
                <c:pt idx="581">
                  <c:v>5917.1110500000004</c:v>
                </c:pt>
                <c:pt idx="582">
                  <c:v>5948.7072200000002</c:v>
                </c:pt>
                <c:pt idx="583">
                  <c:v>5969.3430799999996</c:v>
                </c:pt>
                <c:pt idx="584">
                  <c:v>5969.3430799999996</c:v>
                </c:pt>
                <c:pt idx="585">
                  <c:v>5969.3430799999996</c:v>
                </c:pt>
                <c:pt idx="586">
                  <c:v>5987.3663500000002</c:v>
                </c:pt>
                <c:pt idx="587">
                  <c:v>6021.6325900000002</c:v>
                </c:pt>
                <c:pt idx="588">
                  <c:v>5998.7380499999999</c:v>
                </c:pt>
                <c:pt idx="589">
                  <c:v>5998.7380499999999</c:v>
                </c:pt>
                <c:pt idx="590">
                  <c:v>6032.3844099999997</c:v>
                </c:pt>
                <c:pt idx="591">
                  <c:v>6032.3844099999997</c:v>
                </c:pt>
                <c:pt idx="592">
                  <c:v>6032.3844099999997</c:v>
                </c:pt>
                <c:pt idx="593">
                  <c:v>6047.1458400000001</c:v>
                </c:pt>
                <c:pt idx="594">
                  <c:v>6049.8817499999996</c:v>
                </c:pt>
                <c:pt idx="595">
                  <c:v>6086.4872599999999</c:v>
                </c:pt>
                <c:pt idx="596">
                  <c:v>6075.10707</c:v>
                </c:pt>
                <c:pt idx="597">
                  <c:v>6090.2704700000004</c:v>
                </c:pt>
                <c:pt idx="598">
                  <c:v>6090.2704700000004</c:v>
                </c:pt>
                <c:pt idx="599">
                  <c:v>6090.2704700000004</c:v>
                </c:pt>
                <c:pt idx="600">
                  <c:v>6052.8485600000004</c:v>
                </c:pt>
                <c:pt idx="601">
                  <c:v>6034.9122799999996</c:v>
                </c:pt>
                <c:pt idx="602">
                  <c:v>6084.1894899999998</c:v>
                </c:pt>
                <c:pt idx="603">
                  <c:v>6051.2473</c:v>
                </c:pt>
                <c:pt idx="604">
                  <c:v>6051.09202</c:v>
                </c:pt>
                <c:pt idx="605">
                  <c:v>6051.09202</c:v>
                </c:pt>
                <c:pt idx="606">
                  <c:v>6051.09202</c:v>
                </c:pt>
                <c:pt idx="607">
                  <c:v>6074.0834699999996</c:v>
                </c:pt>
                <c:pt idx="608">
                  <c:v>6050.6105399999997</c:v>
                </c:pt>
                <c:pt idx="609">
                  <c:v>5872.15985</c:v>
                </c:pt>
                <c:pt idx="610">
                  <c:v>5867.0769899999996</c:v>
                </c:pt>
                <c:pt idx="611">
                  <c:v>5930.8501399999996</c:v>
                </c:pt>
                <c:pt idx="612">
                  <c:v>5930.8501399999996</c:v>
                </c:pt>
                <c:pt idx="613">
                  <c:v>5930.8501399999996</c:v>
                </c:pt>
                <c:pt idx="614">
                  <c:v>5974.0730700000004</c:v>
                </c:pt>
                <c:pt idx="615">
                  <c:v>6040.0355799999998</c:v>
                </c:pt>
                <c:pt idx="616">
                  <c:v>6040.0355799999998</c:v>
                </c:pt>
                <c:pt idx="617">
                  <c:v>6037.5908600000002</c:v>
                </c:pt>
                <c:pt idx="618">
                  <c:v>5970.8376399999997</c:v>
                </c:pt>
                <c:pt idx="619">
                  <c:v>5970.8376399999997</c:v>
                </c:pt>
                <c:pt idx="620">
                  <c:v>5970.8376399999997</c:v>
                </c:pt>
                <c:pt idx="621">
                  <c:v>5906.9355999999998</c:v>
                </c:pt>
                <c:pt idx="622">
                  <c:v>5881.6276500000004</c:v>
                </c:pt>
                <c:pt idx="623">
                  <c:v>5881.6276500000004</c:v>
                </c:pt>
                <c:pt idx="624">
                  <c:v>5868.5513199999996</c:v>
                </c:pt>
                <c:pt idx="625">
                  <c:v>5942.4724999999999</c:v>
                </c:pt>
                <c:pt idx="626">
                  <c:v>5942.4724999999999</c:v>
                </c:pt>
                <c:pt idx="627">
                  <c:v>5942.4724999999999</c:v>
                </c:pt>
                <c:pt idx="628">
                  <c:v>5975.3755300000003</c:v>
                </c:pt>
                <c:pt idx="629">
                  <c:v>5909.0307499999999</c:v>
                </c:pt>
                <c:pt idx="630">
                  <c:v>5918.2478300000002</c:v>
                </c:pt>
                <c:pt idx="631">
                  <c:v>5918.2478300000002</c:v>
                </c:pt>
                <c:pt idx="632">
                  <c:v>5827.0444299999999</c:v>
                </c:pt>
                <c:pt idx="633">
                  <c:v>5827.0444299999999</c:v>
                </c:pt>
                <c:pt idx="634">
                  <c:v>5827.0444299999999</c:v>
                </c:pt>
                <c:pt idx="635">
                  <c:v>5836.2178700000004</c:v>
                </c:pt>
                <c:pt idx="636">
                  <c:v>5842.9107400000003</c:v>
                </c:pt>
                <c:pt idx="637">
                  <c:v>5949.9111199999998</c:v>
                </c:pt>
                <c:pt idx="638">
                  <c:v>5937.3404899999996</c:v>
                </c:pt>
                <c:pt idx="639">
                  <c:v>5996.6647499999999</c:v>
                </c:pt>
                <c:pt idx="640">
                  <c:v>5996.6647499999999</c:v>
                </c:pt>
                <c:pt idx="641">
                  <c:v>5996.6647499999999</c:v>
                </c:pt>
                <c:pt idx="642">
                  <c:v>5996.6647499999999</c:v>
                </c:pt>
                <c:pt idx="643">
                  <c:v>6049.24208</c:v>
                </c:pt>
                <c:pt idx="644">
                  <c:v>6086.3696300000001</c:v>
                </c:pt>
                <c:pt idx="645">
                  <c:v>6118.7063500000004</c:v>
                </c:pt>
                <c:pt idx="646">
                  <c:v>6101.2429300000003</c:v>
                </c:pt>
                <c:pt idx="647">
                  <c:v>6101.2429300000003</c:v>
                </c:pt>
                <c:pt idx="648">
                  <c:v>6101.2429300000003</c:v>
                </c:pt>
                <c:pt idx="649">
                  <c:v>6012.2769200000002</c:v>
                </c:pt>
                <c:pt idx="650">
                  <c:v>6067.69949</c:v>
                </c:pt>
                <c:pt idx="651">
                  <c:v>6039.3114999999998</c:v>
                </c:pt>
                <c:pt idx="652">
                  <c:v>6071.17454</c:v>
                </c:pt>
                <c:pt idx="653">
                  <c:v>6040.5259299999998</c:v>
                </c:pt>
                <c:pt idx="654">
                  <c:v>6040.5259299999998</c:v>
                </c:pt>
                <c:pt idx="655">
                  <c:v>6040.5259299999998</c:v>
                </c:pt>
                <c:pt idx="656">
                  <c:v>5994.56736</c:v>
                </c:pt>
                <c:pt idx="657">
                  <c:v>6037.8771900000002</c:v>
                </c:pt>
                <c:pt idx="658">
                  <c:v>6061.4807499999997</c:v>
                </c:pt>
                <c:pt idx="659">
                  <c:v>6083.5681299999997</c:v>
                </c:pt>
                <c:pt idx="660">
                  <c:v>6025.9924899999996</c:v>
                </c:pt>
                <c:pt idx="661">
                  <c:v>6025.9924899999996</c:v>
                </c:pt>
                <c:pt idx="662">
                  <c:v>6025.9924899999996</c:v>
                </c:pt>
                <c:pt idx="663">
                  <c:v>6066.44254</c:v>
                </c:pt>
                <c:pt idx="664">
                  <c:v>6068.50378</c:v>
                </c:pt>
                <c:pt idx="665">
                  <c:v>6051.9678100000001</c:v>
                </c:pt>
                <c:pt idx="666">
                  <c:v>6115.0715700000001</c:v>
                </c:pt>
                <c:pt idx="667">
                  <c:v>6114.6314700000003</c:v>
                </c:pt>
                <c:pt idx="668">
                  <c:v>6114.6314700000003</c:v>
                </c:pt>
                <c:pt idx="669">
                  <c:v>6114.6314700000003</c:v>
                </c:pt>
                <c:pt idx="670">
                  <c:v>6114.6314700000003</c:v>
                </c:pt>
                <c:pt idx="671">
                  <c:v>6129.58403</c:v>
                </c:pt>
                <c:pt idx="672">
                  <c:v>6144.1520399999999</c:v>
                </c:pt>
                <c:pt idx="673">
                  <c:v>6117.5207399999999</c:v>
                </c:pt>
                <c:pt idx="674">
                  <c:v>6013.1278599999996</c:v>
                </c:pt>
                <c:pt idx="675">
                  <c:v>6013.1278599999996</c:v>
                </c:pt>
                <c:pt idx="676">
                  <c:v>6013.1278599999996</c:v>
                </c:pt>
                <c:pt idx="677">
                  <c:v>5983.2468500000004</c:v>
                </c:pt>
                <c:pt idx="678">
                  <c:v>5955.2524299999995</c:v>
                </c:pt>
                <c:pt idx="679">
                  <c:v>5956.0586899999998</c:v>
                </c:pt>
                <c:pt idx="680">
                  <c:v>5861.5735800000002</c:v>
                </c:pt>
                <c:pt idx="681">
                  <c:v>5954.5048299999999</c:v>
                </c:pt>
                <c:pt idx="682">
                  <c:v>5954.5048299999999</c:v>
                </c:pt>
                <c:pt idx="683">
                  <c:v>5954.5048299999999</c:v>
                </c:pt>
                <c:pt idx="684">
                  <c:v>5849.7194200000004</c:v>
                </c:pt>
                <c:pt idx="685">
                  <c:v>5778.1491900000001</c:v>
                </c:pt>
                <c:pt idx="686">
                  <c:v>5842.6254900000004</c:v>
                </c:pt>
                <c:pt idx="687">
                  <c:v>5738.5187100000003</c:v>
                </c:pt>
                <c:pt idx="688">
                  <c:v>5770.1956099999998</c:v>
                </c:pt>
                <c:pt idx="689">
                  <c:v>5770.1956099999998</c:v>
                </c:pt>
                <c:pt idx="690">
                  <c:v>5770.1956099999998</c:v>
                </c:pt>
                <c:pt idx="691">
                  <c:v>5614.5635499999999</c:v>
                </c:pt>
                <c:pt idx="692">
                  <c:v>5572.0699199999999</c:v>
                </c:pt>
                <c:pt idx="693">
                  <c:v>5599.30026</c:v>
                </c:pt>
                <c:pt idx="694">
                  <c:v>5521.5192999999999</c:v>
                </c:pt>
                <c:pt idx="695">
                  <c:v>5638.9401699999999</c:v>
                </c:pt>
                <c:pt idx="696">
                  <c:v>5638.9401699999999</c:v>
                </c:pt>
                <c:pt idx="697">
                  <c:v>5638.9401699999999</c:v>
                </c:pt>
                <c:pt idx="698">
                  <c:v>5675.1173200000003</c:v>
                </c:pt>
                <c:pt idx="699">
                  <c:v>5614.66201</c:v>
                </c:pt>
                <c:pt idx="700">
                  <c:v>5675.2871699999996</c:v>
                </c:pt>
                <c:pt idx="701">
                  <c:v>5662.8905299999997</c:v>
                </c:pt>
                <c:pt idx="702">
                  <c:v>5667.5642699999999</c:v>
                </c:pt>
                <c:pt idx="703">
                  <c:v>5667.5642699999999</c:v>
                </c:pt>
                <c:pt idx="704">
                  <c:v>5667.5642699999999</c:v>
                </c:pt>
                <c:pt idx="705">
                  <c:v>5767.5671000000002</c:v>
                </c:pt>
                <c:pt idx="706">
                  <c:v>5776.6512899999998</c:v>
                </c:pt>
                <c:pt idx="707">
                  <c:v>5712.2034299999996</c:v>
                </c:pt>
                <c:pt idx="708">
                  <c:v>5693.3126499999998</c:v>
                </c:pt>
                <c:pt idx="709">
                  <c:v>5580.9435800000001</c:v>
                </c:pt>
                <c:pt idx="710">
                  <c:v>5580.9435800000001</c:v>
                </c:pt>
                <c:pt idx="711">
                  <c:v>5580.9435800000001</c:v>
                </c:pt>
                <c:pt idx="712">
                  <c:v>5611.8526099999999</c:v>
                </c:pt>
                <c:pt idx="713">
                  <c:v>5633.0696900000003</c:v>
                </c:pt>
                <c:pt idx="714">
                  <c:v>5670.9736199999998</c:v>
                </c:pt>
                <c:pt idx="715">
                  <c:v>5396.5168000000003</c:v>
                </c:pt>
                <c:pt idx="716">
                  <c:v>5074.0756300000003</c:v>
                </c:pt>
                <c:pt idx="717">
                  <c:v>5074.0756300000003</c:v>
                </c:pt>
                <c:pt idx="718">
                  <c:v>5074.0756300000003</c:v>
                </c:pt>
                <c:pt idx="719">
                  <c:v>5062.2455200000004</c:v>
                </c:pt>
                <c:pt idx="720">
                  <c:v>4982.7703099999999</c:v>
                </c:pt>
                <c:pt idx="721">
                  <c:v>5456.9006900000004</c:v>
                </c:pt>
                <c:pt idx="722">
                  <c:v>5268.0543799999996</c:v>
                </c:pt>
                <c:pt idx="723">
                  <c:v>5363.3594800000001</c:v>
                </c:pt>
                <c:pt idx="724">
                  <c:v>5363.3594800000001</c:v>
                </c:pt>
                <c:pt idx="725">
                  <c:v>5363.3594800000001</c:v>
                </c:pt>
                <c:pt idx="726">
                  <c:v>5405.9711900000002</c:v>
                </c:pt>
                <c:pt idx="727">
                  <c:v>5396.6346800000001</c:v>
                </c:pt>
                <c:pt idx="728">
                  <c:v>5275.7010600000003</c:v>
                </c:pt>
                <c:pt idx="729">
                  <c:v>5282.7010200000004</c:v>
                </c:pt>
                <c:pt idx="730">
                  <c:v>5282.7010200000004</c:v>
                </c:pt>
                <c:pt idx="731">
                  <c:v>5282.7010200000004</c:v>
                </c:pt>
                <c:pt idx="732">
                  <c:v>5282.7010200000004</c:v>
                </c:pt>
                <c:pt idx="733">
                  <c:v>5158.2026800000003</c:v>
                </c:pt>
                <c:pt idx="734">
                  <c:v>5287.7630099999997</c:v>
                </c:pt>
                <c:pt idx="735">
                  <c:v>5375.8638300000002</c:v>
                </c:pt>
                <c:pt idx="736">
                  <c:v>5484.7738099999997</c:v>
                </c:pt>
                <c:pt idx="737">
                  <c:v>5525.2051199999996</c:v>
                </c:pt>
                <c:pt idx="738">
                  <c:v>5525.2051199999996</c:v>
                </c:pt>
                <c:pt idx="739">
                  <c:v>5525.2051199999996</c:v>
                </c:pt>
                <c:pt idx="740">
                  <c:v>5528.7457400000003</c:v>
                </c:pt>
                <c:pt idx="741">
                  <c:v>5560.82701</c:v>
                </c:pt>
                <c:pt idx="742">
                  <c:v>5569.0646699999998</c:v>
                </c:pt>
                <c:pt idx="743">
                  <c:v>5604.1413300000004</c:v>
                </c:pt>
                <c:pt idx="744">
                  <c:v>5686.6748299999999</c:v>
                </c:pt>
                <c:pt idx="745">
                  <c:v>5686.6748299999999</c:v>
                </c:pt>
                <c:pt idx="746">
                  <c:v>5686.6748299999999</c:v>
                </c:pt>
                <c:pt idx="747">
                  <c:v>5650.3816699999998</c:v>
                </c:pt>
                <c:pt idx="748">
                  <c:v>5606.9067999999997</c:v>
                </c:pt>
                <c:pt idx="749">
                  <c:v>5631.28431</c:v>
                </c:pt>
                <c:pt idx="750">
                  <c:v>5663.9393099999998</c:v>
                </c:pt>
                <c:pt idx="751">
                  <c:v>5659.9122500000003</c:v>
                </c:pt>
                <c:pt idx="752">
                  <c:v>5659.9122500000003</c:v>
                </c:pt>
                <c:pt idx="753">
                  <c:v>5659.9122500000003</c:v>
                </c:pt>
                <c:pt idx="754">
                  <c:v>5844.1866900000005</c:v>
                </c:pt>
                <c:pt idx="755">
                  <c:v>5886.5528100000001</c:v>
                </c:pt>
                <c:pt idx="756">
                  <c:v>5892.5844900000002</c:v>
                </c:pt>
                <c:pt idx="757">
                  <c:v>5916.9260800000002</c:v>
                </c:pt>
                <c:pt idx="758">
                  <c:v>5958.3755300000003</c:v>
                </c:pt>
                <c:pt idx="759">
                  <c:v>5958.3755300000003</c:v>
                </c:pt>
                <c:pt idx="760">
                  <c:v>5958.3755300000003</c:v>
                </c:pt>
                <c:pt idx="761">
                  <c:v>5963.6043499999996</c:v>
                </c:pt>
                <c:pt idx="762">
                  <c:v>5940.4637499999999</c:v>
                </c:pt>
                <c:pt idx="763">
                  <c:v>5844.6121300000004</c:v>
                </c:pt>
                <c:pt idx="764">
                  <c:v>5842.0083100000002</c:v>
                </c:pt>
                <c:pt idx="765">
                  <c:v>5802.8150800000003</c:v>
                </c:pt>
                <c:pt idx="766">
                  <c:v>5802.8150800000003</c:v>
                </c:pt>
                <c:pt idx="767">
                  <c:v>5802.8150800000003</c:v>
                </c:pt>
                <c:pt idx="768">
                  <c:v>5802.8150800000003</c:v>
                </c:pt>
                <c:pt idx="769">
                  <c:v>5921.5403500000002</c:v>
                </c:pt>
                <c:pt idx="770">
                  <c:v>5888.5525799999996</c:v>
                </c:pt>
                <c:pt idx="771">
                  <c:v>5912.1727199999996</c:v>
                </c:pt>
                <c:pt idx="772">
                  <c:v>5911.6867199999997</c:v>
                </c:pt>
                <c:pt idx="773">
                  <c:v>5911.6867199999997</c:v>
                </c:pt>
                <c:pt idx="774">
                  <c:v>5911.6867199999997</c:v>
                </c:pt>
                <c:pt idx="775">
                  <c:v>5935.9409599999999</c:v>
                </c:pt>
                <c:pt idx="776">
                  <c:v>5970.3682399999998</c:v>
                </c:pt>
                <c:pt idx="777">
                  <c:v>5970.8132400000004</c:v>
                </c:pt>
                <c:pt idx="778">
                  <c:v>5939.30332</c:v>
                </c:pt>
                <c:pt idx="779">
                  <c:v>6000.3551299999999</c:v>
                </c:pt>
                <c:pt idx="780">
                  <c:v>6000.3551299999999</c:v>
                </c:pt>
                <c:pt idx="781">
                  <c:v>6000.3551299999999</c:v>
                </c:pt>
                <c:pt idx="782">
                  <c:v>6005.88346</c:v>
                </c:pt>
                <c:pt idx="783">
                  <c:v>6038.8057900000003</c:v>
                </c:pt>
                <c:pt idx="784">
                  <c:v>6022.2412100000001</c:v>
                </c:pt>
                <c:pt idx="785">
                  <c:v>6045.2556699999996</c:v>
                </c:pt>
                <c:pt idx="786">
                  <c:v>5976.96587</c:v>
                </c:pt>
                <c:pt idx="787">
                  <c:v>5976.96587</c:v>
                </c:pt>
                <c:pt idx="788">
                  <c:v>5976.96587</c:v>
                </c:pt>
                <c:pt idx="789">
                  <c:v>6033.1062899999997</c:v>
                </c:pt>
                <c:pt idx="790">
                  <c:v>5982.7169899999999</c:v>
                </c:pt>
                <c:pt idx="791">
                  <c:v>5980.8654999999999</c:v>
                </c:pt>
                <c:pt idx="792">
                  <c:v>5980.8654999999999</c:v>
                </c:pt>
                <c:pt idx="793">
                  <c:v>5967.8395</c:v>
                </c:pt>
                <c:pt idx="794">
                  <c:v>5967.8395</c:v>
                </c:pt>
                <c:pt idx="795">
                  <c:v>5967.8395</c:v>
                </c:pt>
                <c:pt idx="796">
                  <c:v>6025.1740399999999</c:v>
                </c:pt>
                <c:pt idx="797">
                  <c:v>6092.1810500000001</c:v>
                </c:pt>
                <c:pt idx="798">
                  <c:v>6092.1613699999998</c:v>
                </c:pt>
                <c:pt idx="799">
                  <c:v>6141.0192800000004</c:v>
                </c:pt>
                <c:pt idx="800">
                  <c:v>6173.0735699999996</c:v>
                </c:pt>
                <c:pt idx="801">
                  <c:v>6173.0735699999996</c:v>
                </c:pt>
                <c:pt idx="802">
                  <c:v>6173.0735699999996</c:v>
                </c:pt>
                <c:pt idx="803">
                  <c:v>6204.9539500000001</c:v>
                </c:pt>
                <c:pt idx="804">
                  <c:v>6198.00695</c:v>
                </c:pt>
                <c:pt idx="805">
                  <c:v>6227.4196899999997</c:v>
                </c:pt>
                <c:pt idx="806">
                  <c:v>6279.3509700000004</c:v>
                </c:pt>
                <c:pt idx="807">
                  <c:v>6279.3509700000004</c:v>
                </c:pt>
                <c:pt idx="808">
                  <c:v>6279.3509700000004</c:v>
                </c:pt>
                <c:pt idx="809">
                  <c:v>6279.3509700000004</c:v>
                </c:pt>
                <c:pt idx="810">
                  <c:v>6229.9774600000001</c:v>
                </c:pt>
                <c:pt idx="811">
                  <c:v>6225.5234099999998</c:v>
                </c:pt>
                <c:pt idx="812">
                  <c:v>6263.2643799999996</c:v>
                </c:pt>
                <c:pt idx="813">
                  <c:v>6280.4583000000002</c:v>
                </c:pt>
                <c:pt idx="814">
                  <c:v>6259.7464399999999</c:v>
                </c:pt>
                <c:pt idx="815">
                  <c:v>6259.7464399999999</c:v>
                </c:pt>
                <c:pt idx="816">
                  <c:v>6259.7464399999999</c:v>
                </c:pt>
                <c:pt idx="817">
                  <c:v>6268.5590099999999</c:v>
                </c:pt>
                <c:pt idx="818">
                  <c:v>6243.7557100000004</c:v>
                </c:pt>
                <c:pt idx="819">
                  <c:v>6263.69524</c:v>
                </c:pt>
                <c:pt idx="820">
                  <c:v>6297.3619099999996</c:v>
                </c:pt>
                <c:pt idx="821">
                  <c:v>6296.7890399999997</c:v>
                </c:pt>
                <c:pt idx="822">
                  <c:v>6296.7890399999997</c:v>
                </c:pt>
                <c:pt idx="823">
                  <c:v>6296.7890399999997</c:v>
                </c:pt>
                <c:pt idx="824">
                  <c:v>6305.5951800000003</c:v>
                </c:pt>
                <c:pt idx="825">
                  <c:v>6309.6236799999997</c:v>
                </c:pt>
                <c:pt idx="826">
                  <c:v>6358.9137899999996</c:v>
                </c:pt>
                <c:pt idx="827">
                  <c:v>6363.3492999999999</c:v>
                </c:pt>
                <c:pt idx="828">
                  <c:v>6388.6445000000003</c:v>
                </c:pt>
                <c:pt idx="829">
                  <c:v>6388.6445000000003</c:v>
                </c:pt>
                <c:pt idx="830">
                  <c:v>6388.6445000000003</c:v>
                </c:pt>
                <c:pt idx="831">
                  <c:v>6389.7664800000002</c:v>
                </c:pt>
                <c:pt idx="832">
                  <c:v>6370.8612999999996</c:v>
                </c:pt>
                <c:pt idx="833">
                  <c:v>6362.89876</c:v>
                </c:pt>
                <c:pt idx="834">
                  <c:v>6339.3945700000004</c:v>
                </c:pt>
                <c:pt idx="835">
                  <c:v>6238.0065699999996</c:v>
                </c:pt>
                <c:pt idx="836">
                  <c:v>6238.0065699999996</c:v>
                </c:pt>
                <c:pt idx="837">
                  <c:v>6238.0065699999996</c:v>
                </c:pt>
                <c:pt idx="838">
                  <c:v>6329.9395000000004</c:v>
                </c:pt>
                <c:pt idx="839">
                  <c:v>6299.1939499999999</c:v>
                </c:pt>
                <c:pt idx="840">
                  <c:v>6345.0595400000002</c:v>
                </c:pt>
                <c:pt idx="841">
                  <c:v>6339.99773</c:v>
                </c:pt>
                <c:pt idx="842">
                  <c:v>6389.4453100000001</c:v>
                </c:pt>
                <c:pt idx="843">
                  <c:v>6389.4453100000001</c:v>
                </c:pt>
                <c:pt idx="844">
                  <c:v>6389.4453100000001</c:v>
                </c:pt>
                <c:pt idx="845">
                  <c:v>6373.4533700000002</c:v>
                </c:pt>
                <c:pt idx="846">
                  <c:v>6445.7622000000001</c:v>
                </c:pt>
                <c:pt idx="847">
                  <c:v>6466.5846899999997</c:v>
                </c:pt>
                <c:pt idx="848">
                  <c:v>6468.5351899999996</c:v>
                </c:pt>
                <c:pt idx="849">
                  <c:v>6449.7965800000002</c:v>
                </c:pt>
                <c:pt idx="850">
                  <c:v>6449.7965800000002</c:v>
                </c:pt>
                <c:pt idx="851">
                  <c:v>6449.7965800000002</c:v>
                </c:pt>
                <c:pt idx="852">
                  <c:v>6449.1491500000002</c:v>
                </c:pt>
                <c:pt idx="853">
                  <c:v>6411.3745900000004</c:v>
                </c:pt>
                <c:pt idx="854">
                  <c:v>6395.7811899999997</c:v>
                </c:pt>
                <c:pt idx="855">
                  <c:v>6370.1726699999999</c:v>
                </c:pt>
                <c:pt idx="856">
                  <c:v>6466.9129700000003</c:v>
                </c:pt>
                <c:pt idx="857">
                  <c:v>6466.9129700000003</c:v>
                </c:pt>
                <c:pt idx="858">
                  <c:v>6466.9129700000003</c:v>
                </c:pt>
                <c:pt idx="859">
                  <c:v>6439.31988</c:v>
                </c:pt>
                <c:pt idx="860">
                  <c:v>6465.9352799999997</c:v>
                </c:pt>
                <c:pt idx="861">
                  <c:v>6481.40319</c:v>
                </c:pt>
                <c:pt idx="862">
                  <c:v>6501.8594199999998</c:v>
                </c:pt>
                <c:pt idx="863">
                  <c:v>6460.2626700000001</c:v>
                </c:pt>
                <c:pt idx="864">
                  <c:v>6460.2626700000001</c:v>
                </c:pt>
                <c:pt idx="865">
                  <c:v>6460.2626700000001</c:v>
                </c:pt>
                <c:pt idx="866">
                  <c:v>6460.2626700000001</c:v>
                </c:pt>
                <c:pt idx="867">
                  <c:v>6415.5413399999998</c:v>
                </c:pt>
                <c:pt idx="868">
                  <c:v>6448.2608499999997</c:v>
                </c:pt>
                <c:pt idx="869">
                  <c:v>6502.0829199999998</c:v>
                </c:pt>
                <c:pt idx="870">
                  <c:v>6481.4955300000001</c:v>
                </c:pt>
                <c:pt idx="871">
                  <c:v>6481.4955300000001</c:v>
                </c:pt>
                <c:pt idx="872">
                  <c:v>6481.4955300000001</c:v>
                </c:pt>
                <c:pt idx="873">
                  <c:v>6495.1548300000004</c:v>
                </c:pt>
                <c:pt idx="874">
                  <c:v>6512.6107499999998</c:v>
                </c:pt>
                <c:pt idx="875">
                  <c:v>6532.0433400000002</c:v>
                </c:pt>
                <c:pt idx="876">
                  <c:v>6587.4708700000001</c:v>
                </c:pt>
                <c:pt idx="877">
                  <c:v>6584.2850200000003</c:v>
                </c:pt>
                <c:pt idx="878">
                  <c:v>6584.2850200000003</c:v>
                </c:pt>
                <c:pt idx="879">
                  <c:v>6584.2850200000003</c:v>
                </c:pt>
                <c:pt idx="880">
                  <c:v>6615.2767599999997</c:v>
                </c:pt>
                <c:pt idx="881">
                  <c:v>6606.75594</c:v>
                </c:pt>
                <c:pt idx="882">
                  <c:v>6600.3470900000002</c:v>
                </c:pt>
                <c:pt idx="883">
                  <c:v>6631.9628899999998</c:v>
                </c:pt>
                <c:pt idx="884">
                  <c:v>6664.3648000000003</c:v>
                </c:pt>
                <c:pt idx="885">
                  <c:v>6664.3648000000003</c:v>
                </c:pt>
                <c:pt idx="886">
                  <c:v>6664.3648000000003</c:v>
                </c:pt>
                <c:pt idx="887">
                  <c:v>6693.7533400000002</c:v>
                </c:pt>
                <c:pt idx="888">
                  <c:v>6656.9198800000004</c:v>
                </c:pt>
                <c:pt idx="889">
                  <c:v>6637.9736700000003</c:v>
                </c:pt>
                <c:pt idx="890">
                  <c:v>6604.7172399999999</c:v>
                </c:pt>
                <c:pt idx="891">
                  <c:v>6643.6975400000001</c:v>
                </c:pt>
                <c:pt idx="892">
                  <c:v>6643.6975400000001</c:v>
                </c:pt>
                <c:pt idx="893">
                  <c:v>6643.6975400000001</c:v>
                </c:pt>
                <c:pt idx="894">
                  <c:v>6661.2073300000002</c:v>
                </c:pt>
                <c:pt idx="895">
                  <c:v>6688.4590399999997</c:v>
                </c:pt>
                <c:pt idx="896">
                  <c:v>6711.2039100000002</c:v>
                </c:pt>
                <c:pt idx="897">
                  <c:v>6715.3463000000002</c:v>
                </c:pt>
                <c:pt idx="898">
                  <c:v>6715.7892599999996</c:v>
                </c:pt>
                <c:pt idx="899">
                  <c:v>6715.7892599999996</c:v>
                </c:pt>
                <c:pt idx="900">
                  <c:v>6715.7892599999996</c:v>
                </c:pt>
                <c:pt idx="901">
                  <c:v>6740.2813599999999</c:v>
                </c:pt>
                <c:pt idx="902">
                  <c:v>6714.5879199999999</c:v>
                </c:pt>
                <c:pt idx="903">
                  <c:v>6753.7170699999997</c:v>
                </c:pt>
                <c:pt idx="904">
                  <c:v>6735.1107899999997</c:v>
                </c:pt>
                <c:pt idx="905">
                  <c:v>6552.51325</c:v>
                </c:pt>
                <c:pt idx="906">
                  <c:v>6552.51325</c:v>
                </c:pt>
                <c:pt idx="907">
                  <c:v>6552.51325</c:v>
                </c:pt>
                <c:pt idx="908">
                  <c:v>6654.7190899999996</c:v>
                </c:pt>
                <c:pt idx="909">
                  <c:v>6644.3083999999999</c:v>
                </c:pt>
                <c:pt idx="910">
                  <c:v>6671.0582800000002</c:v>
                </c:pt>
                <c:pt idx="911">
                  <c:v>6629.0742300000002</c:v>
                </c:pt>
                <c:pt idx="912">
                  <c:v>6664.01098</c:v>
                </c:pt>
                <c:pt idx="913">
                  <c:v>6664.01098</c:v>
                </c:pt>
                <c:pt idx="914">
                  <c:v>6664.01098</c:v>
                </c:pt>
                <c:pt idx="915">
                  <c:v>6735.1265100000001</c:v>
                </c:pt>
                <c:pt idx="916">
                  <c:v>6735.3514999999998</c:v>
                </c:pt>
                <c:pt idx="917">
                  <c:v>6699.4023999999999</c:v>
                </c:pt>
                <c:pt idx="918">
                  <c:v>6738.4377100000002</c:v>
                </c:pt>
                <c:pt idx="919">
                  <c:v>6791.6938099999998</c:v>
                </c:pt>
                <c:pt idx="920">
                  <c:v>6791.6938099999998</c:v>
                </c:pt>
                <c:pt idx="921">
                  <c:v>6791.6938099999998</c:v>
                </c:pt>
                <c:pt idx="922">
                  <c:v>6875.1568900000002</c:v>
                </c:pt>
                <c:pt idx="923">
                  <c:v>6890.8883699999997</c:v>
                </c:pt>
                <c:pt idx="924">
                  <c:v>6890.5870500000001</c:v>
                </c:pt>
                <c:pt idx="925">
                  <c:v>6822.34033</c:v>
                </c:pt>
                <c:pt idx="926">
                  <c:v>6840.1987399999998</c:v>
                </c:pt>
                <c:pt idx="927">
                  <c:v>6840.1987399999998</c:v>
                </c:pt>
                <c:pt idx="928">
                  <c:v>6840.1987399999998</c:v>
                </c:pt>
                <c:pt idx="929">
                  <c:v>6851.96666</c:v>
                </c:pt>
                <c:pt idx="930">
                  <c:v>6771.5474899999999</c:v>
                </c:pt>
                <c:pt idx="931">
                  <c:v>6796.2894299999998</c:v>
                </c:pt>
                <c:pt idx="932">
                  <c:v>6720.3201499999996</c:v>
                </c:pt>
                <c:pt idx="933">
                  <c:v>6728.8011100000003</c:v>
                </c:pt>
                <c:pt idx="934">
                  <c:v>6728.8011100000003</c:v>
                </c:pt>
                <c:pt idx="935">
                  <c:v>6728.8011100000003</c:v>
                </c:pt>
                <c:pt idx="936">
                  <c:v>6832.4301599999999</c:v>
                </c:pt>
                <c:pt idx="937">
                  <c:v>6846.6142300000001</c:v>
                </c:pt>
                <c:pt idx="938">
                  <c:v>6850.9164799999999</c:v>
                </c:pt>
                <c:pt idx="939">
                  <c:v>6737.4887200000003</c:v>
                </c:pt>
                <c:pt idx="940">
                  <c:v>6734.11067</c:v>
                </c:pt>
                <c:pt idx="941">
                  <c:v>6734.11067</c:v>
                </c:pt>
                <c:pt idx="942">
                  <c:v>6734.11067</c:v>
                </c:pt>
                <c:pt idx="943">
                  <c:v>6672.4116299999996</c:v>
                </c:pt>
                <c:pt idx="944">
                  <c:v>6617.32006</c:v>
                </c:pt>
                <c:pt idx="945">
                  <c:v>6642.1585100000002</c:v>
                </c:pt>
                <c:pt idx="946">
                  <c:v>6538.7626700000001</c:v>
                </c:pt>
                <c:pt idx="947">
                  <c:v>6602.9863299999997</c:v>
                </c:pt>
                <c:pt idx="948">
                  <c:v>6602.9863299999997</c:v>
                </c:pt>
                <c:pt idx="949">
                  <c:v>6602.9863299999997</c:v>
                </c:pt>
                <c:pt idx="950">
                  <c:v>6705.1170899999997</c:v>
                </c:pt>
                <c:pt idx="951">
                  <c:v>6765.8759700000001</c:v>
                </c:pt>
                <c:pt idx="952">
                  <c:v>6812.6130899999998</c:v>
                </c:pt>
                <c:pt idx="953">
                  <c:v>6812.6130899999998</c:v>
                </c:pt>
                <c:pt idx="954">
                  <c:v>6849.0873700000002</c:v>
                </c:pt>
                <c:pt idx="955">
                  <c:v>6849.0873700000002</c:v>
                </c:pt>
                <c:pt idx="956">
                  <c:v>6849.0873700000002</c:v>
                </c:pt>
                <c:pt idx="957">
                  <c:v>6812.6258500000004</c:v>
                </c:pt>
                <c:pt idx="958">
                  <c:v>6829.3705799999998</c:v>
                </c:pt>
                <c:pt idx="959">
                  <c:v>6849.7227199999998</c:v>
                </c:pt>
                <c:pt idx="960">
                  <c:v>6857.1196900000004</c:v>
                </c:pt>
                <c:pt idx="961">
                  <c:v>6870.4042099999997</c:v>
                </c:pt>
                <c:pt idx="962">
                  <c:v>6870.4042099999997</c:v>
                </c:pt>
                <c:pt idx="963">
                  <c:v>6870.4042099999997</c:v>
                </c:pt>
                <c:pt idx="964">
                  <c:v>6846.5061699999997</c:v>
                </c:pt>
                <c:pt idx="965">
                  <c:v>6840.5096199999998</c:v>
                </c:pt>
                <c:pt idx="966">
                  <c:v>6886.6829900000002</c:v>
                </c:pt>
                <c:pt idx="967">
                  <c:v>6900.9951899999996</c:v>
                </c:pt>
                <c:pt idx="968">
                  <c:v>6827.4064600000002</c:v>
                </c:pt>
                <c:pt idx="969">
                  <c:v>6827.4064600000002</c:v>
                </c:pt>
                <c:pt idx="970">
                  <c:v>6827.4064600000002</c:v>
                </c:pt>
                <c:pt idx="971">
                  <c:v>6816.5083000000004</c:v>
                </c:pt>
                <c:pt idx="972">
                  <c:v>6800.2572200000004</c:v>
                </c:pt>
                <c:pt idx="973">
                  <c:v>6721.4295499999998</c:v>
                </c:pt>
                <c:pt idx="974">
                  <c:v>6774.7575699999998</c:v>
                </c:pt>
                <c:pt idx="975">
                  <c:v>6834.4961899999998</c:v>
                </c:pt>
                <c:pt idx="976">
                  <c:v>6834.4961899999998</c:v>
                </c:pt>
                <c:pt idx="977">
                  <c:v>6834.4961899999998</c:v>
                </c:pt>
                <c:pt idx="978">
                  <c:v>6878.4894800000002</c:v>
                </c:pt>
                <c:pt idx="979">
                  <c:v>6909.7920700000004</c:v>
                </c:pt>
                <c:pt idx="980">
                  <c:v>6932.04918</c:v>
                </c:pt>
                <c:pt idx="981">
                  <c:v>6932.04918</c:v>
                </c:pt>
                <c:pt idx="982">
                  <c:v>6929.9361200000003</c:v>
                </c:pt>
                <c:pt idx="983">
                  <c:v>6929.9361200000003</c:v>
                </c:pt>
                <c:pt idx="984">
                  <c:v>6929.9361200000003</c:v>
                </c:pt>
                <c:pt idx="985">
                  <c:v>6905.7440500000002</c:v>
                </c:pt>
                <c:pt idx="986">
                  <c:v>6896.2417400000004</c:v>
                </c:pt>
                <c:pt idx="987">
                  <c:v>6845.5047100000002</c:v>
                </c:pt>
                <c:pt idx="988">
                  <c:v>6845.5047100000002</c:v>
                </c:pt>
                <c:pt idx="989">
                  <c:v>6858.4723100000001</c:v>
                </c:pt>
                <c:pt idx="990">
                  <c:v>6858.4723100000001</c:v>
                </c:pt>
                <c:pt idx="991">
                  <c:v>6858.4723100000001</c:v>
                </c:pt>
                <c:pt idx="992">
                  <c:v>6902.0508499999996</c:v>
                </c:pt>
                <c:pt idx="993">
                  <c:v>6944.8192200000003</c:v>
                </c:pt>
                <c:pt idx="994">
                  <c:v>6920.9292599999999</c:v>
                </c:pt>
                <c:pt idx="995">
                  <c:v>6921.4570899999999</c:v>
                </c:pt>
                <c:pt idx="996">
                  <c:v>6966.2839199999999</c:v>
                </c:pt>
                <c:pt idx="997">
                  <c:v>6966.2839199999999</c:v>
                </c:pt>
                <c:pt idx="998">
                  <c:v>6966.2839199999999</c:v>
                </c:pt>
                <c:pt idx="999">
                  <c:v>6977.2650299999996</c:v>
                </c:pt>
                <c:pt idx="1000">
                  <c:v>6963.7350999999999</c:v>
                </c:pt>
                <c:pt idx="1001">
                  <c:v>6926.5961500000003</c:v>
                </c:pt>
                <c:pt idx="1002">
                  <c:v>6944.4718800000001</c:v>
                </c:pt>
                <c:pt idx="1003">
                  <c:v>6940.0095099999999</c:v>
                </c:pt>
                <c:pt idx="1004">
                  <c:v>6940.0095099999999</c:v>
                </c:pt>
                <c:pt idx="1005">
                  <c:v>6940.0095099999999</c:v>
                </c:pt>
                <c:pt idx="1006">
                  <c:v>6940.0095099999999</c:v>
                </c:pt>
                <c:pt idx="1007">
                  <c:v>6796.8608100000001</c:v>
                </c:pt>
                <c:pt idx="1008">
                  <c:v>6875.6152700000002</c:v>
                </c:pt>
                <c:pt idx="1009">
                  <c:v>6913.3520399999998</c:v>
                </c:pt>
                <c:pt idx="1010">
                  <c:v>6915.6106499999996</c:v>
                </c:pt>
                <c:pt idx="1011">
                  <c:v>6915.6106499999996</c:v>
                </c:pt>
                <c:pt idx="1012">
                  <c:v>6915.6106499999996</c:v>
                </c:pt>
                <c:pt idx="1013">
                  <c:v>6950.2322000000004</c:v>
                </c:pt>
                <c:pt idx="1014">
                  <c:v>6978.5969299999997</c:v>
                </c:pt>
                <c:pt idx="1015">
                  <c:v>6978.0293899999997</c:v>
                </c:pt>
                <c:pt idx="1016">
                  <c:v>6969.0068899999997</c:v>
                </c:pt>
                <c:pt idx="1017">
                  <c:v>6939.02952</c:v>
                </c:pt>
                <c:pt idx="1018">
                  <c:v>6939.02952</c:v>
                </c:pt>
                <c:pt idx="1019">
                  <c:v>6939.02952</c:v>
                </c:pt>
                <c:pt idx="1020">
                  <c:v>6976.4441800000004</c:v>
                </c:pt>
                <c:pt idx="1021">
                  <c:v>6917.8117000000002</c:v>
                </c:pt>
                <c:pt idx="1022">
                  <c:v>6882.7211100000004</c:v>
                </c:pt>
                <c:pt idx="1023">
                  <c:v>6798.39948</c:v>
                </c:pt>
                <c:pt idx="1024">
                  <c:v>6932.2976699999999</c:v>
                </c:pt>
                <c:pt idx="1025">
                  <c:v>6932.2976699999999</c:v>
                </c:pt>
                <c:pt idx="1026">
                  <c:v>6932.2976699999999</c:v>
                </c:pt>
                <c:pt idx="1027">
                  <c:v>6964.8198499999999</c:v>
                </c:pt>
                <c:pt idx="1028">
                  <c:v>6941.8125099999997</c:v>
                </c:pt>
                <c:pt idx="1029">
                  <c:v>6941.4710100000002</c:v>
                </c:pt>
                <c:pt idx="1030">
                  <c:v>6832.7614700000004</c:v>
                </c:pt>
                <c:pt idx="1031">
                  <c:v>6836.17209</c:v>
                </c:pt>
                <c:pt idx="1032">
                  <c:v>6836.17209</c:v>
                </c:pt>
                <c:pt idx="1033">
                  <c:v>6836.17209</c:v>
                </c:pt>
                <c:pt idx="1034">
                  <c:v>6836.17209</c:v>
                </c:pt>
                <c:pt idx="1035">
                  <c:v>6843.2232599999998</c:v>
                </c:pt>
                <c:pt idx="1036">
                  <c:v>6881.3145599999998</c:v>
                </c:pt>
                <c:pt idx="1037">
                  <c:v>6861.8937400000004</c:v>
                </c:pt>
                <c:pt idx="1038">
                  <c:v>6909.5066200000001</c:v>
                </c:pt>
                <c:pt idx="1039">
                  <c:v>6909.5066200000001</c:v>
                </c:pt>
                <c:pt idx="1040">
                  <c:v>6909.5066200000001</c:v>
                </c:pt>
                <c:pt idx="1041">
                  <c:v>6837.7545200000004</c:v>
                </c:pt>
                <c:pt idx="1042">
                  <c:v>6890.0723099999996</c:v>
                </c:pt>
                <c:pt idx="1043">
                  <c:v>6946.1266900000001</c:v>
                </c:pt>
                <c:pt idx="1044">
                  <c:v>6908.8646799999997</c:v>
                </c:pt>
                <c:pt idx="1045">
                  <c:v>6878.8784999999998</c:v>
                </c:pt>
                <c:pt idx="1046">
                  <c:v>6878.8784999999998</c:v>
                </c:pt>
                <c:pt idx="1047">
                  <c:v>6878.8784999999998</c:v>
                </c:pt>
                <c:pt idx="1048">
                  <c:v>6881.6200799999997</c:v>
                </c:pt>
                <c:pt idx="1049">
                  <c:v>6816.6270299999996</c:v>
                </c:pt>
                <c:pt idx="1050">
                  <c:v>6869.5024400000002</c:v>
                </c:pt>
                <c:pt idx="1051">
                  <c:v>6830.7080699999997</c:v>
                </c:pt>
                <c:pt idx="1052">
                  <c:v>6740.0234300000002</c:v>
                </c:pt>
                <c:pt idx="1053">
                  <c:v>6740.0234300000002</c:v>
                </c:pt>
                <c:pt idx="1054">
                  <c:v>6740.0234300000002</c:v>
                </c:pt>
                <c:pt idx="1055">
                  <c:v>6795.9918699999998</c:v>
                </c:pt>
                <c:pt idx="1056">
                  <c:v>6781.4819299999999</c:v>
                </c:pt>
                <c:pt idx="1057">
                  <c:v>6775.8043200000002</c:v>
                </c:pt>
                <c:pt idx="1058">
                  <c:v>6672.6180400000003</c:v>
                </c:pt>
                <c:pt idx="1059">
                  <c:v>6632.1915300000001</c:v>
                </c:pt>
                <c:pt idx="1060">
                  <c:v>6632.1915300000001</c:v>
                </c:pt>
                <c:pt idx="1061">
                  <c:v>6632.1915300000001</c:v>
                </c:pt>
                <c:pt idx="1062">
                  <c:v>6699.3833299999997</c:v>
                </c:pt>
                <c:pt idx="1063">
                  <c:v>6716.0925100000004</c:v>
                </c:pt>
                <c:pt idx="1064">
                  <c:v>6624.6951600000002</c:v>
                </c:pt>
                <c:pt idx="1065">
                  <c:v>6606.4945399999997</c:v>
                </c:pt>
                <c:pt idx="1066">
                  <c:v>6506.4789099999998</c:v>
                </c:pt>
                <c:pt idx="1067">
                  <c:v>6506.4789099999998</c:v>
                </c:pt>
                <c:pt idx="1068">
                  <c:v>6506.4789099999998</c:v>
                </c:pt>
                <c:pt idx="1069">
                  <c:v>6581.0002100000002</c:v>
                </c:pt>
                <c:pt idx="1070">
                  <c:v>6556.3711400000002</c:v>
                </c:pt>
                <c:pt idx="1071">
                  <c:v>6591.9005900000002</c:v>
                </c:pt>
                <c:pt idx="1072">
                  <c:v>6477.1646300000002</c:v>
                </c:pt>
                <c:pt idx="1073">
                  <c:v>6368.8530700000001</c:v>
                </c:pt>
                <c:pt idx="1074">
                  <c:v>6368.8530700000001</c:v>
                </c:pt>
                <c:pt idx="1075">
                  <c:v>6368.8530700000001</c:v>
                </c:pt>
                <c:pt idx="1076">
                  <c:v>6343.7248300000001</c:v>
                </c:pt>
                <c:pt idx="1077">
                  <c:v>6528.5173800000002</c:v>
                </c:pt>
                <c:pt idx="1078">
                  <c:v>6575.3159299999998</c:v>
                </c:pt>
                <c:pt idx="1079">
                  <c:v>6582.6867599999996</c:v>
                </c:pt>
                <c:pt idx="1080">
                  <c:v>6582.6867599999996</c:v>
                </c:pt>
                <c:pt idx="1081">
                  <c:v>6582.6867599999996</c:v>
                </c:pt>
                <c:pt idx="1082">
                  <c:v>6582.6867599999996</c:v>
                </c:pt>
                <c:pt idx="1083">
                  <c:v>6611.8304099999996</c:v>
                </c:pt>
                <c:pt idx="1084">
                  <c:v>6616.8508300000003</c:v>
                </c:pt>
                <c:pt idx="1085">
                  <c:v>6782.81167</c:v>
                </c:pt>
                <c:pt idx="1086">
                  <c:v>6824.6572699999997</c:v>
                </c:pt>
                <c:pt idx="1087">
                  <c:v>6816.89192</c:v>
                </c:pt>
                <c:pt idx="1088">
                  <c:v>6816.89192</c:v>
                </c:pt>
                <c:pt idx="1089">
                  <c:v>6816.89192</c:v>
                </c:pt>
                <c:pt idx="1090">
                  <c:v>6886.2352300000002</c:v>
                </c:pt>
                <c:pt idx="1091">
                  <c:v>6967.3786899999996</c:v>
                </c:pt>
                <c:pt idx="1092">
                  <c:v>7022.9523300000001</c:v>
                </c:pt>
                <c:pt idx="1093">
                  <c:v>7041.2766899999997</c:v>
                </c:pt>
                <c:pt idx="1094">
                  <c:v>7041.2766899999997</c:v>
                </c:pt>
              </c:numCache>
            </c:numRef>
          </c:val>
          <c:smooth val="0"/>
          <c:extLst>
            <c:ext xmlns:c16="http://schemas.microsoft.com/office/drawing/2014/chart" uri="{C3380CC4-5D6E-409C-BE32-E72D297353CC}">
              <c16:uniqueId val="{00000001-925A-4450-A04F-571E8F5DDB7B}"/>
            </c:ext>
          </c:extLst>
        </c:ser>
        <c:dLbls>
          <c:showLegendKey val="0"/>
          <c:showVal val="0"/>
          <c:showCatName val="0"/>
          <c:showSerName val="0"/>
          <c:showPercent val="0"/>
          <c:showBubbleSize val="0"/>
        </c:dLbls>
        <c:marker val="1"/>
        <c:smooth val="0"/>
        <c:axId val="2085424671"/>
        <c:axId val="2060063199"/>
      </c:lineChart>
      <c:dateAx>
        <c:axId val="2085423231"/>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071215679"/>
        <c:crosses val="autoZero"/>
        <c:auto val="0"/>
        <c:lblOffset val="100"/>
        <c:baseTimeUnit val="days"/>
      </c:dateAx>
      <c:valAx>
        <c:axId val="20712156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en-US"/>
          </a:p>
        </c:txPr>
        <c:crossAx val="2085423231"/>
        <c:crosses val="autoZero"/>
        <c:crossBetween val="midCat"/>
      </c:valAx>
      <c:valAx>
        <c:axId val="206006319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lumMod val="50000"/>
                  </a:schemeClr>
                </a:solidFill>
                <a:latin typeface="+mn-lt"/>
                <a:ea typeface="+mn-ea"/>
                <a:cs typeface="+mn-cs"/>
              </a:defRPr>
            </a:pPr>
            <a:endParaRPr lang="en-US"/>
          </a:p>
        </c:txPr>
        <c:crossAx val="2085424671"/>
        <c:crosses val="max"/>
        <c:crossBetween val="between"/>
      </c:valAx>
      <c:dateAx>
        <c:axId val="2085424671"/>
        <c:scaling>
          <c:orientation val="minMax"/>
        </c:scaling>
        <c:delete val="1"/>
        <c:axPos val="b"/>
        <c:numFmt formatCode="dd/mm/yy;@" sourceLinked="1"/>
        <c:majorTickMark val="out"/>
        <c:minorTickMark val="none"/>
        <c:tickLblPos val="nextTo"/>
        <c:crossAx val="2060063199"/>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36908098634679E-2"/>
          <c:y val="9.8201665973272748E-2"/>
          <c:w val="0.80989756162518234"/>
          <c:h val="0.77462211818117332"/>
        </c:manualLayout>
      </c:layout>
      <c:barChart>
        <c:barDir val="col"/>
        <c:grouping val="clustered"/>
        <c:varyColors val="0"/>
        <c:ser>
          <c:idx val="1"/>
          <c:order val="0"/>
          <c:tx>
            <c:strRef>
              <c:f>'Report F7'!$B$85</c:f>
              <c:strCache>
                <c:ptCount val="1"/>
                <c:pt idx="0">
                  <c:v>Umsatz</c:v>
                </c:pt>
              </c:strCache>
            </c:strRef>
          </c:tx>
          <c:spPr>
            <a:solidFill>
              <a:schemeClr val="accent1">
                <a:lumMod val="40000"/>
                <a:lumOff val="60000"/>
              </a:schemeClr>
            </a:solidFill>
            <a:ln>
              <a:solidFill>
                <a:schemeClr val="accent1">
                  <a:lumMod val="40000"/>
                  <a:lumOff val="60000"/>
                </a:schemeClr>
              </a:solidFill>
            </a:ln>
            <a:effectLst/>
          </c:spPr>
          <c:invertIfNegative val="0"/>
          <c:cat>
            <c:numRef>
              <c:f>'Report F7'!$C$84:$L$84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'Report F7'!$C$85:$L$85</c:f>
              <c:numCache>
                <c:formatCode>#,##0</c:formatCode>
                <c:ptCount val="10"/>
                <c:pt idx="0">
                  <c:v>27638</c:v>
                </c:pt>
                <c:pt idx="1">
                  <c:v>40653</c:v>
                </c:pt>
                <c:pt idx="2">
                  <c:v>55838</c:v>
                </c:pt>
                <c:pt idx="3">
                  <c:v>70697</c:v>
                </c:pt>
                <c:pt idx="4">
                  <c:v>85965</c:v>
                </c:pt>
                <c:pt idx="5">
                  <c:v>117929</c:v>
                </c:pt>
                <c:pt idx="6">
                  <c:v>116609</c:v>
                </c:pt>
                <c:pt idx="7">
                  <c:v>134902</c:v>
                </c:pt>
                <c:pt idx="8">
                  <c:v>164501</c:v>
                </c:pt>
                <c:pt idx="9">
                  <c:v>200966</c:v>
                </c:pt>
              </c:numCache>
            </c:numRef>
          </c:val>
          <c:extLst>
            <c:ext xmlns:c16="http://schemas.microsoft.com/office/drawing/2014/chart" uri="{C3380CC4-5D6E-409C-BE32-E72D297353CC}">
              <c16:uniqueId val="{00000000-4F4E-4A69-A5C0-84BD4BBAFA06}"/>
            </c:ext>
          </c:extLst>
        </c:ser>
        <c:dLbls>
          <c:showLegendKey val="0"/>
          <c:showVal val="0"/>
          <c:showCatName val="0"/>
          <c:showSerName val="0"/>
          <c:showPercent val="0"/>
          <c:showBubbleSize val="0"/>
        </c:dLbls>
        <c:gapWidth val="150"/>
        <c:axId val="330162463"/>
        <c:axId val="330163423"/>
      </c:barChart>
      <c:lineChart>
        <c:grouping val="standard"/>
        <c:varyColors val="0"/>
        <c:ser>
          <c:idx val="2"/>
          <c:order val="1"/>
          <c:tx>
            <c:strRef>
              <c:f>'Report F7'!$B$86</c:f>
              <c:strCache>
                <c:ptCount val="1"/>
                <c:pt idx="0">
                  <c:v>EBIT-Marge</c:v>
                </c:pt>
              </c:strCache>
            </c:strRef>
          </c:tx>
          <c:spPr>
            <a:ln w="19050" cap="rnd">
              <a:solidFill>
                <a:schemeClr val="accent2">
                  <a:lumMod val="60000"/>
                  <a:lumOff val="40000"/>
                </a:schemeClr>
              </a:solidFill>
              <a:round/>
            </a:ln>
            <a:effectLst/>
          </c:spPr>
          <c:marker>
            <c:symbol val="none"/>
          </c:marker>
          <c:cat>
            <c:numRef>
              <c:f>'Report F7'!$C$84:$L$84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'Report F7'!$C$86:$L$86</c:f>
              <c:numCache>
                <c:formatCode>0.0%</c:formatCode>
                <c:ptCount val="10"/>
                <c:pt idx="0">
                  <c:v>0.44963456111151312</c:v>
                </c:pt>
                <c:pt idx="1">
                  <c:v>0.49696209381841439</c:v>
                </c:pt>
                <c:pt idx="2">
                  <c:v>0.44616569361366809</c:v>
                </c:pt>
                <c:pt idx="3">
                  <c:v>0.41000325332050863</c:v>
                </c:pt>
                <c:pt idx="4">
                  <c:v>0.3800500203571221</c:v>
                </c:pt>
                <c:pt idx="5">
                  <c:v>0.39645040660058173</c:v>
                </c:pt>
                <c:pt idx="6">
                  <c:v>0.28775651965114185</c:v>
                </c:pt>
                <c:pt idx="7">
                  <c:v>0.34655527716416362</c:v>
                </c:pt>
                <c:pt idx="8">
                  <c:v>0.42176035404040096</c:v>
                </c:pt>
                <c:pt idx="9">
                  <c:v>0.41437855159579234</c:v>
                </c:pt>
              </c:numCache>
            </c:numRef>
          </c:val>
          <c:smooth val="0"/>
          <c:extLst>
            <c:ext xmlns:c16="http://schemas.microsoft.com/office/drawing/2014/chart" uri="{C3380CC4-5D6E-409C-BE32-E72D297353CC}">
              <c16:uniqueId val="{00000001-4F4E-4A69-A5C0-84BD4BBAFA06}"/>
            </c:ext>
          </c:extLst>
        </c:ser>
        <c:dLbls>
          <c:showLegendKey val="0"/>
          <c:showVal val="0"/>
          <c:showCatName val="0"/>
          <c:showSerName val="0"/>
          <c:showPercent val="0"/>
          <c:showBubbleSize val="0"/>
        </c:dLbls>
        <c:marker val="1"/>
        <c:smooth val="0"/>
        <c:axId val="373306767"/>
        <c:axId val="373305807"/>
      </c:lineChart>
      <c:dateAx>
        <c:axId val="3301624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tx1">
                    <a:lumMod val="65000"/>
                    <a:lumOff val="35000"/>
                  </a:schemeClr>
                </a:solidFill>
                <a:latin typeface="+mn-lt"/>
                <a:ea typeface="+mn-ea"/>
                <a:cs typeface="+mn-cs"/>
              </a:defRPr>
            </a:pPr>
            <a:endParaRPr lang="de-DE"/>
          </a:p>
        </c:txPr>
        <c:crossAx val="330163423"/>
        <c:crosses val="autoZero"/>
        <c:auto val="0"/>
        <c:lblOffset val="100"/>
        <c:baseTimeUnit val="days"/>
      </c:dateAx>
      <c:valAx>
        <c:axId val="33016342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330162463"/>
        <c:crosses val="autoZero"/>
        <c:crossBetween val="between"/>
      </c:valAx>
      <c:valAx>
        <c:axId val="373305807"/>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de-DE"/>
          </a:p>
        </c:txPr>
        <c:crossAx val="373306767"/>
        <c:crosses val="max"/>
        <c:crossBetween val="between"/>
      </c:valAx>
      <c:catAx>
        <c:axId val="373306767"/>
        <c:scaling>
          <c:orientation val="minMax"/>
        </c:scaling>
        <c:delete val="1"/>
        <c:axPos val="b"/>
        <c:numFmt formatCode="General" sourceLinked="1"/>
        <c:majorTickMark val="out"/>
        <c:minorTickMark val="none"/>
        <c:tickLblPos val="nextTo"/>
        <c:crossAx val="373305807"/>
        <c:crosses val="autoZero"/>
        <c:auto val="1"/>
        <c:lblAlgn val="ctr"/>
        <c:lblOffset val="100"/>
        <c:noMultiLvlLbl val="0"/>
      </c:catAx>
      <c:spPr>
        <a:noFill/>
        <a:ln>
          <a:noFill/>
        </a:ln>
        <a:effectLst/>
      </c:spPr>
    </c:plotArea>
    <c:legend>
      <c:legendPos val="t"/>
      <c:layout>
        <c:manualLayout>
          <c:xMode val="edge"/>
          <c:yMode val="edge"/>
          <c:x val="0.20995088026769931"/>
          <c:y val="1.4374910345556538E-2"/>
          <c:w val="0.51674065197680186"/>
          <c:h val="4.786004157224987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lumMod val="95000"/>
      </a:schemeClr>
    </a:solidFill>
    <a:ln w="9525" cap="flat" cmpd="sng" algn="ctr">
      <a:noFill/>
      <a:round/>
    </a:ln>
    <a:effectLst/>
  </c:spPr>
  <c:txPr>
    <a:bodyPr/>
    <a:lstStyle/>
    <a:p>
      <a:pPr>
        <a:defRPr sz="700"/>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36908098634679E-2"/>
          <c:y val="9.8201665973272748E-2"/>
          <c:w val="0.80989756162518234"/>
          <c:h val="0.80345083678142837"/>
        </c:manualLayout>
      </c:layout>
      <c:barChart>
        <c:barDir val="col"/>
        <c:grouping val="clustered"/>
        <c:varyColors val="0"/>
        <c:ser>
          <c:idx val="1"/>
          <c:order val="0"/>
          <c:tx>
            <c:strRef>
              <c:f>'Report F7'!$B$85</c:f>
              <c:strCache>
                <c:ptCount val="1"/>
                <c:pt idx="0">
                  <c:v>Umsatz</c:v>
                </c:pt>
              </c:strCache>
            </c:strRef>
          </c:tx>
          <c:spPr>
            <a:solidFill>
              <a:schemeClr val="accent1">
                <a:lumMod val="40000"/>
                <a:lumOff val="60000"/>
              </a:schemeClr>
            </a:solidFill>
            <a:ln>
              <a:solidFill>
                <a:schemeClr val="accent1">
                  <a:lumMod val="40000"/>
                  <a:lumOff val="60000"/>
                </a:schemeClr>
              </a:solidFill>
            </a:ln>
            <a:effectLst/>
          </c:spPr>
          <c:invertIfNegative val="0"/>
          <c:cat>
            <c:numRef>
              <c:f>'Report F7'!$C$84:$L$84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'Report F7'!$C$85:$L$85</c:f>
              <c:numCache>
                <c:formatCode>#,##0</c:formatCode>
                <c:ptCount val="10"/>
                <c:pt idx="0">
                  <c:v>27638</c:v>
                </c:pt>
                <c:pt idx="1">
                  <c:v>40653</c:v>
                </c:pt>
                <c:pt idx="2">
                  <c:v>55838</c:v>
                </c:pt>
                <c:pt idx="3">
                  <c:v>70697</c:v>
                </c:pt>
                <c:pt idx="4">
                  <c:v>85965</c:v>
                </c:pt>
                <c:pt idx="5">
                  <c:v>117929</c:v>
                </c:pt>
                <c:pt idx="6">
                  <c:v>116609</c:v>
                </c:pt>
                <c:pt idx="7">
                  <c:v>134902</c:v>
                </c:pt>
                <c:pt idx="8">
                  <c:v>164501</c:v>
                </c:pt>
                <c:pt idx="9">
                  <c:v>200966</c:v>
                </c:pt>
              </c:numCache>
            </c:numRef>
          </c:val>
          <c:extLst>
            <c:ext xmlns:c16="http://schemas.microsoft.com/office/drawing/2014/chart" uri="{C3380CC4-5D6E-409C-BE32-E72D297353CC}">
              <c16:uniqueId val="{00000000-6A7B-422E-BB45-93735D6F0AE7}"/>
            </c:ext>
          </c:extLst>
        </c:ser>
        <c:dLbls>
          <c:showLegendKey val="0"/>
          <c:showVal val="0"/>
          <c:showCatName val="0"/>
          <c:showSerName val="0"/>
          <c:showPercent val="0"/>
          <c:showBubbleSize val="0"/>
        </c:dLbls>
        <c:gapWidth val="150"/>
        <c:axId val="330162463"/>
        <c:axId val="330163423"/>
      </c:barChart>
      <c:lineChart>
        <c:grouping val="standard"/>
        <c:varyColors val="0"/>
        <c:ser>
          <c:idx val="2"/>
          <c:order val="1"/>
          <c:tx>
            <c:strRef>
              <c:f>'Report F7'!$B$86</c:f>
              <c:strCache>
                <c:ptCount val="1"/>
                <c:pt idx="0">
                  <c:v>EBIT-Marge</c:v>
                </c:pt>
              </c:strCache>
            </c:strRef>
          </c:tx>
          <c:spPr>
            <a:ln w="19050" cap="rnd">
              <a:solidFill>
                <a:schemeClr val="accent2">
                  <a:lumMod val="60000"/>
                  <a:lumOff val="40000"/>
                </a:schemeClr>
              </a:solidFill>
              <a:round/>
            </a:ln>
            <a:effectLst/>
          </c:spPr>
          <c:marker>
            <c:symbol val="none"/>
          </c:marker>
          <c:cat>
            <c:numRef>
              <c:f>'Report F7'!$C$84:$L$84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'Report F7'!$C$86:$L$86</c:f>
              <c:numCache>
                <c:formatCode>0.0%</c:formatCode>
                <c:ptCount val="10"/>
                <c:pt idx="0">
                  <c:v>0.44963456111151312</c:v>
                </c:pt>
                <c:pt idx="1">
                  <c:v>0.49696209381841439</c:v>
                </c:pt>
                <c:pt idx="2">
                  <c:v>0.44616569361366809</c:v>
                </c:pt>
                <c:pt idx="3">
                  <c:v>0.41000325332050863</c:v>
                </c:pt>
                <c:pt idx="4">
                  <c:v>0.3800500203571221</c:v>
                </c:pt>
                <c:pt idx="5">
                  <c:v>0.39645040660058173</c:v>
                </c:pt>
                <c:pt idx="6">
                  <c:v>0.28775651965114185</c:v>
                </c:pt>
                <c:pt idx="7">
                  <c:v>0.34655527716416362</c:v>
                </c:pt>
                <c:pt idx="8">
                  <c:v>0.42176035404040096</c:v>
                </c:pt>
                <c:pt idx="9">
                  <c:v>0.41437855159579234</c:v>
                </c:pt>
              </c:numCache>
            </c:numRef>
          </c:val>
          <c:smooth val="0"/>
          <c:extLst>
            <c:ext xmlns:c16="http://schemas.microsoft.com/office/drawing/2014/chart" uri="{C3380CC4-5D6E-409C-BE32-E72D297353CC}">
              <c16:uniqueId val="{00000001-6A7B-422E-BB45-93735D6F0AE7}"/>
            </c:ext>
          </c:extLst>
        </c:ser>
        <c:dLbls>
          <c:showLegendKey val="0"/>
          <c:showVal val="0"/>
          <c:showCatName val="0"/>
          <c:showSerName val="0"/>
          <c:showPercent val="0"/>
          <c:showBubbleSize val="0"/>
        </c:dLbls>
        <c:marker val="1"/>
        <c:smooth val="0"/>
        <c:axId val="373306767"/>
        <c:axId val="373305807"/>
      </c:lineChart>
      <c:dateAx>
        <c:axId val="3301624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tx1">
                    <a:lumMod val="65000"/>
                    <a:lumOff val="35000"/>
                  </a:schemeClr>
                </a:solidFill>
                <a:latin typeface="+mn-lt"/>
                <a:ea typeface="+mn-ea"/>
                <a:cs typeface="+mn-cs"/>
              </a:defRPr>
            </a:pPr>
            <a:endParaRPr lang="de-DE"/>
          </a:p>
        </c:txPr>
        <c:crossAx val="330163423"/>
        <c:crosses val="autoZero"/>
        <c:auto val="0"/>
        <c:lblOffset val="100"/>
        <c:baseTimeUnit val="days"/>
      </c:dateAx>
      <c:valAx>
        <c:axId val="33016342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330162463"/>
        <c:crosses val="autoZero"/>
        <c:crossBetween val="between"/>
      </c:valAx>
      <c:valAx>
        <c:axId val="373305807"/>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de-DE"/>
          </a:p>
        </c:txPr>
        <c:crossAx val="373306767"/>
        <c:crosses val="max"/>
        <c:crossBetween val="between"/>
      </c:valAx>
      <c:catAx>
        <c:axId val="373306767"/>
        <c:scaling>
          <c:orientation val="minMax"/>
        </c:scaling>
        <c:delete val="1"/>
        <c:axPos val="b"/>
        <c:numFmt formatCode="General" sourceLinked="1"/>
        <c:majorTickMark val="out"/>
        <c:minorTickMark val="none"/>
        <c:tickLblPos val="nextTo"/>
        <c:crossAx val="373305807"/>
        <c:crosses val="autoZero"/>
        <c:auto val="1"/>
        <c:lblAlgn val="ctr"/>
        <c:lblOffset val="100"/>
        <c:noMultiLvlLbl val="0"/>
      </c:catAx>
      <c:spPr>
        <a:noFill/>
        <a:ln>
          <a:noFill/>
        </a:ln>
        <a:effectLst/>
      </c:spPr>
    </c:plotArea>
    <c:legend>
      <c:legendPos val="t"/>
      <c:layout>
        <c:manualLayout>
          <c:xMode val="edge"/>
          <c:yMode val="edge"/>
          <c:x val="0.12827893468947307"/>
          <c:y val="1.4374910345556538E-2"/>
          <c:w val="0.76127940671458938"/>
          <c:h val="8.16969038073882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lumMod val="95000"/>
      </a:schemeClr>
    </a:solidFill>
    <a:ln w="9525" cap="flat" cmpd="sng" algn="ctr">
      <a:noFill/>
      <a:round/>
    </a:ln>
    <a:effectLst/>
  </c:spPr>
  <c:txPr>
    <a:bodyPr/>
    <a:lstStyle/>
    <a:p>
      <a:pPr>
        <a:defRPr sz="700"/>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0015363281615E-2"/>
          <c:y val="9.9275579628679486E-2"/>
          <c:w val="0.79995086579315156"/>
          <c:h val="0.73229614211648986"/>
        </c:manualLayout>
      </c:layout>
      <c:lineChart>
        <c:grouping val="standard"/>
        <c:varyColors val="0"/>
        <c:ser>
          <c:idx val="0"/>
          <c:order val="0"/>
          <c:tx>
            <c:v>Aktie</c:v>
          </c:tx>
          <c:spPr>
            <a:ln w="12700" cap="rnd">
              <a:solidFill>
                <a:srgbClr val="C00000"/>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F7'!$AI$6:$AI$1100</c:f>
              <c:numCache>
                <c:formatCode>#,##0.00</c:formatCode>
                <c:ptCount val="1095"/>
                <c:pt idx="0">
                  <c:v>215.7</c:v>
                </c:pt>
                <c:pt idx="1">
                  <c:v>213.07</c:v>
                </c:pt>
                <c:pt idx="2">
                  <c:v>212.89</c:v>
                </c:pt>
                <c:pt idx="3">
                  <c:v>212.89</c:v>
                </c:pt>
                <c:pt idx="4">
                  <c:v>212.89</c:v>
                </c:pt>
                <c:pt idx="5">
                  <c:v>212.79</c:v>
                </c:pt>
                <c:pt idx="6">
                  <c:v>207.55</c:v>
                </c:pt>
                <c:pt idx="7">
                  <c:v>209.4</c:v>
                </c:pt>
                <c:pt idx="8">
                  <c:v>238.56</c:v>
                </c:pt>
                <c:pt idx="9">
                  <c:v>240.32</c:v>
                </c:pt>
                <c:pt idx="10">
                  <c:v>240.32</c:v>
                </c:pt>
                <c:pt idx="11">
                  <c:v>240.32</c:v>
                </c:pt>
                <c:pt idx="12">
                  <c:v>243.18</c:v>
                </c:pt>
                <c:pt idx="13">
                  <c:v>239.24</c:v>
                </c:pt>
                <c:pt idx="14">
                  <c:v>237.03</c:v>
                </c:pt>
                <c:pt idx="15">
                  <c:v>233.52</c:v>
                </c:pt>
                <c:pt idx="16">
                  <c:v>232.78</c:v>
                </c:pt>
                <c:pt idx="17">
                  <c:v>232.78</c:v>
                </c:pt>
                <c:pt idx="18">
                  <c:v>232.78</c:v>
                </c:pt>
                <c:pt idx="19">
                  <c:v>233.27</c:v>
                </c:pt>
                <c:pt idx="20">
                  <c:v>233.37</c:v>
                </c:pt>
                <c:pt idx="21">
                  <c:v>233.08</c:v>
                </c:pt>
                <c:pt idx="22">
                  <c:v>235.79</c:v>
                </c:pt>
                <c:pt idx="23">
                  <c:v>233.81</c:v>
                </c:pt>
                <c:pt idx="24">
                  <c:v>233.81</c:v>
                </c:pt>
                <c:pt idx="25">
                  <c:v>233.81</c:v>
                </c:pt>
                <c:pt idx="26">
                  <c:v>238.86</c:v>
                </c:pt>
                <c:pt idx="27">
                  <c:v>238.82</c:v>
                </c:pt>
                <c:pt idx="28">
                  <c:v>242.48500000000001</c:v>
                </c:pt>
                <c:pt idx="29">
                  <c:v>246.85</c:v>
                </c:pt>
                <c:pt idx="30">
                  <c:v>245.64</c:v>
                </c:pt>
                <c:pt idx="31">
                  <c:v>245.64</c:v>
                </c:pt>
                <c:pt idx="32">
                  <c:v>245.64</c:v>
                </c:pt>
                <c:pt idx="33">
                  <c:v>248.32</c:v>
                </c:pt>
                <c:pt idx="34">
                  <c:v>246.74</c:v>
                </c:pt>
                <c:pt idx="35">
                  <c:v>249.21</c:v>
                </c:pt>
                <c:pt idx="36">
                  <c:v>252.69</c:v>
                </c:pt>
                <c:pt idx="37">
                  <c:v>262.04000000000002</c:v>
                </c:pt>
                <c:pt idx="38">
                  <c:v>262.04000000000002</c:v>
                </c:pt>
                <c:pt idx="39">
                  <c:v>262.04000000000002</c:v>
                </c:pt>
                <c:pt idx="40">
                  <c:v>262.04000000000002</c:v>
                </c:pt>
                <c:pt idx="41">
                  <c:v>262.52</c:v>
                </c:pt>
                <c:pt idx="42">
                  <c:v>264.72000000000003</c:v>
                </c:pt>
                <c:pt idx="43">
                  <c:v>272.61</c:v>
                </c:pt>
                <c:pt idx="44">
                  <c:v>272.61</c:v>
                </c:pt>
                <c:pt idx="45">
                  <c:v>272.61</c:v>
                </c:pt>
                <c:pt idx="46">
                  <c:v>272.61</c:v>
                </c:pt>
                <c:pt idx="47">
                  <c:v>271.39</c:v>
                </c:pt>
                <c:pt idx="48">
                  <c:v>271.12</c:v>
                </c:pt>
                <c:pt idx="49">
                  <c:v>263.60000000000002</c:v>
                </c:pt>
                <c:pt idx="50">
                  <c:v>264.58</c:v>
                </c:pt>
                <c:pt idx="51">
                  <c:v>264.95</c:v>
                </c:pt>
                <c:pt idx="52">
                  <c:v>264.95</c:v>
                </c:pt>
                <c:pt idx="53">
                  <c:v>264.95</c:v>
                </c:pt>
                <c:pt idx="54">
                  <c:v>271.05</c:v>
                </c:pt>
                <c:pt idx="55">
                  <c:v>271.32</c:v>
                </c:pt>
                <c:pt idx="56">
                  <c:v>273.35000000000002</c:v>
                </c:pt>
                <c:pt idx="57">
                  <c:v>281.83</c:v>
                </c:pt>
                <c:pt idx="58">
                  <c:v>281</c:v>
                </c:pt>
                <c:pt idx="59">
                  <c:v>281</c:v>
                </c:pt>
                <c:pt idx="60">
                  <c:v>281</c:v>
                </c:pt>
                <c:pt idx="61">
                  <c:v>281</c:v>
                </c:pt>
                <c:pt idx="62">
                  <c:v>284.33</c:v>
                </c:pt>
                <c:pt idx="63">
                  <c:v>281.64</c:v>
                </c:pt>
                <c:pt idx="64">
                  <c:v>284.88</c:v>
                </c:pt>
                <c:pt idx="65">
                  <c:v>288.73</c:v>
                </c:pt>
                <c:pt idx="66">
                  <c:v>288.73</c:v>
                </c:pt>
                <c:pt idx="67">
                  <c:v>288.73</c:v>
                </c:pt>
                <c:pt idx="68">
                  <c:v>278.47000000000003</c:v>
                </c:pt>
                <c:pt idx="69">
                  <c:v>287.05</c:v>
                </c:pt>
                <c:pt idx="70">
                  <c:v>285.29000000000002</c:v>
                </c:pt>
                <c:pt idx="71">
                  <c:v>281.52999999999997</c:v>
                </c:pt>
                <c:pt idx="72">
                  <c:v>286.98</c:v>
                </c:pt>
                <c:pt idx="73">
                  <c:v>286.98</c:v>
                </c:pt>
                <c:pt idx="74">
                  <c:v>286.98</c:v>
                </c:pt>
                <c:pt idx="75">
                  <c:v>286.02</c:v>
                </c:pt>
                <c:pt idx="76">
                  <c:v>286.02</c:v>
                </c:pt>
                <c:pt idx="77">
                  <c:v>294.37</c:v>
                </c:pt>
                <c:pt idx="78">
                  <c:v>291.99</c:v>
                </c:pt>
                <c:pt idx="79">
                  <c:v>290.52999999999997</c:v>
                </c:pt>
                <c:pt idx="80">
                  <c:v>290.52999999999997</c:v>
                </c:pt>
                <c:pt idx="81">
                  <c:v>290.52999999999997</c:v>
                </c:pt>
                <c:pt idx="82">
                  <c:v>294.10000000000002</c:v>
                </c:pt>
                <c:pt idx="83">
                  <c:v>298.29000000000002</c:v>
                </c:pt>
                <c:pt idx="84">
                  <c:v>309.33999999999997</c:v>
                </c:pt>
                <c:pt idx="85">
                  <c:v>313.41000000000003</c:v>
                </c:pt>
                <c:pt idx="86">
                  <c:v>308.87</c:v>
                </c:pt>
                <c:pt idx="87">
                  <c:v>308.87</c:v>
                </c:pt>
                <c:pt idx="88">
                  <c:v>308.87</c:v>
                </c:pt>
                <c:pt idx="89">
                  <c:v>310.62</c:v>
                </c:pt>
                <c:pt idx="90">
                  <c:v>312.05</c:v>
                </c:pt>
                <c:pt idx="91">
                  <c:v>316.01</c:v>
                </c:pt>
                <c:pt idx="92">
                  <c:v>302.52</c:v>
                </c:pt>
                <c:pt idx="93">
                  <c:v>294.26</c:v>
                </c:pt>
                <c:pt idx="94">
                  <c:v>294.26</c:v>
                </c:pt>
                <c:pt idx="95">
                  <c:v>294.26</c:v>
                </c:pt>
                <c:pt idx="96">
                  <c:v>291.61</c:v>
                </c:pt>
                <c:pt idx="97">
                  <c:v>294.47000000000003</c:v>
                </c:pt>
                <c:pt idx="98">
                  <c:v>298.57</c:v>
                </c:pt>
                <c:pt idx="99">
                  <c:v>311.70999999999998</c:v>
                </c:pt>
                <c:pt idx="100">
                  <c:v>325.48</c:v>
                </c:pt>
                <c:pt idx="101">
                  <c:v>325.48</c:v>
                </c:pt>
                <c:pt idx="102">
                  <c:v>325.48</c:v>
                </c:pt>
                <c:pt idx="103">
                  <c:v>318.60000000000002</c:v>
                </c:pt>
                <c:pt idx="104">
                  <c:v>322.70999999999998</c:v>
                </c:pt>
                <c:pt idx="105">
                  <c:v>314.31</c:v>
                </c:pt>
                <c:pt idx="106">
                  <c:v>313.19</c:v>
                </c:pt>
                <c:pt idx="107">
                  <c:v>310.73</c:v>
                </c:pt>
                <c:pt idx="108">
                  <c:v>310.73</c:v>
                </c:pt>
                <c:pt idx="109">
                  <c:v>310.73</c:v>
                </c:pt>
                <c:pt idx="110">
                  <c:v>316.56</c:v>
                </c:pt>
                <c:pt idx="111">
                  <c:v>312.64</c:v>
                </c:pt>
                <c:pt idx="112">
                  <c:v>305.20999999999998</c:v>
                </c:pt>
                <c:pt idx="113">
                  <c:v>305.74</c:v>
                </c:pt>
                <c:pt idx="114">
                  <c:v>301.64</c:v>
                </c:pt>
                <c:pt idx="115">
                  <c:v>301.64</c:v>
                </c:pt>
                <c:pt idx="116">
                  <c:v>301.64</c:v>
                </c:pt>
                <c:pt idx="117">
                  <c:v>306.19</c:v>
                </c:pt>
                <c:pt idx="118">
                  <c:v>301.95</c:v>
                </c:pt>
                <c:pt idx="119">
                  <c:v>294.29000000000002</c:v>
                </c:pt>
                <c:pt idx="120">
                  <c:v>285.08999999999997</c:v>
                </c:pt>
                <c:pt idx="121">
                  <c:v>283.25</c:v>
                </c:pt>
                <c:pt idx="122">
                  <c:v>283.25</c:v>
                </c:pt>
                <c:pt idx="123">
                  <c:v>283.25</c:v>
                </c:pt>
                <c:pt idx="124">
                  <c:v>289.89999999999998</c:v>
                </c:pt>
                <c:pt idx="125">
                  <c:v>287.60000000000002</c:v>
                </c:pt>
                <c:pt idx="126">
                  <c:v>294.24</c:v>
                </c:pt>
                <c:pt idx="127">
                  <c:v>286.75</c:v>
                </c:pt>
                <c:pt idx="128">
                  <c:v>285.5</c:v>
                </c:pt>
                <c:pt idx="129">
                  <c:v>285.5</c:v>
                </c:pt>
                <c:pt idx="130">
                  <c:v>285.5</c:v>
                </c:pt>
                <c:pt idx="131">
                  <c:v>290.26</c:v>
                </c:pt>
                <c:pt idx="132">
                  <c:v>297.99</c:v>
                </c:pt>
                <c:pt idx="133">
                  <c:v>295.10000000000002</c:v>
                </c:pt>
                <c:pt idx="134">
                  <c:v>295.89</c:v>
                </c:pt>
                <c:pt idx="135">
                  <c:v>296.38</c:v>
                </c:pt>
                <c:pt idx="136">
                  <c:v>296.38</c:v>
                </c:pt>
                <c:pt idx="137">
                  <c:v>296.38</c:v>
                </c:pt>
                <c:pt idx="138">
                  <c:v>296.38</c:v>
                </c:pt>
                <c:pt idx="139">
                  <c:v>300.14999999999998</c:v>
                </c:pt>
                <c:pt idx="140">
                  <c:v>299.17</c:v>
                </c:pt>
                <c:pt idx="141">
                  <c:v>298.67</c:v>
                </c:pt>
                <c:pt idx="142">
                  <c:v>297.89</c:v>
                </c:pt>
                <c:pt idx="143">
                  <c:v>297.89</c:v>
                </c:pt>
                <c:pt idx="144">
                  <c:v>297.89</c:v>
                </c:pt>
                <c:pt idx="145">
                  <c:v>307.56</c:v>
                </c:pt>
                <c:pt idx="146">
                  <c:v>301.66000000000003</c:v>
                </c:pt>
                <c:pt idx="147">
                  <c:v>305.06</c:v>
                </c:pt>
                <c:pt idx="148">
                  <c:v>311.72000000000003</c:v>
                </c:pt>
                <c:pt idx="149">
                  <c:v>300.31</c:v>
                </c:pt>
                <c:pt idx="150">
                  <c:v>300.31</c:v>
                </c:pt>
                <c:pt idx="151">
                  <c:v>300.31</c:v>
                </c:pt>
                <c:pt idx="152">
                  <c:v>302.55</c:v>
                </c:pt>
                <c:pt idx="153">
                  <c:v>305.07</c:v>
                </c:pt>
                <c:pt idx="154">
                  <c:v>299.67</c:v>
                </c:pt>
                <c:pt idx="155">
                  <c:v>295.73</c:v>
                </c:pt>
                <c:pt idx="156">
                  <c:v>299.08</c:v>
                </c:pt>
                <c:pt idx="157">
                  <c:v>299.08</c:v>
                </c:pt>
                <c:pt idx="158">
                  <c:v>299.08</c:v>
                </c:pt>
                <c:pt idx="159">
                  <c:v>300.83</c:v>
                </c:pt>
                <c:pt idx="160">
                  <c:v>298.95999999999998</c:v>
                </c:pt>
                <c:pt idx="161">
                  <c:v>297.74</c:v>
                </c:pt>
                <c:pt idx="162">
                  <c:v>303.95999999999998</c:v>
                </c:pt>
                <c:pt idx="163">
                  <c:v>300.20999999999998</c:v>
                </c:pt>
                <c:pt idx="164">
                  <c:v>300.20999999999998</c:v>
                </c:pt>
                <c:pt idx="165">
                  <c:v>300.20999999999998</c:v>
                </c:pt>
                <c:pt idx="166">
                  <c:v>306.82</c:v>
                </c:pt>
                <c:pt idx="167">
                  <c:v>300.94</c:v>
                </c:pt>
                <c:pt idx="168">
                  <c:v>305.58</c:v>
                </c:pt>
                <c:pt idx="169">
                  <c:v>304.79000000000002</c:v>
                </c:pt>
                <c:pt idx="170">
                  <c:v>315.43</c:v>
                </c:pt>
                <c:pt idx="171">
                  <c:v>315.43</c:v>
                </c:pt>
                <c:pt idx="172">
                  <c:v>315.43</c:v>
                </c:pt>
                <c:pt idx="173">
                  <c:v>318.36</c:v>
                </c:pt>
                <c:pt idx="174">
                  <c:v>321.83999999999997</c:v>
                </c:pt>
                <c:pt idx="175">
                  <c:v>327.82</c:v>
                </c:pt>
                <c:pt idx="176">
                  <c:v>324.16000000000003</c:v>
                </c:pt>
                <c:pt idx="177">
                  <c:v>314.69</c:v>
                </c:pt>
                <c:pt idx="178">
                  <c:v>314.69</c:v>
                </c:pt>
                <c:pt idx="179">
                  <c:v>314.69</c:v>
                </c:pt>
                <c:pt idx="180">
                  <c:v>321.14999999999998</c:v>
                </c:pt>
                <c:pt idx="181">
                  <c:v>324</c:v>
                </c:pt>
                <c:pt idx="182">
                  <c:v>316.97000000000003</c:v>
                </c:pt>
                <c:pt idx="183">
                  <c:v>312.81</c:v>
                </c:pt>
                <c:pt idx="184">
                  <c:v>308.64999999999998</c:v>
                </c:pt>
                <c:pt idx="185">
                  <c:v>308.64999999999998</c:v>
                </c:pt>
                <c:pt idx="186">
                  <c:v>308.64999999999998</c:v>
                </c:pt>
                <c:pt idx="187">
                  <c:v>314.01</c:v>
                </c:pt>
                <c:pt idx="188">
                  <c:v>312.55</c:v>
                </c:pt>
                <c:pt idx="189">
                  <c:v>299.52999999999997</c:v>
                </c:pt>
                <c:pt idx="190">
                  <c:v>288.35000000000002</c:v>
                </c:pt>
                <c:pt idx="191">
                  <c:v>296.73</c:v>
                </c:pt>
                <c:pt idx="192">
                  <c:v>296.73</c:v>
                </c:pt>
                <c:pt idx="193">
                  <c:v>296.73</c:v>
                </c:pt>
                <c:pt idx="194">
                  <c:v>302.66000000000003</c:v>
                </c:pt>
                <c:pt idx="195">
                  <c:v>301.27</c:v>
                </c:pt>
                <c:pt idx="196">
                  <c:v>311.85000000000002</c:v>
                </c:pt>
                <c:pt idx="197">
                  <c:v>310.87</c:v>
                </c:pt>
                <c:pt idx="198">
                  <c:v>314.60000000000002</c:v>
                </c:pt>
                <c:pt idx="199">
                  <c:v>314.60000000000002</c:v>
                </c:pt>
                <c:pt idx="200">
                  <c:v>314.60000000000002</c:v>
                </c:pt>
                <c:pt idx="201">
                  <c:v>315.8</c:v>
                </c:pt>
                <c:pt idx="202">
                  <c:v>318.82</c:v>
                </c:pt>
                <c:pt idx="203">
                  <c:v>319.77999999999997</c:v>
                </c:pt>
                <c:pt idx="204">
                  <c:v>320.55</c:v>
                </c:pt>
                <c:pt idx="205">
                  <c:v>328.77</c:v>
                </c:pt>
                <c:pt idx="206">
                  <c:v>328.77</c:v>
                </c:pt>
                <c:pt idx="207">
                  <c:v>328.77</c:v>
                </c:pt>
                <c:pt idx="208">
                  <c:v>329.19</c:v>
                </c:pt>
                <c:pt idx="209">
                  <c:v>336.31</c:v>
                </c:pt>
                <c:pt idx="210">
                  <c:v>332.71</c:v>
                </c:pt>
                <c:pt idx="211">
                  <c:v>334.19</c:v>
                </c:pt>
                <c:pt idx="212">
                  <c:v>335.04</c:v>
                </c:pt>
                <c:pt idx="213">
                  <c:v>335.04</c:v>
                </c:pt>
                <c:pt idx="214">
                  <c:v>335.04</c:v>
                </c:pt>
                <c:pt idx="215">
                  <c:v>339.97</c:v>
                </c:pt>
                <c:pt idx="216">
                  <c:v>336.98</c:v>
                </c:pt>
                <c:pt idx="217">
                  <c:v>341.49</c:v>
                </c:pt>
                <c:pt idx="218">
                  <c:v>341.49</c:v>
                </c:pt>
                <c:pt idx="219">
                  <c:v>338.23</c:v>
                </c:pt>
                <c:pt idx="220">
                  <c:v>338.23</c:v>
                </c:pt>
                <c:pt idx="221">
                  <c:v>338.23</c:v>
                </c:pt>
                <c:pt idx="222">
                  <c:v>334.7</c:v>
                </c:pt>
                <c:pt idx="223">
                  <c:v>338.99</c:v>
                </c:pt>
                <c:pt idx="224">
                  <c:v>332.2</c:v>
                </c:pt>
                <c:pt idx="225">
                  <c:v>327.14999999999998</c:v>
                </c:pt>
                <c:pt idx="226">
                  <c:v>324.82</c:v>
                </c:pt>
                <c:pt idx="227">
                  <c:v>324.82</c:v>
                </c:pt>
                <c:pt idx="228">
                  <c:v>324.82</c:v>
                </c:pt>
                <c:pt idx="229">
                  <c:v>320.02</c:v>
                </c:pt>
                <c:pt idx="230">
                  <c:v>318.29000000000002</c:v>
                </c:pt>
                <c:pt idx="231">
                  <c:v>317.45</c:v>
                </c:pt>
                <c:pt idx="232">
                  <c:v>326.58999999999997</c:v>
                </c:pt>
                <c:pt idx="233">
                  <c:v>332.75</c:v>
                </c:pt>
                <c:pt idx="234">
                  <c:v>332.75</c:v>
                </c:pt>
                <c:pt idx="235">
                  <c:v>332.75</c:v>
                </c:pt>
                <c:pt idx="236">
                  <c:v>325.27999999999997</c:v>
                </c:pt>
                <c:pt idx="237">
                  <c:v>334.22</c:v>
                </c:pt>
                <c:pt idx="238">
                  <c:v>334.74</c:v>
                </c:pt>
                <c:pt idx="239">
                  <c:v>333.17</c:v>
                </c:pt>
                <c:pt idx="240">
                  <c:v>334.92</c:v>
                </c:pt>
                <c:pt idx="241">
                  <c:v>334.92</c:v>
                </c:pt>
                <c:pt idx="242">
                  <c:v>334.92</c:v>
                </c:pt>
                <c:pt idx="243">
                  <c:v>344.62</c:v>
                </c:pt>
                <c:pt idx="244">
                  <c:v>350.36</c:v>
                </c:pt>
                <c:pt idx="245">
                  <c:v>349.28</c:v>
                </c:pt>
                <c:pt idx="246">
                  <c:v>354.09</c:v>
                </c:pt>
                <c:pt idx="247">
                  <c:v>353.39</c:v>
                </c:pt>
                <c:pt idx="248">
                  <c:v>353.39</c:v>
                </c:pt>
                <c:pt idx="249">
                  <c:v>353.39</c:v>
                </c:pt>
                <c:pt idx="250">
                  <c:v>353.39</c:v>
                </c:pt>
                <c:pt idx="251">
                  <c:v>354.83</c:v>
                </c:pt>
                <c:pt idx="252">
                  <c:v>357.83</c:v>
                </c:pt>
                <c:pt idx="253">
                  <c:v>358.32</c:v>
                </c:pt>
                <c:pt idx="254">
                  <c:v>353.96</c:v>
                </c:pt>
                <c:pt idx="255">
                  <c:v>353.96</c:v>
                </c:pt>
                <c:pt idx="256">
                  <c:v>353.96</c:v>
                </c:pt>
                <c:pt idx="257">
                  <c:v>353.96</c:v>
                </c:pt>
                <c:pt idx="258">
                  <c:v>346.29</c:v>
                </c:pt>
                <c:pt idx="259">
                  <c:v>344.47</c:v>
                </c:pt>
                <c:pt idx="260">
                  <c:v>347.12</c:v>
                </c:pt>
                <c:pt idx="261">
                  <c:v>351.95</c:v>
                </c:pt>
                <c:pt idx="262">
                  <c:v>351.95</c:v>
                </c:pt>
                <c:pt idx="263">
                  <c:v>351.95</c:v>
                </c:pt>
                <c:pt idx="264">
                  <c:v>358.66</c:v>
                </c:pt>
                <c:pt idx="265">
                  <c:v>357.43</c:v>
                </c:pt>
                <c:pt idx="266">
                  <c:v>370.47</c:v>
                </c:pt>
                <c:pt idx="267">
                  <c:v>369.67</c:v>
                </c:pt>
                <c:pt idx="268">
                  <c:v>374.49</c:v>
                </c:pt>
                <c:pt idx="269">
                  <c:v>374.49</c:v>
                </c:pt>
                <c:pt idx="270">
                  <c:v>374.49</c:v>
                </c:pt>
                <c:pt idx="271">
                  <c:v>374.49</c:v>
                </c:pt>
                <c:pt idx="272">
                  <c:v>367.46</c:v>
                </c:pt>
                <c:pt idx="273">
                  <c:v>368.37</c:v>
                </c:pt>
                <c:pt idx="274">
                  <c:v>376.13</c:v>
                </c:pt>
                <c:pt idx="275">
                  <c:v>383.45</c:v>
                </c:pt>
                <c:pt idx="276">
                  <c:v>383.45</c:v>
                </c:pt>
                <c:pt idx="277">
                  <c:v>383.45</c:v>
                </c:pt>
                <c:pt idx="278">
                  <c:v>381.78</c:v>
                </c:pt>
                <c:pt idx="279">
                  <c:v>385.2</c:v>
                </c:pt>
                <c:pt idx="280">
                  <c:v>390.7</c:v>
                </c:pt>
                <c:pt idx="281">
                  <c:v>393.18</c:v>
                </c:pt>
                <c:pt idx="282">
                  <c:v>394.14</c:v>
                </c:pt>
                <c:pt idx="283">
                  <c:v>394.14</c:v>
                </c:pt>
                <c:pt idx="284">
                  <c:v>394.14</c:v>
                </c:pt>
                <c:pt idx="285">
                  <c:v>401.02</c:v>
                </c:pt>
                <c:pt idx="286">
                  <c:v>400.06</c:v>
                </c:pt>
                <c:pt idx="287">
                  <c:v>390.14</c:v>
                </c:pt>
                <c:pt idx="288">
                  <c:v>394.78</c:v>
                </c:pt>
                <c:pt idx="289">
                  <c:v>474.99</c:v>
                </c:pt>
                <c:pt idx="290">
                  <c:v>474.99</c:v>
                </c:pt>
                <c:pt idx="291">
                  <c:v>474.99</c:v>
                </c:pt>
                <c:pt idx="292">
                  <c:v>459.41</c:v>
                </c:pt>
                <c:pt idx="293">
                  <c:v>454.72</c:v>
                </c:pt>
                <c:pt idx="294">
                  <c:v>469.59</c:v>
                </c:pt>
                <c:pt idx="295">
                  <c:v>470</c:v>
                </c:pt>
                <c:pt idx="296">
                  <c:v>468.11</c:v>
                </c:pt>
                <c:pt idx="297">
                  <c:v>468.11</c:v>
                </c:pt>
                <c:pt idx="298">
                  <c:v>468.11</c:v>
                </c:pt>
                <c:pt idx="299">
                  <c:v>468.9</c:v>
                </c:pt>
                <c:pt idx="300">
                  <c:v>460.12</c:v>
                </c:pt>
                <c:pt idx="301">
                  <c:v>473.28</c:v>
                </c:pt>
                <c:pt idx="302">
                  <c:v>484.03</c:v>
                </c:pt>
                <c:pt idx="303">
                  <c:v>473.32</c:v>
                </c:pt>
                <c:pt idx="304">
                  <c:v>473.32</c:v>
                </c:pt>
                <c:pt idx="305">
                  <c:v>473.32</c:v>
                </c:pt>
                <c:pt idx="306">
                  <c:v>473.32</c:v>
                </c:pt>
                <c:pt idx="307">
                  <c:v>471.75</c:v>
                </c:pt>
                <c:pt idx="308">
                  <c:v>468.03</c:v>
                </c:pt>
                <c:pt idx="309">
                  <c:v>486.13</c:v>
                </c:pt>
                <c:pt idx="310">
                  <c:v>484.03</c:v>
                </c:pt>
                <c:pt idx="311">
                  <c:v>484.03</c:v>
                </c:pt>
                <c:pt idx="312">
                  <c:v>484.03</c:v>
                </c:pt>
                <c:pt idx="313">
                  <c:v>481.74</c:v>
                </c:pt>
                <c:pt idx="314">
                  <c:v>487.05</c:v>
                </c:pt>
                <c:pt idx="315">
                  <c:v>484.02</c:v>
                </c:pt>
                <c:pt idx="316">
                  <c:v>490.13</c:v>
                </c:pt>
                <c:pt idx="317">
                  <c:v>502.3</c:v>
                </c:pt>
                <c:pt idx="318">
                  <c:v>502.3</c:v>
                </c:pt>
                <c:pt idx="319">
                  <c:v>502.3</c:v>
                </c:pt>
                <c:pt idx="320">
                  <c:v>498.19</c:v>
                </c:pt>
                <c:pt idx="321">
                  <c:v>490.22</c:v>
                </c:pt>
                <c:pt idx="322">
                  <c:v>496.09</c:v>
                </c:pt>
                <c:pt idx="323">
                  <c:v>512.19000000000005</c:v>
                </c:pt>
                <c:pt idx="324">
                  <c:v>505.95</c:v>
                </c:pt>
                <c:pt idx="325">
                  <c:v>505.95</c:v>
                </c:pt>
                <c:pt idx="326">
                  <c:v>505.95</c:v>
                </c:pt>
                <c:pt idx="327">
                  <c:v>483.59</c:v>
                </c:pt>
                <c:pt idx="328">
                  <c:v>499.75</c:v>
                </c:pt>
                <c:pt idx="329">
                  <c:v>495.57</c:v>
                </c:pt>
                <c:pt idx="330">
                  <c:v>491.83</c:v>
                </c:pt>
                <c:pt idx="331">
                  <c:v>484.1</c:v>
                </c:pt>
                <c:pt idx="332">
                  <c:v>484.1</c:v>
                </c:pt>
                <c:pt idx="333">
                  <c:v>484.1</c:v>
                </c:pt>
                <c:pt idx="334">
                  <c:v>496.98</c:v>
                </c:pt>
                <c:pt idx="335">
                  <c:v>496.24</c:v>
                </c:pt>
                <c:pt idx="336">
                  <c:v>505.52</c:v>
                </c:pt>
                <c:pt idx="337">
                  <c:v>507.76</c:v>
                </c:pt>
                <c:pt idx="338">
                  <c:v>509.58</c:v>
                </c:pt>
                <c:pt idx="339">
                  <c:v>509.58</c:v>
                </c:pt>
                <c:pt idx="340">
                  <c:v>509.58</c:v>
                </c:pt>
                <c:pt idx="341">
                  <c:v>503.02</c:v>
                </c:pt>
                <c:pt idx="342">
                  <c:v>495.89</c:v>
                </c:pt>
                <c:pt idx="343">
                  <c:v>493.86</c:v>
                </c:pt>
                <c:pt idx="344">
                  <c:v>485.58</c:v>
                </c:pt>
                <c:pt idx="345">
                  <c:v>485.58</c:v>
                </c:pt>
                <c:pt idx="346">
                  <c:v>485.58</c:v>
                </c:pt>
                <c:pt idx="347">
                  <c:v>485.58</c:v>
                </c:pt>
                <c:pt idx="348">
                  <c:v>491.35</c:v>
                </c:pt>
                <c:pt idx="349">
                  <c:v>497.37</c:v>
                </c:pt>
                <c:pt idx="350">
                  <c:v>506.74</c:v>
                </c:pt>
                <c:pt idx="351">
                  <c:v>510.92</c:v>
                </c:pt>
                <c:pt idx="352">
                  <c:v>527.34</c:v>
                </c:pt>
                <c:pt idx="353">
                  <c:v>527.34</c:v>
                </c:pt>
                <c:pt idx="354">
                  <c:v>527.34</c:v>
                </c:pt>
                <c:pt idx="355">
                  <c:v>519.25</c:v>
                </c:pt>
                <c:pt idx="356">
                  <c:v>516.9</c:v>
                </c:pt>
                <c:pt idx="357">
                  <c:v>519.83000000000004</c:v>
                </c:pt>
                <c:pt idx="358">
                  <c:v>523.16</c:v>
                </c:pt>
                <c:pt idx="359">
                  <c:v>511.9</c:v>
                </c:pt>
                <c:pt idx="360">
                  <c:v>511.9</c:v>
                </c:pt>
                <c:pt idx="361">
                  <c:v>511.9</c:v>
                </c:pt>
                <c:pt idx="362">
                  <c:v>500.23</c:v>
                </c:pt>
                <c:pt idx="363">
                  <c:v>499.76</c:v>
                </c:pt>
                <c:pt idx="364">
                  <c:v>494.17</c:v>
                </c:pt>
                <c:pt idx="365">
                  <c:v>501.8</c:v>
                </c:pt>
                <c:pt idx="366">
                  <c:v>481.07</c:v>
                </c:pt>
                <c:pt idx="367">
                  <c:v>481.07</c:v>
                </c:pt>
                <c:pt idx="368">
                  <c:v>481.07</c:v>
                </c:pt>
                <c:pt idx="369">
                  <c:v>481.73</c:v>
                </c:pt>
                <c:pt idx="370">
                  <c:v>496.1</c:v>
                </c:pt>
                <c:pt idx="371">
                  <c:v>493.5</c:v>
                </c:pt>
                <c:pt idx="372">
                  <c:v>441.38</c:v>
                </c:pt>
                <c:pt idx="373">
                  <c:v>443.29</c:v>
                </c:pt>
                <c:pt idx="374">
                  <c:v>443.29</c:v>
                </c:pt>
                <c:pt idx="375">
                  <c:v>443.29</c:v>
                </c:pt>
                <c:pt idx="376">
                  <c:v>432.62</c:v>
                </c:pt>
                <c:pt idx="377">
                  <c:v>430.17</c:v>
                </c:pt>
                <c:pt idx="378">
                  <c:v>439.19</c:v>
                </c:pt>
                <c:pt idx="379">
                  <c:v>441.68</c:v>
                </c:pt>
                <c:pt idx="380">
                  <c:v>451.96</c:v>
                </c:pt>
                <c:pt idx="381">
                  <c:v>451.96</c:v>
                </c:pt>
                <c:pt idx="382">
                  <c:v>451.96</c:v>
                </c:pt>
                <c:pt idx="383">
                  <c:v>465.68</c:v>
                </c:pt>
                <c:pt idx="384">
                  <c:v>468.24</c:v>
                </c:pt>
                <c:pt idx="385">
                  <c:v>472.6</c:v>
                </c:pt>
                <c:pt idx="386">
                  <c:v>475.42</c:v>
                </c:pt>
                <c:pt idx="387">
                  <c:v>476.2</c:v>
                </c:pt>
                <c:pt idx="388">
                  <c:v>476.2</c:v>
                </c:pt>
                <c:pt idx="389">
                  <c:v>476.2</c:v>
                </c:pt>
                <c:pt idx="390">
                  <c:v>468.01</c:v>
                </c:pt>
                <c:pt idx="391">
                  <c:v>471.85</c:v>
                </c:pt>
                <c:pt idx="392">
                  <c:v>481.54</c:v>
                </c:pt>
                <c:pt idx="393">
                  <c:v>473.23</c:v>
                </c:pt>
                <c:pt idx="394">
                  <c:v>471.91</c:v>
                </c:pt>
                <c:pt idx="395">
                  <c:v>471.91</c:v>
                </c:pt>
                <c:pt idx="396">
                  <c:v>471.91</c:v>
                </c:pt>
                <c:pt idx="397">
                  <c:v>468.84</c:v>
                </c:pt>
                <c:pt idx="398">
                  <c:v>464.63</c:v>
                </c:pt>
                <c:pt idx="399">
                  <c:v>467.78</c:v>
                </c:pt>
                <c:pt idx="400">
                  <c:v>465.78</c:v>
                </c:pt>
                <c:pt idx="401">
                  <c:v>478.22</c:v>
                </c:pt>
                <c:pt idx="402">
                  <c:v>478.22</c:v>
                </c:pt>
                <c:pt idx="403">
                  <c:v>478.22</c:v>
                </c:pt>
                <c:pt idx="404">
                  <c:v>478.22</c:v>
                </c:pt>
                <c:pt idx="405">
                  <c:v>479.92</c:v>
                </c:pt>
                <c:pt idx="406">
                  <c:v>474.36</c:v>
                </c:pt>
                <c:pt idx="407">
                  <c:v>467.05</c:v>
                </c:pt>
                <c:pt idx="408">
                  <c:v>466.83</c:v>
                </c:pt>
                <c:pt idx="409">
                  <c:v>466.83</c:v>
                </c:pt>
                <c:pt idx="410">
                  <c:v>466.83</c:v>
                </c:pt>
                <c:pt idx="411">
                  <c:v>477.49</c:v>
                </c:pt>
                <c:pt idx="412">
                  <c:v>476.99</c:v>
                </c:pt>
                <c:pt idx="413">
                  <c:v>495.06</c:v>
                </c:pt>
                <c:pt idx="414">
                  <c:v>493.76</c:v>
                </c:pt>
                <c:pt idx="415">
                  <c:v>492.96</c:v>
                </c:pt>
                <c:pt idx="416">
                  <c:v>492.96</c:v>
                </c:pt>
                <c:pt idx="417">
                  <c:v>492.96</c:v>
                </c:pt>
                <c:pt idx="418">
                  <c:v>502.6</c:v>
                </c:pt>
                <c:pt idx="419">
                  <c:v>507.47</c:v>
                </c:pt>
                <c:pt idx="420">
                  <c:v>508.84</c:v>
                </c:pt>
                <c:pt idx="421">
                  <c:v>504.1</c:v>
                </c:pt>
                <c:pt idx="422">
                  <c:v>504.16</c:v>
                </c:pt>
                <c:pt idx="423">
                  <c:v>504.16</c:v>
                </c:pt>
                <c:pt idx="424">
                  <c:v>504.16</c:v>
                </c:pt>
                <c:pt idx="425">
                  <c:v>506.63</c:v>
                </c:pt>
                <c:pt idx="426">
                  <c:v>499.49</c:v>
                </c:pt>
                <c:pt idx="427">
                  <c:v>499.49</c:v>
                </c:pt>
                <c:pt idx="428">
                  <c:v>501.7</c:v>
                </c:pt>
                <c:pt idx="429">
                  <c:v>494.78</c:v>
                </c:pt>
                <c:pt idx="430">
                  <c:v>494.78</c:v>
                </c:pt>
                <c:pt idx="431">
                  <c:v>494.78</c:v>
                </c:pt>
                <c:pt idx="432">
                  <c:v>498.91</c:v>
                </c:pt>
                <c:pt idx="433">
                  <c:v>510.6</c:v>
                </c:pt>
                <c:pt idx="434">
                  <c:v>513.12</c:v>
                </c:pt>
                <c:pt idx="435">
                  <c:v>519.55999999999995</c:v>
                </c:pt>
                <c:pt idx="436">
                  <c:v>504.22</c:v>
                </c:pt>
                <c:pt idx="437">
                  <c:v>504.22</c:v>
                </c:pt>
                <c:pt idx="438">
                  <c:v>504.22</c:v>
                </c:pt>
                <c:pt idx="439">
                  <c:v>504.68</c:v>
                </c:pt>
                <c:pt idx="440">
                  <c:v>509.5</c:v>
                </c:pt>
                <c:pt idx="441">
                  <c:v>509.96</c:v>
                </c:pt>
                <c:pt idx="442">
                  <c:v>509.96</c:v>
                </c:pt>
                <c:pt idx="443">
                  <c:v>539.91</c:v>
                </c:pt>
                <c:pt idx="444">
                  <c:v>539.91</c:v>
                </c:pt>
                <c:pt idx="445">
                  <c:v>539.91</c:v>
                </c:pt>
                <c:pt idx="446">
                  <c:v>529.32000000000005</c:v>
                </c:pt>
                <c:pt idx="447">
                  <c:v>530</c:v>
                </c:pt>
                <c:pt idx="448">
                  <c:v>534.69000000000005</c:v>
                </c:pt>
                <c:pt idx="449">
                  <c:v>512.70000000000005</c:v>
                </c:pt>
                <c:pt idx="450">
                  <c:v>498.87</c:v>
                </c:pt>
                <c:pt idx="451">
                  <c:v>498.87</c:v>
                </c:pt>
                <c:pt idx="452">
                  <c:v>498.87</c:v>
                </c:pt>
                <c:pt idx="453">
                  <c:v>496.16</c:v>
                </c:pt>
                <c:pt idx="454">
                  <c:v>489.79</c:v>
                </c:pt>
                <c:pt idx="455">
                  <c:v>461.99</c:v>
                </c:pt>
                <c:pt idx="456">
                  <c:v>475.85</c:v>
                </c:pt>
                <c:pt idx="457">
                  <c:v>476.79</c:v>
                </c:pt>
                <c:pt idx="458">
                  <c:v>476.79</c:v>
                </c:pt>
                <c:pt idx="459">
                  <c:v>476.79</c:v>
                </c:pt>
                <c:pt idx="460">
                  <c:v>487.4</c:v>
                </c:pt>
                <c:pt idx="461">
                  <c:v>488.69</c:v>
                </c:pt>
                <c:pt idx="462">
                  <c:v>461.27</c:v>
                </c:pt>
                <c:pt idx="463">
                  <c:v>453.41</c:v>
                </c:pt>
                <c:pt idx="464">
                  <c:v>465.7</c:v>
                </c:pt>
                <c:pt idx="465">
                  <c:v>465.7</c:v>
                </c:pt>
                <c:pt idx="466">
                  <c:v>465.7</c:v>
                </c:pt>
                <c:pt idx="467">
                  <c:v>465.71</c:v>
                </c:pt>
                <c:pt idx="468">
                  <c:v>463.19</c:v>
                </c:pt>
                <c:pt idx="469">
                  <c:v>474.83</c:v>
                </c:pt>
                <c:pt idx="470">
                  <c:v>497.74</c:v>
                </c:pt>
                <c:pt idx="471">
                  <c:v>488.14</c:v>
                </c:pt>
                <c:pt idx="472">
                  <c:v>488.14</c:v>
                </c:pt>
                <c:pt idx="473">
                  <c:v>488.14</c:v>
                </c:pt>
                <c:pt idx="474">
                  <c:v>475.73</c:v>
                </c:pt>
                <c:pt idx="475">
                  <c:v>494.09</c:v>
                </c:pt>
                <c:pt idx="476">
                  <c:v>488.92</c:v>
                </c:pt>
                <c:pt idx="477">
                  <c:v>509.63</c:v>
                </c:pt>
                <c:pt idx="478">
                  <c:v>517.77</c:v>
                </c:pt>
                <c:pt idx="479">
                  <c:v>517.77</c:v>
                </c:pt>
                <c:pt idx="480">
                  <c:v>517.77</c:v>
                </c:pt>
                <c:pt idx="481">
                  <c:v>515.95000000000005</c:v>
                </c:pt>
                <c:pt idx="482">
                  <c:v>528.54</c:v>
                </c:pt>
                <c:pt idx="483">
                  <c:v>526.76</c:v>
                </c:pt>
                <c:pt idx="484">
                  <c:v>537.33000000000004</c:v>
                </c:pt>
                <c:pt idx="485">
                  <c:v>527.41999999999996</c:v>
                </c:pt>
                <c:pt idx="486">
                  <c:v>527.41999999999996</c:v>
                </c:pt>
                <c:pt idx="487">
                  <c:v>527.41999999999996</c:v>
                </c:pt>
                <c:pt idx="488">
                  <c:v>529.28</c:v>
                </c:pt>
                <c:pt idx="489">
                  <c:v>526.73</c:v>
                </c:pt>
                <c:pt idx="490">
                  <c:v>535.16</c:v>
                </c:pt>
                <c:pt idx="491">
                  <c:v>531.92999999999995</c:v>
                </c:pt>
                <c:pt idx="492">
                  <c:v>528</c:v>
                </c:pt>
                <c:pt idx="493">
                  <c:v>528</c:v>
                </c:pt>
                <c:pt idx="494">
                  <c:v>528</c:v>
                </c:pt>
                <c:pt idx="495">
                  <c:v>521.12</c:v>
                </c:pt>
                <c:pt idx="496">
                  <c:v>519.1</c:v>
                </c:pt>
                <c:pt idx="497">
                  <c:v>516.78</c:v>
                </c:pt>
                <c:pt idx="498">
                  <c:v>518.22</c:v>
                </c:pt>
                <c:pt idx="499">
                  <c:v>521.30999999999995</c:v>
                </c:pt>
                <c:pt idx="500">
                  <c:v>521.30999999999995</c:v>
                </c:pt>
                <c:pt idx="501">
                  <c:v>521.30999999999995</c:v>
                </c:pt>
                <c:pt idx="502">
                  <c:v>521.30999999999995</c:v>
                </c:pt>
                <c:pt idx="503">
                  <c:v>511.76</c:v>
                </c:pt>
                <c:pt idx="504">
                  <c:v>512.74</c:v>
                </c:pt>
                <c:pt idx="505">
                  <c:v>516.86</c:v>
                </c:pt>
                <c:pt idx="506">
                  <c:v>500.27</c:v>
                </c:pt>
                <c:pt idx="507">
                  <c:v>500.27</c:v>
                </c:pt>
                <c:pt idx="508">
                  <c:v>500.27</c:v>
                </c:pt>
                <c:pt idx="509">
                  <c:v>504.79</c:v>
                </c:pt>
                <c:pt idx="510">
                  <c:v>504.79</c:v>
                </c:pt>
                <c:pt idx="511">
                  <c:v>511.83</c:v>
                </c:pt>
                <c:pt idx="512">
                  <c:v>525.6</c:v>
                </c:pt>
                <c:pt idx="513">
                  <c:v>524.62</c:v>
                </c:pt>
                <c:pt idx="514">
                  <c:v>524.62</c:v>
                </c:pt>
                <c:pt idx="515">
                  <c:v>524.62</c:v>
                </c:pt>
                <c:pt idx="516">
                  <c:v>533.28</c:v>
                </c:pt>
                <c:pt idx="517">
                  <c:v>536.31500000000005</c:v>
                </c:pt>
                <c:pt idx="518">
                  <c:v>537.95000000000005</c:v>
                </c:pt>
                <c:pt idx="519">
                  <c:v>559.1</c:v>
                </c:pt>
                <c:pt idx="520">
                  <c:v>561.35</c:v>
                </c:pt>
                <c:pt idx="521">
                  <c:v>561.35</c:v>
                </c:pt>
                <c:pt idx="522">
                  <c:v>561.35</c:v>
                </c:pt>
                <c:pt idx="523">
                  <c:v>564.41</c:v>
                </c:pt>
                <c:pt idx="524">
                  <c:v>563.33000000000004</c:v>
                </c:pt>
                <c:pt idx="525">
                  <c:v>568.30999999999995</c:v>
                </c:pt>
                <c:pt idx="526">
                  <c:v>567.84</c:v>
                </c:pt>
                <c:pt idx="527">
                  <c:v>567.36</c:v>
                </c:pt>
                <c:pt idx="528">
                  <c:v>567.36</c:v>
                </c:pt>
                <c:pt idx="529">
                  <c:v>567.36</c:v>
                </c:pt>
                <c:pt idx="530">
                  <c:v>572.44000000000005</c:v>
                </c:pt>
                <c:pt idx="531">
                  <c:v>576.47</c:v>
                </c:pt>
                <c:pt idx="532">
                  <c:v>572.80999999999995</c:v>
                </c:pt>
                <c:pt idx="533">
                  <c:v>582.77</c:v>
                </c:pt>
                <c:pt idx="534">
                  <c:v>595.94000000000005</c:v>
                </c:pt>
                <c:pt idx="535">
                  <c:v>595.94000000000005</c:v>
                </c:pt>
                <c:pt idx="536">
                  <c:v>595.94000000000005</c:v>
                </c:pt>
                <c:pt idx="537">
                  <c:v>584.78</c:v>
                </c:pt>
                <c:pt idx="538">
                  <c:v>592.89</c:v>
                </c:pt>
                <c:pt idx="539">
                  <c:v>590.51</c:v>
                </c:pt>
                <c:pt idx="540">
                  <c:v>583.83000000000004</c:v>
                </c:pt>
                <c:pt idx="541">
                  <c:v>589.95000000000005</c:v>
                </c:pt>
                <c:pt idx="542">
                  <c:v>589.95000000000005</c:v>
                </c:pt>
                <c:pt idx="543">
                  <c:v>589.95000000000005</c:v>
                </c:pt>
                <c:pt idx="544">
                  <c:v>590.41999999999996</c:v>
                </c:pt>
                <c:pt idx="545">
                  <c:v>586.27</c:v>
                </c:pt>
                <c:pt idx="546">
                  <c:v>576.79</c:v>
                </c:pt>
                <c:pt idx="547">
                  <c:v>576.92999999999995</c:v>
                </c:pt>
                <c:pt idx="548">
                  <c:v>576.47</c:v>
                </c:pt>
                <c:pt idx="549">
                  <c:v>576.47</c:v>
                </c:pt>
                <c:pt idx="550">
                  <c:v>576.47</c:v>
                </c:pt>
                <c:pt idx="551">
                  <c:v>575.16</c:v>
                </c:pt>
                <c:pt idx="552">
                  <c:v>582.01</c:v>
                </c:pt>
                <c:pt idx="553">
                  <c:v>563.69000000000005</c:v>
                </c:pt>
                <c:pt idx="554">
                  <c:v>567.78</c:v>
                </c:pt>
                <c:pt idx="555">
                  <c:v>573.25</c:v>
                </c:pt>
                <c:pt idx="556">
                  <c:v>573.25</c:v>
                </c:pt>
                <c:pt idx="557">
                  <c:v>573.25</c:v>
                </c:pt>
                <c:pt idx="558">
                  <c:v>578.16</c:v>
                </c:pt>
                <c:pt idx="559">
                  <c:v>593.28</c:v>
                </c:pt>
                <c:pt idx="560">
                  <c:v>591.79999999999995</c:v>
                </c:pt>
                <c:pt idx="561">
                  <c:v>567.58000000000004</c:v>
                </c:pt>
                <c:pt idx="562">
                  <c:v>567.16</c:v>
                </c:pt>
                <c:pt idx="563">
                  <c:v>567.16</c:v>
                </c:pt>
                <c:pt idx="564">
                  <c:v>567.16</c:v>
                </c:pt>
                <c:pt idx="565">
                  <c:v>560.67999999999995</c:v>
                </c:pt>
                <c:pt idx="566">
                  <c:v>572.42999999999995</c:v>
                </c:pt>
                <c:pt idx="567">
                  <c:v>572.04999999999995</c:v>
                </c:pt>
                <c:pt idx="568">
                  <c:v>591.70000000000005</c:v>
                </c:pt>
                <c:pt idx="569">
                  <c:v>589.34</c:v>
                </c:pt>
                <c:pt idx="570">
                  <c:v>589.34</c:v>
                </c:pt>
                <c:pt idx="571">
                  <c:v>589.34</c:v>
                </c:pt>
                <c:pt idx="572">
                  <c:v>583.16999999999996</c:v>
                </c:pt>
                <c:pt idx="573">
                  <c:v>584.82000000000005</c:v>
                </c:pt>
                <c:pt idx="574">
                  <c:v>580</c:v>
                </c:pt>
                <c:pt idx="575">
                  <c:v>577.16</c:v>
                </c:pt>
                <c:pt idx="576">
                  <c:v>554.08000000000004</c:v>
                </c:pt>
                <c:pt idx="577">
                  <c:v>554.08000000000004</c:v>
                </c:pt>
                <c:pt idx="578">
                  <c:v>554.08000000000004</c:v>
                </c:pt>
                <c:pt idx="579">
                  <c:v>554.4</c:v>
                </c:pt>
                <c:pt idx="580">
                  <c:v>561.09</c:v>
                </c:pt>
                <c:pt idx="581">
                  <c:v>565.52</c:v>
                </c:pt>
                <c:pt idx="582">
                  <c:v>563.09</c:v>
                </c:pt>
                <c:pt idx="583">
                  <c:v>559.14</c:v>
                </c:pt>
                <c:pt idx="584">
                  <c:v>559.14</c:v>
                </c:pt>
                <c:pt idx="585">
                  <c:v>559.14</c:v>
                </c:pt>
                <c:pt idx="586">
                  <c:v>565.11</c:v>
                </c:pt>
                <c:pt idx="587">
                  <c:v>573.54</c:v>
                </c:pt>
                <c:pt idx="588">
                  <c:v>569.20000000000005</c:v>
                </c:pt>
                <c:pt idx="589">
                  <c:v>569.20000000000005</c:v>
                </c:pt>
                <c:pt idx="590">
                  <c:v>574.32000000000005</c:v>
                </c:pt>
                <c:pt idx="591">
                  <c:v>574.32000000000005</c:v>
                </c:pt>
                <c:pt idx="592">
                  <c:v>574.32000000000005</c:v>
                </c:pt>
                <c:pt idx="593">
                  <c:v>592.83000000000004</c:v>
                </c:pt>
                <c:pt idx="594">
                  <c:v>613.65</c:v>
                </c:pt>
                <c:pt idx="595">
                  <c:v>613.78</c:v>
                </c:pt>
                <c:pt idx="596">
                  <c:v>608.92999999999995</c:v>
                </c:pt>
                <c:pt idx="597">
                  <c:v>623.77</c:v>
                </c:pt>
                <c:pt idx="598">
                  <c:v>623.77</c:v>
                </c:pt>
                <c:pt idx="599">
                  <c:v>623.77</c:v>
                </c:pt>
                <c:pt idx="600">
                  <c:v>613.57000000000005</c:v>
                </c:pt>
                <c:pt idx="601">
                  <c:v>619.32000000000005</c:v>
                </c:pt>
                <c:pt idx="602">
                  <c:v>632.67999999999995</c:v>
                </c:pt>
                <c:pt idx="603">
                  <c:v>630.79</c:v>
                </c:pt>
                <c:pt idx="604">
                  <c:v>620.35</c:v>
                </c:pt>
                <c:pt idx="605">
                  <c:v>620.35</c:v>
                </c:pt>
                <c:pt idx="606">
                  <c:v>620.35</c:v>
                </c:pt>
                <c:pt idx="607">
                  <c:v>624.24</c:v>
                </c:pt>
                <c:pt idx="608">
                  <c:v>619.44000000000005</c:v>
                </c:pt>
                <c:pt idx="609">
                  <c:v>597.19000000000005</c:v>
                </c:pt>
                <c:pt idx="610">
                  <c:v>595.57000000000005</c:v>
                </c:pt>
                <c:pt idx="611">
                  <c:v>585.25</c:v>
                </c:pt>
                <c:pt idx="612">
                  <c:v>585.25</c:v>
                </c:pt>
                <c:pt idx="613">
                  <c:v>585.25</c:v>
                </c:pt>
                <c:pt idx="614">
                  <c:v>599.85</c:v>
                </c:pt>
                <c:pt idx="615">
                  <c:v>607.75</c:v>
                </c:pt>
                <c:pt idx="616">
                  <c:v>607.75</c:v>
                </c:pt>
                <c:pt idx="617">
                  <c:v>603.35</c:v>
                </c:pt>
                <c:pt idx="618">
                  <c:v>599.80999999999995</c:v>
                </c:pt>
                <c:pt idx="619">
                  <c:v>599.80999999999995</c:v>
                </c:pt>
                <c:pt idx="620">
                  <c:v>599.80999999999995</c:v>
                </c:pt>
                <c:pt idx="621">
                  <c:v>591.24</c:v>
                </c:pt>
                <c:pt idx="622">
                  <c:v>585.51</c:v>
                </c:pt>
                <c:pt idx="623">
                  <c:v>585.51</c:v>
                </c:pt>
                <c:pt idx="624">
                  <c:v>599.24</c:v>
                </c:pt>
                <c:pt idx="625">
                  <c:v>604.63</c:v>
                </c:pt>
                <c:pt idx="626">
                  <c:v>604.63</c:v>
                </c:pt>
                <c:pt idx="627">
                  <c:v>604.63</c:v>
                </c:pt>
                <c:pt idx="628">
                  <c:v>630.20000000000005</c:v>
                </c:pt>
                <c:pt idx="629">
                  <c:v>617.89</c:v>
                </c:pt>
                <c:pt idx="630">
                  <c:v>610.72</c:v>
                </c:pt>
                <c:pt idx="631">
                  <c:v>610.72</c:v>
                </c:pt>
                <c:pt idx="632">
                  <c:v>615.86</c:v>
                </c:pt>
                <c:pt idx="633">
                  <c:v>615.86</c:v>
                </c:pt>
                <c:pt idx="634">
                  <c:v>615.86</c:v>
                </c:pt>
                <c:pt idx="635">
                  <c:v>608.33000000000004</c:v>
                </c:pt>
                <c:pt idx="636">
                  <c:v>594.25</c:v>
                </c:pt>
                <c:pt idx="637">
                  <c:v>617.12</c:v>
                </c:pt>
                <c:pt idx="638">
                  <c:v>611.29999999999995</c:v>
                </c:pt>
                <c:pt idx="639">
                  <c:v>612.77</c:v>
                </c:pt>
                <c:pt idx="640">
                  <c:v>612.77</c:v>
                </c:pt>
                <c:pt idx="641">
                  <c:v>612.77</c:v>
                </c:pt>
                <c:pt idx="642">
                  <c:v>612.77</c:v>
                </c:pt>
                <c:pt idx="643">
                  <c:v>616.46</c:v>
                </c:pt>
                <c:pt idx="644">
                  <c:v>623.5</c:v>
                </c:pt>
                <c:pt idx="645">
                  <c:v>636.45000000000005</c:v>
                </c:pt>
                <c:pt idx="646">
                  <c:v>647.49</c:v>
                </c:pt>
                <c:pt idx="647">
                  <c:v>647.49</c:v>
                </c:pt>
                <c:pt idx="648">
                  <c:v>647.49</c:v>
                </c:pt>
                <c:pt idx="649">
                  <c:v>659.88</c:v>
                </c:pt>
                <c:pt idx="650">
                  <c:v>674.33</c:v>
                </c:pt>
                <c:pt idx="651">
                  <c:v>676.49</c:v>
                </c:pt>
                <c:pt idx="652">
                  <c:v>687</c:v>
                </c:pt>
                <c:pt idx="653">
                  <c:v>689.18</c:v>
                </c:pt>
                <c:pt idx="654">
                  <c:v>689.18</c:v>
                </c:pt>
                <c:pt idx="655">
                  <c:v>689.18</c:v>
                </c:pt>
                <c:pt idx="656">
                  <c:v>697.46</c:v>
                </c:pt>
                <c:pt idx="657">
                  <c:v>704.19</c:v>
                </c:pt>
                <c:pt idx="658">
                  <c:v>704.87</c:v>
                </c:pt>
                <c:pt idx="659">
                  <c:v>711.99</c:v>
                </c:pt>
                <c:pt idx="660">
                  <c:v>714.52</c:v>
                </c:pt>
                <c:pt idx="661">
                  <c:v>714.52</c:v>
                </c:pt>
                <c:pt idx="662">
                  <c:v>714.52</c:v>
                </c:pt>
                <c:pt idx="663">
                  <c:v>717.4</c:v>
                </c:pt>
                <c:pt idx="664">
                  <c:v>719.8</c:v>
                </c:pt>
                <c:pt idx="665">
                  <c:v>725.38</c:v>
                </c:pt>
                <c:pt idx="666">
                  <c:v>728.56</c:v>
                </c:pt>
                <c:pt idx="667">
                  <c:v>736.67</c:v>
                </c:pt>
                <c:pt idx="668">
                  <c:v>736.67</c:v>
                </c:pt>
                <c:pt idx="669">
                  <c:v>736.67</c:v>
                </c:pt>
                <c:pt idx="670">
                  <c:v>736.67</c:v>
                </c:pt>
                <c:pt idx="671">
                  <c:v>716.37</c:v>
                </c:pt>
                <c:pt idx="672">
                  <c:v>703.77</c:v>
                </c:pt>
                <c:pt idx="673">
                  <c:v>694.84</c:v>
                </c:pt>
                <c:pt idx="674">
                  <c:v>683.55</c:v>
                </c:pt>
                <c:pt idx="675">
                  <c:v>683.55</c:v>
                </c:pt>
                <c:pt idx="676">
                  <c:v>683.55</c:v>
                </c:pt>
                <c:pt idx="677">
                  <c:v>668.13</c:v>
                </c:pt>
                <c:pt idx="678">
                  <c:v>657.5</c:v>
                </c:pt>
                <c:pt idx="679">
                  <c:v>673.7</c:v>
                </c:pt>
                <c:pt idx="680">
                  <c:v>658.24</c:v>
                </c:pt>
                <c:pt idx="681">
                  <c:v>668.2</c:v>
                </c:pt>
                <c:pt idx="682">
                  <c:v>668.2</c:v>
                </c:pt>
                <c:pt idx="683">
                  <c:v>668.2</c:v>
                </c:pt>
                <c:pt idx="684">
                  <c:v>655.04999999999995</c:v>
                </c:pt>
                <c:pt idx="685">
                  <c:v>640</c:v>
                </c:pt>
                <c:pt idx="686">
                  <c:v>656.47</c:v>
                </c:pt>
                <c:pt idx="687">
                  <c:v>627.92999999999995</c:v>
                </c:pt>
                <c:pt idx="688">
                  <c:v>625.66</c:v>
                </c:pt>
                <c:pt idx="689">
                  <c:v>625.66</c:v>
                </c:pt>
                <c:pt idx="690">
                  <c:v>625.66</c:v>
                </c:pt>
                <c:pt idx="691">
                  <c:v>597.99</c:v>
                </c:pt>
                <c:pt idx="692">
                  <c:v>605.71</c:v>
                </c:pt>
                <c:pt idx="693">
                  <c:v>619.55999999999995</c:v>
                </c:pt>
                <c:pt idx="694">
                  <c:v>590.64</c:v>
                </c:pt>
                <c:pt idx="695">
                  <c:v>607.6</c:v>
                </c:pt>
                <c:pt idx="696">
                  <c:v>607.6</c:v>
                </c:pt>
                <c:pt idx="697">
                  <c:v>607.6</c:v>
                </c:pt>
                <c:pt idx="698">
                  <c:v>604.9</c:v>
                </c:pt>
                <c:pt idx="699">
                  <c:v>582.36</c:v>
                </c:pt>
                <c:pt idx="700">
                  <c:v>584.05999999999995</c:v>
                </c:pt>
                <c:pt idx="701">
                  <c:v>586</c:v>
                </c:pt>
                <c:pt idx="702">
                  <c:v>596.25</c:v>
                </c:pt>
                <c:pt idx="703">
                  <c:v>596.25</c:v>
                </c:pt>
                <c:pt idx="704">
                  <c:v>596.25</c:v>
                </c:pt>
                <c:pt idx="705">
                  <c:v>618.85</c:v>
                </c:pt>
                <c:pt idx="706">
                  <c:v>626.30999999999995</c:v>
                </c:pt>
                <c:pt idx="707">
                  <c:v>610.98</c:v>
                </c:pt>
                <c:pt idx="708">
                  <c:v>602.58000000000004</c:v>
                </c:pt>
                <c:pt idx="709">
                  <c:v>576.74</c:v>
                </c:pt>
                <c:pt idx="710">
                  <c:v>576.74</c:v>
                </c:pt>
                <c:pt idx="711">
                  <c:v>576.74</c:v>
                </c:pt>
                <c:pt idx="712">
                  <c:v>576.36</c:v>
                </c:pt>
                <c:pt idx="713">
                  <c:v>586</c:v>
                </c:pt>
                <c:pt idx="714">
                  <c:v>583.92999999999995</c:v>
                </c:pt>
                <c:pt idx="715">
                  <c:v>531.62</c:v>
                </c:pt>
                <c:pt idx="716">
                  <c:v>504.73</c:v>
                </c:pt>
                <c:pt idx="717">
                  <c:v>504.73</c:v>
                </c:pt>
                <c:pt idx="718">
                  <c:v>504.73</c:v>
                </c:pt>
                <c:pt idx="719">
                  <c:v>516.25</c:v>
                </c:pt>
                <c:pt idx="720">
                  <c:v>510.45</c:v>
                </c:pt>
                <c:pt idx="721">
                  <c:v>585.77</c:v>
                </c:pt>
                <c:pt idx="722">
                  <c:v>546.29</c:v>
                </c:pt>
                <c:pt idx="723">
                  <c:v>543.57000000000005</c:v>
                </c:pt>
                <c:pt idx="724">
                  <c:v>543.57000000000005</c:v>
                </c:pt>
                <c:pt idx="725">
                  <c:v>543.57000000000005</c:v>
                </c:pt>
                <c:pt idx="726">
                  <c:v>531.48</c:v>
                </c:pt>
                <c:pt idx="727">
                  <c:v>521.52</c:v>
                </c:pt>
                <c:pt idx="728">
                  <c:v>502.31</c:v>
                </c:pt>
                <c:pt idx="729">
                  <c:v>501.48</c:v>
                </c:pt>
                <c:pt idx="730">
                  <c:v>501.48</c:v>
                </c:pt>
                <c:pt idx="731">
                  <c:v>501.48</c:v>
                </c:pt>
                <c:pt idx="732">
                  <c:v>501.48</c:v>
                </c:pt>
                <c:pt idx="733">
                  <c:v>484.66</c:v>
                </c:pt>
                <c:pt idx="734">
                  <c:v>500.28</c:v>
                </c:pt>
                <c:pt idx="735">
                  <c:v>520.27</c:v>
                </c:pt>
                <c:pt idx="736">
                  <c:v>533.15</c:v>
                </c:pt>
                <c:pt idx="737">
                  <c:v>547.27</c:v>
                </c:pt>
                <c:pt idx="738">
                  <c:v>547.27</c:v>
                </c:pt>
                <c:pt idx="739">
                  <c:v>547.27</c:v>
                </c:pt>
                <c:pt idx="740">
                  <c:v>549.74</c:v>
                </c:pt>
                <c:pt idx="741">
                  <c:v>554.44000000000005</c:v>
                </c:pt>
                <c:pt idx="742">
                  <c:v>549</c:v>
                </c:pt>
                <c:pt idx="743">
                  <c:v>572.21</c:v>
                </c:pt>
                <c:pt idx="744">
                  <c:v>597.02</c:v>
                </c:pt>
                <c:pt idx="745">
                  <c:v>597.02</c:v>
                </c:pt>
                <c:pt idx="746">
                  <c:v>597.02</c:v>
                </c:pt>
                <c:pt idx="747">
                  <c:v>599.27</c:v>
                </c:pt>
                <c:pt idx="748">
                  <c:v>587.30999999999995</c:v>
                </c:pt>
                <c:pt idx="749">
                  <c:v>596.80999999999995</c:v>
                </c:pt>
                <c:pt idx="750">
                  <c:v>598.01</c:v>
                </c:pt>
                <c:pt idx="751">
                  <c:v>592.49</c:v>
                </c:pt>
                <c:pt idx="752">
                  <c:v>592.49</c:v>
                </c:pt>
                <c:pt idx="753">
                  <c:v>592.49</c:v>
                </c:pt>
                <c:pt idx="754">
                  <c:v>639.42999999999995</c:v>
                </c:pt>
                <c:pt idx="755">
                  <c:v>656.03</c:v>
                </c:pt>
                <c:pt idx="756">
                  <c:v>659.36</c:v>
                </c:pt>
                <c:pt idx="757">
                  <c:v>643.88</c:v>
                </c:pt>
                <c:pt idx="758">
                  <c:v>640.34</c:v>
                </c:pt>
                <c:pt idx="759">
                  <c:v>640.34</c:v>
                </c:pt>
                <c:pt idx="760">
                  <c:v>640.34</c:v>
                </c:pt>
                <c:pt idx="761">
                  <c:v>640.42999999999995</c:v>
                </c:pt>
                <c:pt idx="762">
                  <c:v>637.1</c:v>
                </c:pt>
                <c:pt idx="763">
                  <c:v>635.5</c:v>
                </c:pt>
                <c:pt idx="764">
                  <c:v>636.57000000000005</c:v>
                </c:pt>
                <c:pt idx="765">
                  <c:v>627.05999999999995</c:v>
                </c:pt>
                <c:pt idx="766">
                  <c:v>627.05999999999995</c:v>
                </c:pt>
                <c:pt idx="767">
                  <c:v>627.05999999999995</c:v>
                </c:pt>
                <c:pt idx="768">
                  <c:v>627.05999999999995</c:v>
                </c:pt>
                <c:pt idx="769">
                  <c:v>642.32000000000005</c:v>
                </c:pt>
                <c:pt idx="770">
                  <c:v>643.58000000000004</c:v>
                </c:pt>
                <c:pt idx="771">
                  <c:v>645.04999999999995</c:v>
                </c:pt>
                <c:pt idx="772">
                  <c:v>647.49</c:v>
                </c:pt>
                <c:pt idx="773">
                  <c:v>647.49</c:v>
                </c:pt>
                <c:pt idx="774">
                  <c:v>647.49</c:v>
                </c:pt>
                <c:pt idx="775">
                  <c:v>670.9</c:v>
                </c:pt>
                <c:pt idx="776">
                  <c:v>666.85</c:v>
                </c:pt>
                <c:pt idx="777">
                  <c:v>687.95</c:v>
                </c:pt>
                <c:pt idx="778">
                  <c:v>684.62</c:v>
                </c:pt>
                <c:pt idx="779">
                  <c:v>697.71</c:v>
                </c:pt>
                <c:pt idx="780">
                  <c:v>697.71</c:v>
                </c:pt>
                <c:pt idx="781">
                  <c:v>697.71</c:v>
                </c:pt>
                <c:pt idx="782">
                  <c:v>694.06</c:v>
                </c:pt>
                <c:pt idx="783">
                  <c:v>702.4</c:v>
                </c:pt>
                <c:pt idx="784">
                  <c:v>694.14</c:v>
                </c:pt>
                <c:pt idx="785">
                  <c:v>693.36</c:v>
                </c:pt>
                <c:pt idx="786">
                  <c:v>682.87</c:v>
                </c:pt>
                <c:pt idx="787">
                  <c:v>682.87</c:v>
                </c:pt>
                <c:pt idx="788">
                  <c:v>682.87</c:v>
                </c:pt>
                <c:pt idx="789">
                  <c:v>702.12</c:v>
                </c:pt>
                <c:pt idx="790">
                  <c:v>697.23</c:v>
                </c:pt>
                <c:pt idx="791">
                  <c:v>695.77</c:v>
                </c:pt>
                <c:pt idx="792">
                  <c:v>695.77</c:v>
                </c:pt>
                <c:pt idx="793">
                  <c:v>682.35</c:v>
                </c:pt>
                <c:pt idx="794">
                  <c:v>682.35</c:v>
                </c:pt>
                <c:pt idx="795">
                  <c:v>682.35</c:v>
                </c:pt>
                <c:pt idx="796">
                  <c:v>698.53</c:v>
                </c:pt>
                <c:pt idx="797">
                  <c:v>712.2</c:v>
                </c:pt>
                <c:pt idx="798">
                  <c:v>708.68</c:v>
                </c:pt>
                <c:pt idx="799">
                  <c:v>726.09</c:v>
                </c:pt>
                <c:pt idx="800">
                  <c:v>733.63</c:v>
                </c:pt>
                <c:pt idx="801">
                  <c:v>733.63</c:v>
                </c:pt>
                <c:pt idx="802">
                  <c:v>733.63</c:v>
                </c:pt>
                <c:pt idx="803">
                  <c:v>738.09</c:v>
                </c:pt>
                <c:pt idx="804">
                  <c:v>719.22</c:v>
                </c:pt>
                <c:pt idx="805">
                  <c:v>713.57</c:v>
                </c:pt>
                <c:pt idx="806">
                  <c:v>719.01</c:v>
                </c:pt>
                <c:pt idx="807">
                  <c:v>719.01</c:v>
                </c:pt>
                <c:pt idx="808">
                  <c:v>719.01</c:v>
                </c:pt>
                <c:pt idx="809">
                  <c:v>719.01</c:v>
                </c:pt>
                <c:pt idx="810">
                  <c:v>718.35</c:v>
                </c:pt>
                <c:pt idx="811">
                  <c:v>720.67</c:v>
                </c:pt>
                <c:pt idx="812">
                  <c:v>732.78</c:v>
                </c:pt>
                <c:pt idx="813">
                  <c:v>727.24</c:v>
                </c:pt>
                <c:pt idx="814">
                  <c:v>717.51</c:v>
                </c:pt>
                <c:pt idx="815">
                  <c:v>717.51</c:v>
                </c:pt>
                <c:pt idx="816">
                  <c:v>717.51</c:v>
                </c:pt>
                <c:pt idx="817">
                  <c:v>720.92</c:v>
                </c:pt>
                <c:pt idx="818">
                  <c:v>710.39</c:v>
                </c:pt>
                <c:pt idx="819">
                  <c:v>702.91</c:v>
                </c:pt>
                <c:pt idx="820">
                  <c:v>701.41</c:v>
                </c:pt>
                <c:pt idx="821">
                  <c:v>704.28</c:v>
                </c:pt>
                <c:pt idx="822">
                  <c:v>704.28</c:v>
                </c:pt>
                <c:pt idx="823">
                  <c:v>704.28</c:v>
                </c:pt>
                <c:pt idx="824">
                  <c:v>712.96500000000003</c:v>
                </c:pt>
                <c:pt idx="825">
                  <c:v>704.81</c:v>
                </c:pt>
                <c:pt idx="826">
                  <c:v>713.58</c:v>
                </c:pt>
                <c:pt idx="827">
                  <c:v>714.8</c:v>
                </c:pt>
                <c:pt idx="828">
                  <c:v>712.68</c:v>
                </c:pt>
                <c:pt idx="829">
                  <c:v>712.68</c:v>
                </c:pt>
                <c:pt idx="830">
                  <c:v>712.68</c:v>
                </c:pt>
                <c:pt idx="831">
                  <c:v>717.63</c:v>
                </c:pt>
                <c:pt idx="832">
                  <c:v>700</c:v>
                </c:pt>
                <c:pt idx="833">
                  <c:v>695.21</c:v>
                </c:pt>
                <c:pt idx="834">
                  <c:v>773.44</c:v>
                </c:pt>
                <c:pt idx="835">
                  <c:v>750.01</c:v>
                </c:pt>
                <c:pt idx="836">
                  <c:v>750.01</c:v>
                </c:pt>
                <c:pt idx="837">
                  <c:v>750.01</c:v>
                </c:pt>
                <c:pt idx="838">
                  <c:v>776.37</c:v>
                </c:pt>
                <c:pt idx="839">
                  <c:v>763.46</c:v>
                </c:pt>
                <c:pt idx="840">
                  <c:v>771.99</c:v>
                </c:pt>
                <c:pt idx="841">
                  <c:v>761.83</c:v>
                </c:pt>
                <c:pt idx="842">
                  <c:v>769.3</c:v>
                </c:pt>
                <c:pt idx="843">
                  <c:v>769.3</c:v>
                </c:pt>
                <c:pt idx="844">
                  <c:v>769.3</c:v>
                </c:pt>
                <c:pt idx="845">
                  <c:v>765.87</c:v>
                </c:pt>
                <c:pt idx="846">
                  <c:v>790</c:v>
                </c:pt>
                <c:pt idx="847">
                  <c:v>780.08</c:v>
                </c:pt>
                <c:pt idx="848">
                  <c:v>782.13</c:v>
                </c:pt>
                <c:pt idx="849">
                  <c:v>785.23</c:v>
                </c:pt>
                <c:pt idx="850">
                  <c:v>785.23</c:v>
                </c:pt>
                <c:pt idx="851">
                  <c:v>785.23</c:v>
                </c:pt>
                <c:pt idx="852">
                  <c:v>767.37</c:v>
                </c:pt>
                <c:pt idx="853">
                  <c:v>751.48</c:v>
                </c:pt>
                <c:pt idx="854">
                  <c:v>747.72</c:v>
                </c:pt>
                <c:pt idx="855">
                  <c:v>739.1</c:v>
                </c:pt>
                <c:pt idx="856">
                  <c:v>754.79</c:v>
                </c:pt>
                <c:pt idx="857">
                  <c:v>754.79</c:v>
                </c:pt>
                <c:pt idx="858">
                  <c:v>754.79</c:v>
                </c:pt>
                <c:pt idx="859">
                  <c:v>753.3</c:v>
                </c:pt>
                <c:pt idx="860">
                  <c:v>754.1</c:v>
                </c:pt>
                <c:pt idx="861">
                  <c:v>747.38</c:v>
                </c:pt>
                <c:pt idx="862">
                  <c:v>751.11</c:v>
                </c:pt>
                <c:pt idx="863">
                  <c:v>738.7</c:v>
                </c:pt>
                <c:pt idx="864">
                  <c:v>738.7</c:v>
                </c:pt>
                <c:pt idx="865">
                  <c:v>738.7</c:v>
                </c:pt>
                <c:pt idx="866">
                  <c:v>738.7</c:v>
                </c:pt>
                <c:pt idx="867">
                  <c:v>735.11</c:v>
                </c:pt>
                <c:pt idx="868">
                  <c:v>737.05</c:v>
                </c:pt>
                <c:pt idx="869">
                  <c:v>748.65</c:v>
                </c:pt>
                <c:pt idx="870">
                  <c:v>752.45</c:v>
                </c:pt>
                <c:pt idx="871">
                  <c:v>752.45</c:v>
                </c:pt>
                <c:pt idx="872">
                  <c:v>752.45</c:v>
                </c:pt>
                <c:pt idx="873">
                  <c:v>752.3</c:v>
                </c:pt>
                <c:pt idx="874">
                  <c:v>765.7</c:v>
                </c:pt>
                <c:pt idx="875">
                  <c:v>751.98</c:v>
                </c:pt>
                <c:pt idx="876">
                  <c:v>750.9</c:v>
                </c:pt>
                <c:pt idx="877">
                  <c:v>755.59</c:v>
                </c:pt>
                <c:pt idx="878">
                  <c:v>755.59</c:v>
                </c:pt>
                <c:pt idx="879">
                  <c:v>755.59</c:v>
                </c:pt>
                <c:pt idx="880">
                  <c:v>764.7</c:v>
                </c:pt>
                <c:pt idx="881">
                  <c:v>779</c:v>
                </c:pt>
                <c:pt idx="882">
                  <c:v>775.71500000000003</c:v>
                </c:pt>
                <c:pt idx="883">
                  <c:v>780.25</c:v>
                </c:pt>
                <c:pt idx="884">
                  <c:v>778.38</c:v>
                </c:pt>
                <c:pt idx="885">
                  <c:v>778.38</c:v>
                </c:pt>
                <c:pt idx="886">
                  <c:v>778.38</c:v>
                </c:pt>
                <c:pt idx="887">
                  <c:v>765.16</c:v>
                </c:pt>
                <c:pt idx="888">
                  <c:v>755.4</c:v>
                </c:pt>
                <c:pt idx="889">
                  <c:v>760.66</c:v>
                </c:pt>
                <c:pt idx="890">
                  <c:v>748.91</c:v>
                </c:pt>
                <c:pt idx="891">
                  <c:v>743.75</c:v>
                </c:pt>
                <c:pt idx="892">
                  <c:v>743.75</c:v>
                </c:pt>
                <c:pt idx="893">
                  <c:v>743.75</c:v>
                </c:pt>
                <c:pt idx="894">
                  <c:v>743.4</c:v>
                </c:pt>
                <c:pt idx="895">
                  <c:v>734.38</c:v>
                </c:pt>
                <c:pt idx="896">
                  <c:v>717.34</c:v>
                </c:pt>
                <c:pt idx="897">
                  <c:v>727.05</c:v>
                </c:pt>
                <c:pt idx="898">
                  <c:v>710.56</c:v>
                </c:pt>
                <c:pt idx="899">
                  <c:v>710.56</c:v>
                </c:pt>
                <c:pt idx="900">
                  <c:v>710.56</c:v>
                </c:pt>
                <c:pt idx="901">
                  <c:v>715.66</c:v>
                </c:pt>
                <c:pt idx="902">
                  <c:v>713.08</c:v>
                </c:pt>
                <c:pt idx="903">
                  <c:v>717.84</c:v>
                </c:pt>
                <c:pt idx="904">
                  <c:v>733.51</c:v>
                </c:pt>
                <c:pt idx="905">
                  <c:v>705.3</c:v>
                </c:pt>
                <c:pt idx="906">
                  <c:v>705.3</c:v>
                </c:pt>
                <c:pt idx="907">
                  <c:v>705.3</c:v>
                </c:pt>
                <c:pt idx="908">
                  <c:v>715.7</c:v>
                </c:pt>
                <c:pt idx="909">
                  <c:v>708.65</c:v>
                </c:pt>
                <c:pt idx="910">
                  <c:v>717.55</c:v>
                </c:pt>
                <c:pt idx="911">
                  <c:v>712.07</c:v>
                </c:pt>
                <c:pt idx="912">
                  <c:v>716.91499999999996</c:v>
                </c:pt>
                <c:pt idx="913">
                  <c:v>716.91499999999996</c:v>
                </c:pt>
                <c:pt idx="914">
                  <c:v>716.91499999999996</c:v>
                </c:pt>
                <c:pt idx="915">
                  <c:v>732.17</c:v>
                </c:pt>
                <c:pt idx="916">
                  <c:v>733.27</c:v>
                </c:pt>
                <c:pt idx="917">
                  <c:v>733.41</c:v>
                </c:pt>
                <c:pt idx="918">
                  <c:v>734</c:v>
                </c:pt>
                <c:pt idx="919">
                  <c:v>738.36</c:v>
                </c:pt>
                <c:pt idx="920">
                  <c:v>738.36</c:v>
                </c:pt>
                <c:pt idx="921">
                  <c:v>738.36</c:v>
                </c:pt>
                <c:pt idx="922">
                  <c:v>750.82</c:v>
                </c:pt>
                <c:pt idx="923">
                  <c:v>751.44</c:v>
                </c:pt>
                <c:pt idx="924">
                  <c:v>751.67</c:v>
                </c:pt>
                <c:pt idx="925">
                  <c:v>666.47</c:v>
                </c:pt>
                <c:pt idx="926">
                  <c:v>648.35</c:v>
                </c:pt>
                <c:pt idx="927">
                  <c:v>648.35</c:v>
                </c:pt>
                <c:pt idx="928">
                  <c:v>648.35</c:v>
                </c:pt>
                <c:pt idx="929">
                  <c:v>637.71</c:v>
                </c:pt>
                <c:pt idx="930">
                  <c:v>627.32000000000005</c:v>
                </c:pt>
                <c:pt idx="931">
                  <c:v>635.95000000000005</c:v>
                </c:pt>
                <c:pt idx="932">
                  <c:v>618.94000000000005</c:v>
                </c:pt>
                <c:pt idx="933">
                  <c:v>621.71</c:v>
                </c:pt>
                <c:pt idx="934">
                  <c:v>621.71</c:v>
                </c:pt>
                <c:pt idx="935">
                  <c:v>621.71</c:v>
                </c:pt>
                <c:pt idx="936">
                  <c:v>631.76</c:v>
                </c:pt>
                <c:pt idx="937">
                  <c:v>627.08000000000004</c:v>
                </c:pt>
                <c:pt idx="938">
                  <c:v>609.01</c:v>
                </c:pt>
                <c:pt idx="939">
                  <c:v>609.89</c:v>
                </c:pt>
                <c:pt idx="940">
                  <c:v>609.46</c:v>
                </c:pt>
                <c:pt idx="941">
                  <c:v>609.46</c:v>
                </c:pt>
                <c:pt idx="942">
                  <c:v>609.46</c:v>
                </c:pt>
                <c:pt idx="943">
                  <c:v>602.01</c:v>
                </c:pt>
                <c:pt idx="944">
                  <c:v>597.69000000000005</c:v>
                </c:pt>
                <c:pt idx="945">
                  <c:v>590.32000000000005</c:v>
                </c:pt>
                <c:pt idx="946">
                  <c:v>589.15</c:v>
                </c:pt>
                <c:pt idx="947">
                  <c:v>594.25</c:v>
                </c:pt>
                <c:pt idx="948">
                  <c:v>594.25</c:v>
                </c:pt>
                <c:pt idx="949">
                  <c:v>594.25</c:v>
                </c:pt>
                <c:pt idx="950">
                  <c:v>613.04999999999995</c:v>
                </c:pt>
                <c:pt idx="951">
                  <c:v>636.22</c:v>
                </c:pt>
                <c:pt idx="952">
                  <c:v>633.61</c:v>
                </c:pt>
                <c:pt idx="953">
                  <c:v>633.61</c:v>
                </c:pt>
                <c:pt idx="954">
                  <c:v>647.95000000000005</c:v>
                </c:pt>
                <c:pt idx="955">
                  <c:v>647.95000000000005</c:v>
                </c:pt>
                <c:pt idx="956">
                  <c:v>647.95000000000005</c:v>
                </c:pt>
                <c:pt idx="957">
                  <c:v>640.87</c:v>
                </c:pt>
                <c:pt idx="958">
                  <c:v>647.1</c:v>
                </c:pt>
                <c:pt idx="959">
                  <c:v>639.6</c:v>
                </c:pt>
                <c:pt idx="960">
                  <c:v>661.53</c:v>
                </c:pt>
                <c:pt idx="961">
                  <c:v>673.42</c:v>
                </c:pt>
                <c:pt idx="962">
                  <c:v>673.42</c:v>
                </c:pt>
                <c:pt idx="963">
                  <c:v>673.42</c:v>
                </c:pt>
                <c:pt idx="964">
                  <c:v>666.8</c:v>
                </c:pt>
                <c:pt idx="965">
                  <c:v>656.96</c:v>
                </c:pt>
                <c:pt idx="966">
                  <c:v>650.13</c:v>
                </c:pt>
                <c:pt idx="967">
                  <c:v>652.71</c:v>
                </c:pt>
                <c:pt idx="968">
                  <c:v>644.23</c:v>
                </c:pt>
                <c:pt idx="969">
                  <c:v>644.23</c:v>
                </c:pt>
                <c:pt idx="970">
                  <c:v>644.23</c:v>
                </c:pt>
                <c:pt idx="971">
                  <c:v>647.51</c:v>
                </c:pt>
                <c:pt idx="972">
                  <c:v>657.15</c:v>
                </c:pt>
                <c:pt idx="973">
                  <c:v>649.5</c:v>
                </c:pt>
                <c:pt idx="974">
                  <c:v>664.45</c:v>
                </c:pt>
                <c:pt idx="975">
                  <c:v>658.77</c:v>
                </c:pt>
                <c:pt idx="976">
                  <c:v>658.77</c:v>
                </c:pt>
                <c:pt idx="977">
                  <c:v>658.77</c:v>
                </c:pt>
                <c:pt idx="978">
                  <c:v>661.5</c:v>
                </c:pt>
                <c:pt idx="979">
                  <c:v>664.94</c:v>
                </c:pt>
                <c:pt idx="980">
                  <c:v>667.55</c:v>
                </c:pt>
                <c:pt idx="981">
                  <c:v>667.55</c:v>
                </c:pt>
                <c:pt idx="982">
                  <c:v>663.29</c:v>
                </c:pt>
                <c:pt idx="983">
                  <c:v>663.29</c:v>
                </c:pt>
                <c:pt idx="984">
                  <c:v>663.29</c:v>
                </c:pt>
                <c:pt idx="985">
                  <c:v>658.69</c:v>
                </c:pt>
                <c:pt idx="986">
                  <c:v>665.95</c:v>
                </c:pt>
                <c:pt idx="987">
                  <c:v>660.09</c:v>
                </c:pt>
                <c:pt idx="988">
                  <c:v>660.09</c:v>
                </c:pt>
                <c:pt idx="989">
                  <c:v>650.41</c:v>
                </c:pt>
                <c:pt idx="990">
                  <c:v>650.41</c:v>
                </c:pt>
                <c:pt idx="991">
                  <c:v>650.41</c:v>
                </c:pt>
                <c:pt idx="992">
                  <c:v>658.79</c:v>
                </c:pt>
                <c:pt idx="993">
                  <c:v>660.62</c:v>
                </c:pt>
                <c:pt idx="994">
                  <c:v>648.69000000000005</c:v>
                </c:pt>
                <c:pt idx="995">
                  <c:v>646.05999999999995</c:v>
                </c:pt>
                <c:pt idx="996">
                  <c:v>653.05999999999995</c:v>
                </c:pt>
                <c:pt idx="997">
                  <c:v>653.05999999999995</c:v>
                </c:pt>
                <c:pt idx="998">
                  <c:v>653.05999999999995</c:v>
                </c:pt>
                <c:pt idx="999">
                  <c:v>641.97</c:v>
                </c:pt>
                <c:pt idx="1000">
                  <c:v>631.09</c:v>
                </c:pt>
                <c:pt idx="1001">
                  <c:v>615.52</c:v>
                </c:pt>
                <c:pt idx="1002">
                  <c:v>620.79999999999995</c:v>
                </c:pt>
                <c:pt idx="1003">
                  <c:v>620.25</c:v>
                </c:pt>
                <c:pt idx="1004">
                  <c:v>620.25</c:v>
                </c:pt>
                <c:pt idx="1005">
                  <c:v>620.25</c:v>
                </c:pt>
                <c:pt idx="1006">
                  <c:v>620.25</c:v>
                </c:pt>
                <c:pt idx="1007">
                  <c:v>604.12</c:v>
                </c:pt>
                <c:pt idx="1008">
                  <c:v>612.96</c:v>
                </c:pt>
                <c:pt idx="1009">
                  <c:v>647.63</c:v>
                </c:pt>
                <c:pt idx="1010">
                  <c:v>658.76</c:v>
                </c:pt>
                <c:pt idx="1011">
                  <c:v>658.76</c:v>
                </c:pt>
                <c:pt idx="1012">
                  <c:v>658.76</c:v>
                </c:pt>
                <c:pt idx="1013">
                  <c:v>672.36</c:v>
                </c:pt>
                <c:pt idx="1014">
                  <c:v>672.97</c:v>
                </c:pt>
                <c:pt idx="1015">
                  <c:v>668.73</c:v>
                </c:pt>
                <c:pt idx="1016">
                  <c:v>738.31</c:v>
                </c:pt>
                <c:pt idx="1017">
                  <c:v>716.5</c:v>
                </c:pt>
                <c:pt idx="1018">
                  <c:v>716.5</c:v>
                </c:pt>
                <c:pt idx="1019">
                  <c:v>716.5</c:v>
                </c:pt>
                <c:pt idx="1020">
                  <c:v>706.41</c:v>
                </c:pt>
                <c:pt idx="1021">
                  <c:v>691.7</c:v>
                </c:pt>
                <c:pt idx="1022">
                  <c:v>668.99</c:v>
                </c:pt>
                <c:pt idx="1023">
                  <c:v>670.21</c:v>
                </c:pt>
                <c:pt idx="1024">
                  <c:v>661.46</c:v>
                </c:pt>
                <c:pt idx="1025">
                  <c:v>661.46</c:v>
                </c:pt>
                <c:pt idx="1026">
                  <c:v>661.46</c:v>
                </c:pt>
                <c:pt idx="1027">
                  <c:v>677.22</c:v>
                </c:pt>
                <c:pt idx="1028">
                  <c:v>670.72</c:v>
                </c:pt>
                <c:pt idx="1029">
                  <c:v>668.69</c:v>
                </c:pt>
                <c:pt idx="1030">
                  <c:v>649.80999999999995</c:v>
                </c:pt>
                <c:pt idx="1031">
                  <c:v>639.77</c:v>
                </c:pt>
                <c:pt idx="1032">
                  <c:v>639.77</c:v>
                </c:pt>
                <c:pt idx="1033">
                  <c:v>639.77</c:v>
                </c:pt>
                <c:pt idx="1034">
                  <c:v>639.77</c:v>
                </c:pt>
                <c:pt idx="1035">
                  <c:v>639.29</c:v>
                </c:pt>
                <c:pt idx="1036">
                  <c:v>643.22</c:v>
                </c:pt>
                <c:pt idx="1037">
                  <c:v>644.78</c:v>
                </c:pt>
                <c:pt idx="1038">
                  <c:v>655.66</c:v>
                </c:pt>
                <c:pt idx="1039">
                  <c:v>655.66</c:v>
                </c:pt>
                <c:pt idx="1040">
                  <c:v>655.66</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644.86</c:v>
                </c:pt>
                <c:pt idx="1054">
                  <c:v>644.86</c:v>
                </c:pt>
                <c:pt idx="1055">
                  <c:v>647.39</c:v>
                </c:pt>
                <c:pt idx="1056">
                  <c:v>654.07000000000005</c:v>
                </c:pt>
                <c:pt idx="1057">
                  <c:v>654.86</c:v>
                </c:pt>
                <c:pt idx="1058">
                  <c:v>638.17999999999995</c:v>
                </c:pt>
                <c:pt idx="1059">
                  <c:v>613.71</c:v>
                </c:pt>
                <c:pt idx="1060">
                  <c:v>613.71</c:v>
                </c:pt>
                <c:pt idx="1061">
                  <c:v>613.71</c:v>
                </c:pt>
                <c:pt idx="1062">
                  <c:v>627.45000000000005</c:v>
                </c:pt>
                <c:pt idx="1063">
                  <c:v>622.66</c:v>
                </c:pt>
                <c:pt idx="1064">
                  <c:v>615.67999999999995</c:v>
                </c:pt>
                <c:pt idx="1065">
                  <c:v>606.70000000000005</c:v>
                </c:pt>
                <c:pt idx="1066">
                  <c:v>593.66</c:v>
                </c:pt>
                <c:pt idx="1067">
                  <c:v>593.66</c:v>
                </c:pt>
                <c:pt idx="1068">
                  <c:v>593.66</c:v>
                </c:pt>
                <c:pt idx="1069">
                  <c:v>604.05999999999995</c:v>
                </c:pt>
                <c:pt idx="1070">
                  <c:v>592.91999999999996</c:v>
                </c:pt>
                <c:pt idx="1071">
                  <c:v>594.89</c:v>
                </c:pt>
                <c:pt idx="1072">
                  <c:v>547.54</c:v>
                </c:pt>
                <c:pt idx="1073">
                  <c:v>525.72</c:v>
                </c:pt>
                <c:pt idx="1074">
                  <c:v>525.72</c:v>
                </c:pt>
                <c:pt idx="1075">
                  <c:v>525.72</c:v>
                </c:pt>
                <c:pt idx="1076">
                  <c:v>536.38</c:v>
                </c:pt>
                <c:pt idx="1077">
                  <c:v>572.13</c:v>
                </c:pt>
                <c:pt idx="1078">
                  <c:v>579.23</c:v>
                </c:pt>
                <c:pt idx="1079">
                  <c:v>574.46</c:v>
                </c:pt>
                <c:pt idx="1080">
                  <c:v>574.46</c:v>
                </c:pt>
                <c:pt idx="1081">
                  <c:v>574.46</c:v>
                </c:pt>
                <c:pt idx="1082">
                  <c:v>574.46</c:v>
                </c:pt>
                <c:pt idx="1083">
                  <c:v>573.02</c:v>
                </c:pt>
                <c:pt idx="1084">
                  <c:v>575.04999999999995</c:v>
                </c:pt>
                <c:pt idx="1085">
                  <c:v>612.41999999999996</c:v>
                </c:pt>
                <c:pt idx="1086">
                  <c:v>628.39</c:v>
                </c:pt>
                <c:pt idx="1087">
                  <c:v>629.86</c:v>
                </c:pt>
                <c:pt idx="1088">
                  <c:v>629.86</c:v>
                </c:pt>
                <c:pt idx="1089">
                  <c:v>629.86</c:v>
                </c:pt>
                <c:pt idx="1090">
                  <c:v>634.53</c:v>
                </c:pt>
                <c:pt idx="1091">
                  <c:v>662.49</c:v>
                </c:pt>
                <c:pt idx="1092">
                  <c:v>671.58</c:v>
                </c:pt>
                <c:pt idx="1093">
                  <c:v>676.87</c:v>
                </c:pt>
                <c:pt idx="1094">
                  <c:v>676.87</c:v>
                </c:pt>
              </c:numCache>
            </c:numRef>
          </c:val>
          <c:smooth val="0"/>
          <c:extLst>
            <c:ext xmlns:c16="http://schemas.microsoft.com/office/drawing/2014/chart" uri="{C3380CC4-5D6E-409C-BE32-E72D297353CC}">
              <c16:uniqueId val="{00000000-CFC5-437B-B929-8FCACB567711}"/>
            </c:ext>
          </c:extLst>
        </c:ser>
        <c:dLbls>
          <c:showLegendKey val="0"/>
          <c:showVal val="0"/>
          <c:showCatName val="0"/>
          <c:showSerName val="0"/>
          <c:showPercent val="0"/>
          <c:showBubbleSize val="0"/>
        </c:dLbls>
        <c:marker val="1"/>
        <c:smooth val="0"/>
        <c:axId val="2085423231"/>
        <c:axId val="2071215679"/>
      </c:lineChart>
      <c:lineChart>
        <c:grouping val="standard"/>
        <c:varyColors val="0"/>
        <c:ser>
          <c:idx val="1"/>
          <c:order val="1"/>
          <c:tx>
            <c:v>S&amp;P 500</c:v>
          </c:tx>
          <c:spPr>
            <a:ln w="12700" cap="rnd">
              <a:solidFill>
                <a:schemeClr val="bg1">
                  <a:lumMod val="50000"/>
                </a:schemeClr>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F7'!$AL$6:$AL$1100</c:f>
              <c:numCache>
                <c:formatCode>#,##0</c:formatCode>
                <c:ptCount val="1095"/>
                <c:pt idx="0">
                  <c:v>4154.5189899999996</c:v>
                </c:pt>
                <c:pt idx="1">
                  <c:v>4129.7923700000001</c:v>
                </c:pt>
                <c:pt idx="2">
                  <c:v>4133.5213199999998</c:v>
                </c:pt>
                <c:pt idx="3">
                  <c:v>4133.5213199999998</c:v>
                </c:pt>
                <c:pt idx="4">
                  <c:v>4133.5213199999998</c:v>
                </c:pt>
                <c:pt idx="5">
                  <c:v>4137.0445900000004</c:v>
                </c:pt>
                <c:pt idx="6">
                  <c:v>4071.6304300000002</c:v>
                </c:pt>
                <c:pt idx="7">
                  <c:v>4055.9877799999999</c:v>
                </c:pt>
                <c:pt idx="8">
                  <c:v>4135.3522300000004</c:v>
                </c:pt>
                <c:pt idx="9">
                  <c:v>4169.4813999999997</c:v>
                </c:pt>
                <c:pt idx="10">
                  <c:v>4169.4813999999997</c:v>
                </c:pt>
                <c:pt idx="11">
                  <c:v>4169.4813999999997</c:v>
                </c:pt>
                <c:pt idx="12">
                  <c:v>4167.8668900000002</c:v>
                </c:pt>
                <c:pt idx="13">
                  <c:v>4119.5804500000004</c:v>
                </c:pt>
                <c:pt idx="14">
                  <c:v>4090.7522199999999</c:v>
                </c:pt>
                <c:pt idx="15">
                  <c:v>4061.2168900000001</c:v>
                </c:pt>
                <c:pt idx="16">
                  <c:v>4136.25335</c:v>
                </c:pt>
                <c:pt idx="17">
                  <c:v>4136.25335</c:v>
                </c:pt>
                <c:pt idx="18">
                  <c:v>4136.25335</c:v>
                </c:pt>
                <c:pt idx="19">
                  <c:v>4138.1229800000001</c:v>
                </c:pt>
                <c:pt idx="20">
                  <c:v>4119.1733700000004</c:v>
                </c:pt>
                <c:pt idx="21">
                  <c:v>4137.6421899999996</c:v>
                </c:pt>
                <c:pt idx="22">
                  <c:v>4130.6212699999996</c:v>
                </c:pt>
                <c:pt idx="23">
                  <c:v>4124.0810199999996</c:v>
                </c:pt>
                <c:pt idx="24">
                  <c:v>4124.0810199999996</c:v>
                </c:pt>
                <c:pt idx="25">
                  <c:v>4124.0810199999996</c:v>
                </c:pt>
                <c:pt idx="26">
                  <c:v>4136.2842099999998</c:v>
                </c:pt>
                <c:pt idx="27">
                  <c:v>4109.8970099999997</c:v>
                </c:pt>
                <c:pt idx="28">
                  <c:v>4158.7707700000001</c:v>
                </c:pt>
                <c:pt idx="29">
                  <c:v>4198.0509499999998</c:v>
                </c:pt>
                <c:pt idx="30">
                  <c:v>4191.9797900000003</c:v>
                </c:pt>
                <c:pt idx="31">
                  <c:v>4191.9797900000003</c:v>
                </c:pt>
                <c:pt idx="32">
                  <c:v>4191.9797900000003</c:v>
                </c:pt>
                <c:pt idx="33">
                  <c:v>4192.6306999999997</c:v>
                </c:pt>
                <c:pt idx="34">
                  <c:v>4145.5751899999996</c:v>
                </c:pt>
                <c:pt idx="35">
                  <c:v>4115.2385700000004</c:v>
                </c:pt>
                <c:pt idx="36">
                  <c:v>4151.2798700000003</c:v>
                </c:pt>
                <c:pt idx="37">
                  <c:v>4205.4525299999996</c:v>
                </c:pt>
                <c:pt idx="38">
                  <c:v>4205.4525299999996</c:v>
                </c:pt>
                <c:pt idx="39">
                  <c:v>4205.4525299999996</c:v>
                </c:pt>
                <c:pt idx="40">
                  <c:v>4205.4525299999996</c:v>
                </c:pt>
                <c:pt idx="41">
                  <c:v>4205.5206900000003</c:v>
                </c:pt>
                <c:pt idx="42">
                  <c:v>4179.82546</c:v>
                </c:pt>
                <c:pt idx="43">
                  <c:v>4221.0202200000003</c:v>
                </c:pt>
                <c:pt idx="44">
                  <c:v>4282.3655699999999</c:v>
                </c:pt>
                <c:pt idx="45">
                  <c:v>4282.3655699999999</c:v>
                </c:pt>
                <c:pt idx="46">
                  <c:v>4282.3655699999999</c:v>
                </c:pt>
                <c:pt idx="47">
                  <c:v>4273.7941899999996</c:v>
                </c:pt>
                <c:pt idx="48">
                  <c:v>4283.8483900000001</c:v>
                </c:pt>
                <c:pt idx="49">
                  <c:v>4267.5184600000002</c:v>
                </c:pt>
                <c:pt idx="50">
                  <c:v>4293.9277700000002</c:v>
                </c:pt>
                <c:pt idx="51">
                  <c:v>4298.8573100000003</c:v>
                </c:pt>
                <c:pt idx="52">
                  <c:v>4298.8573100000003</c:v>
                </c:pt>
                <c:pt idx="53">
                  <c:v>4298.8573100000003</c:v>
                </c:pt>
                <c:pt idx="54">
                  <c:v>4338.93444</c:v>
                </c:pt>
                <c:pt idx="55">
                  <c:v>4369.0063899999996</c:v>
                </c:pt>
                <c:pt idx="56">
                  <c:v>4372.5894399999997</c:v>
                </c:pt>
                <c:pt idx="57">
                  <c:v>4425.8442599999998</c:v>
                </c:pt>
                <c:pt idx="58">
                  <c:v>4409.5943600000001</c:v>
                </c:pt>
                <c:pt idx="59">
                  <c:v>4409.5943600000001</c:v>
                </c:pt>
                <c:pt idx="60">
                  <c:v>4409.5943600000001</c:v>
                </c:pt>
                <c:pt idx="61">
                  <c:v>4409.5943600000001</c:v>
                </c:pt>
                <c:pt idx="62">
                  <c:v>4388.7097599999997</c:v>
                </c:pt>
                <c:pt idx="63">
                  <c:v>4365.6898300000003</c:v>
                </c:pt>
                <c:pt idx="64">
                  <c:v>4381.89048</c:v>
                </c:pt>
                <c:pt idx="65">
                  <c:v>4348.3306700000003</c:v>
                </c:pt>
                <c:pt idx="66">
                  <c:v>4348.3306700000003</c:v>
                </c:pt>
                <c:pt idx="67">
                  <c:v>4348.3306700000003</c:v>
                </c:pt>
                <c:pt idx="68">
                  <c:v>4328.82161</c:v>
                </c:pt>
                <c:pt idx="69">
                  <c:v>4378.4053199999998</c:v>
                </c:pt>
                <c:pt idx="70">
                  <c:v>4376.8637099999996</c:v>
                </c:pt>
                <c:pt idx="71">
                  <c:v>4396.4434199999996</c:v>
                </c:pt>
                <c:pt idx="72">
                  <c:v>4450.3813099999998</c:v>
                </c:pt>
                <c:pt idx="73">
                  <c:v>4450.3813099999998</c:v>
                </c:pt>
                <c:pt idx="74">
                  <c:v>4450.3813099999998</c:v>
                </c:pt>
                <c:pt idx="75">
                  <c:v>4455.5938800000004</c:v>
                </c:pt>
                <c:pt idx="76">
                  <c:v>4455.5938800000004</c:v>
                </c:pt>
                <c:pt idx="77">
                  <c:v>4446.8247700000002</c:v>
                </c:pt>
                <c:pt idx="78">
                  <c:v>4411.5907299999999</c:v>
                </c:pt>
                <c:pt idx="79">
                  <c:v>4398.9526599999999</c:v>
                </c:pt>
                <c:pt idx="80">
                  <c:v>4398.9526599999999</c:v>
                </c:pt>
                <c:pt idx="81">
                  <c:v>4398.9526599999999</c:v>
                </c:pt>
                <c:pt idx="82">
                  <c:v>4409.5258000000003</c:v>
                </c:pt>
                <c:pt idx="83">
                  <c:v>4439.2563300000002</c:v>
                </c:pt>
                <c:pt idx="84">
                  <c:v>4472.1603299999997</c:v>
                </c:pt>
                <c:pt idx="85">
                  <c:v>4510.0418</c:v>
                </c:pt>
                <c:pt idx="86">
                  <c:v>4505.4203399999997</c:v>
                </c:pt>
                <c:pt idx="87">
                  <c:v>4505.4203399999997</c:v>
                </c:pt>
                <c:pt idx="88">
                  <c:v>4505.4203399999997</c:v>
                </c:pt>
                <c:pt idx="89">
                  <c:v>4522.7930999999999</c:v>
                </c:pt>
                <c:pt idx="90">
                  <c:v>4554.9769500000002</c:v>
                </c:pt>
                <c:pt idx="91">
                  <c:v>4565.7167099999997</c:v>
                </c:pt>
                <c:pt idx="92">
                  <c:v>4534.8675499999999</c:v>
                </c:pt>
                <c:pt idx="93">
                  <c:v>4536.3385399999997</c:v>
                </c:pt>
                <c:pt idx="94">
                  <c:v>4536.3385399999997</c:v>
                </c:pt>
                <c:pt idx="95">
                  <c:v>4536.3385399999997</c:v>
                </c:pt>
                <c:pt idx="96">
                  <c:v>4554.6424399999996</c:v>
                </c:pt>
                <c:pt idx="97">
                  <c:v>4567.4637000000002</c:v>
                </c:pt>
                <c:pt idx="98">
                  <c:v>4566.7517200000002</c:v>
                </c:pt>
                <c:pt idx="99">
                  <c:v>4537.4118600000002</c:v>
                </c:pt>
                <c:pt idx="100">
                  <c:v>4582.2313299999996</c:v>
                </c:pt>
                <c:pt idx="101">
                  <c:v>4582.2313299999996</c:v>
                </c:pt>
                <c:pt idx="102">
                  <c:v>4582.2313299999996</c:v>
                </c:pt>
                <c:pt idx="103">
                  <c:v>4588.9611400000003</c:v>
                </c:pt>
                <c:pt idx="104">
                  <c:v>4576.7291500000001</c:v>
                </c:pt>
                <c:pt idx="105">
                  <c:v>4513.3938600000001</c:v>
                </c:pt>
                <c:pt idx="106">
                  <c:v>4501.8856699999997</c:v>
                </c:pt>
                <c:pt idx="107">
                  <c:v>4478.0338400000001</c:v>
                </c:pt>
                <c:pt idx="108">
                  <c:v>4478.0338400000001</c:v>
                </c:pt>
                <c:pt idx="109">
                  <c:v>4478.0338400000001</c:v>
                </c:pt>
                <c:pt idx="110">
                  <c:v>4518.4433600000002</c:v>
                </c:pt>
                <c:pt idx="111">
                  <c:v>4499.3772600000002</c:v>
                </c:pt>
                <c:pt idx="112">
                  <c:v>4467.7140900000004</c:v>
                </c:pt>
                <c:pt idx="113">
                  <c:v>4468.8347700000004</c:v>
                </c:pt>
                <c:pt idx="114">
                  <c:v>4464.0545599999996</c:v>
                </c:pt>
                <c:pt idx="115">
                  <c:v>4464.0545599999996</c:v>
                </c:pt>
                <c:pt idx="116">
                  <c:v>4464.0545599999996</c:v>
                </c:pt>
                <c:pt idx="117">
                  <c:v>4489.7183299999997</c:v>
                </c:pt>
                <c:pt idx="118">
                  <c:v>4437.85905</c:v>
                </c:pt>
                <c:pt idx="119">
                  <c:v>4404.3334699999996</c:v>
                </c:pt>
                <c:pt idx="120">
                  <c:v>4370.36006</c:v>
                </c:pt>
                <c:pt idx="121">
                  <c:v>4369.7115000000003</c:v>
                </c:pt>
                <c:pt idx="122">
                  <c:v>4369.7115000000003</c:v>
                </c:pt>
                <c:pt idx="123">
                  <c:v>4369.7115000000003</c:v>
                </c:pt>
                <c:pt idx="124">
                  <c:v>4399.7691000000004</c:v>
                </c:pt>
                <c:pt idx="125">
                  <c:v>4387.5487000000003</c:v>
                </c:pt>
                <c:pt idx="126">
                  <c:v>4436.0117399999999</c:v>
                </c:pt>
                <c:pt idx="127">
                  <c:v>4376.31495</c:v>
                </c:pt>
                <c:pt idx="128">
                  <c:v>4405.7057299999997</c:v>
                </c:pt>
                <c:pt idx="129">
                  <c:v>4405.7057299999997</c:v>
                </c:pt>
                <c:pt idx="130">
                  <c:v>4405.7057299999997</c:v>
                </c:pt>
                <c:pt idx="131">
                  <c:v>4433.3056500000002</c:v>
                </c:pt>
                <c:pt idx="132">
                  <c:v>4497.6316699999998</c:v>
                </c:pt>
                <c:pt idx="133">
                  <c:v>4514.8652599999996</c:v>
                </c:pt>
                <c:pt idx="134">
                  <c:v>4507.6617900000001</c:v>
                </c:pt>
                <c:pt idx="135">
                  <c:v>4515.7673999999997</c:v>
                </c:pt>
                <c:pt idx="136">
                  <c:v>4515.7673999999997</c:v>
                </c:pt>
                <c:pt idx="137">
                  <c:v>4515.7673999999997</c:v>
                </c:pt>
                <c:pt idx="138">
                  <c:v>4515.7673999999997</c:v>
                </c:pt>
                <c:pt idx="139">
                  <c:v>4496.8272800000004</c:v>
                </c:pt>
                <c:pt idx="140">
                  <c:v>4465.4847600000003</c:v>
                </c:pt>
                <c:pt idx="141">
                  <c:v>4451.1379800000004</c:v>
                </c:pt>
                <c:pt idx="142">
                  <c:v>4457.4893099999999</c:v>
                </c:pt>
                <c:pt idx="143">
                  <c:v>4457.4893099999999</c:v>
                </c:pt>
                <c:pt idx="144">
                  <c:v>4457.4893099999999</c:v>
                </c:pt>
                <c:pt idx="145">
                  <c:v>4487.4638599999998</c:v>
                </c:pt>
                <c:pt idx="146">
                  <c:v>4461.9049199999999</c:v>
                </c:pt>
                <c:pt idx="147">
                  <c:v>4467.44193</c:v>
                </c:pt>
                <c:pt idx="148">
                  <c:v>4505.0962799999998</c:v>
                </c:pt>
                <c:pt idx="149">
                  <c:v>4450.31628</c:v>
                </c:pt>
                <c:pt idx="150">
                  <c:v>4450.31628</c:v>
                </c:pt>
                <c:pt idx="151">
                  <c:v>4450.31628</c:v>
                </c:pt>
                <c:pt idx="152">
                  <c:v>4453.5338000000002</c:v>
                </c:pt>
                <c:pt idx="153">
                  <c:v>4443.9475000000002</c:v>
                </c:pt>
                <c:pt idx="154">
                  <c:v>4402.2035400000004</c:v>
                </c:pt>
                <c:pt idx="155">
                  <c:v>4330.0048500000003</c:v>
                </c:pt>
                <c:pt idx="156">
                  <c:v>4320.0571300000001</c:v>
                </c:pt>
                <c:pt idx="157">
                  <c:v>4320.0571300000001</c:v>
                </c:pt>
                <c:pt idx="158">
                  <c:v>4320.0571300000001</c:v>
                </c:pt>
                <c:pt idx="159">
                  <c:v>4337.4449800000002</c:v>
                </c:pt>
                <c:pt idx="160">
                  <c:v>4273.5283099999997</c:v>
                </c:pt>
                <c:pt idx="161">
                  <c:v>4274.5094099999997</c:v>
                </c:pt>
                <c:pt idx="162">
                  <c:v>4299.7019899999996</c:v>
                </c:pt>
                <c:pt idx="163">
                  <c:v>4288.0541199999998</c:v>
                </c:pt>
                <c:pt idx="164">
                  <c:v>4288.0541199999998</c:v>
                </c:pt>
                <c:pt idx="165">
                  <c:v>4288.0541199999998</c:v>
                </c:pt>
                <c:pt idx="166">
                  <c:v>4288.3906999999999</c:v>
                </c:pt>
                <c:pt idx="167">
                  <c:v>4229.4530299999997</c:v>
                </c:pt>
                <c:pt idx="168">
                  <c:v>4263.7511400000003</c:v>
                </c:pt>
                <c:pt idx="169">
                  <c:v>4258.1858099999999</c:v>
                </c:pt>
                <c:pt idx="170">
                  <c:v>4308.5022600000002</c:v>
                </c:pt>
                <c:pt idx="171">
                  <c:v>4308.5022600000002</c:v>
                </c:pt>
                <c:pt idx="172">
                  <c:v>4308.5022600000002</c:v>
                </c:pt>
                <c:pt idx="173">
                  <c:v>4335.6575199999997</c:v>
                </c:pt>
                <c:pt idx="174">
                  <c:v>4358.2378600000002</c:v>
                </c:pt>
                <c:pt idx="175">
                  <c:v>4376.9451799999997</c:v>
                </c:pt>
                <c:pt idx="176">
                  <c:v>4349.6057799999999</c:v>
                </c:pt>
                <c:pt idx="177">
                  <c:v>4327.7830299999996</c:v>
                </c:pt>
                <c:pt idx="178">
                  <c:v>4327.7830299999996</c:v>
                </c:pt>
                <c:pt idx="179">
                  <c:v>4327.7830299999996</c:v>
                </c:pt>
                <c:pt idx="180">
                  <c:v>4373.6348099999996</c:v>
                </c:pt>
                <c:pt idx="181">
                  <c:v>4373.1959900000002</c:v>
                </c:pt>
                <c:pt idx="182">
                  <c:v>4314.6006500000003</c:v>
                </c:pt>
                <c:pt idx="183">
                  <c:v>4277.9974300000003</c:v>
                </c:pt>
                <c:pt idx="184">
                  <c:v>4224.1594800000003</c:v>
                </c:pt>
                <c:pt idx="185">
                  <c:v>4224.1594800000003</c:v>
                </c:pt>
                <c:pt idx="186">
                  <c:v>4224.1594800000003</c:v>
                </c:pt>
                <c:pt idx="187">
                  <c:v>4217.0433899999998</c:v>
                </c:pt>
                <c:pt idx="188">
                  <c:v>4247.6768400000001</c:v>
                </c:pt>
                <c:pt idx="189">
                  <c:v>4186.7652500000004</c:v>
                </c:pt>
                <c:pt idx="190">
                  <c:v>4137.2308400000002</c:v>
                </c:pt>
                <c:pt idx="191">
                  <c:v>4117.3738300000005</c:v>
                </c:pt>
                <c:pt idx="192">
                  <c:v>4117.3738300000005</c:v>
                </c:pt>
                <c:pt idx="193">
                  <c:v>4117.3738300000005</c:v>
                </c:pt>
                <c:pt idx="194">
                  <c:v>4166.8151399999997</c:v>
                </c:pt>
                <c:pt idx="195">
                  <c:v>4193.8009599999996</c:v>
                </c:pt>
                <c:pt idx="196">
                  <c:v>4237.8556500000004</c:v>
                </c:pt>
                <c:pt idx="197">
                  <c:v>4317.7754800000002</c:v>
                </c:pt>
                <c:pt idx="198">
                  <c:v>4358.33518</c:v>
                </c:pt>
                <c:pt idx="199">
                  <c:v>4358.33518</c:v>
                </c:pt>
                <c:pt idx="200">
                  <c:v>4358.33518</c:v>
                </c:pt>
                <c:pt idx="201">
                  <c:v>4365.9780199999996</c:v>
                </c:pt>
                <c:pt idx="202">
                  <c:v>4378.37914</c:v>
                </c:pt>
                <c:pt idx="203">
                  <c:v>4382.7837799999998</c:v>
                </c:pt>
                <c:pt idx="204">
                  <c:v>4347.3493200000003</c:v>
                </c:pt>
                <c:pt idx="205">
                  <c:v>4415.2446900000004</c:v>
                </c:pt>
                <c:pt idx="206">
                  <c:v>4415.2446900000004</c:v>
                </c:pt>
                <c:pt idx="207">
                  <c:v>4415.2446900000004</c:v>
                </c:pt>
                <c:pt idx="208">
                  <c:v>4411.5548900000003</c:v>
                </c:pt>
                <c:pt idx="209">
                  <c:v>4495.7015899999997</c:v>
                </c:pt>
                <c:pt idx="210">
                  <c:v>4502.8788299999997</c:v>
                </c:pt>
                <c:pt idx="211">
                  <c:v>4508.2434999999996</c:v>
                </c:pt>
                <c:pt idx="212">
                  <c:v>4514.0178599999999</c:v>
                </c:pt>
                <c:pt idx="213">
                  <c:v>4514.0178599999999</c:v>
                </c:pt>
                <c:pt idx="214">
                  <c:v>4514.0178599999999</c:v>
                </c:pt>
                <c:pt idx="215">
                  <c:v>4547.3774899999999</c:v>
                </c:pt>
                <c:pt idx="216">
                  <c:v>4538.1916600000004</c:v>
                </c:pt>
                <c:pt idx="217">
                  <c:v>4556.6192199999996</c:v>
                </c:pt>
                <c:pt idx="218">
                  <c:v>4556.6192199999996</c:v>
                </c:pt>
                <c:pt idx="219">
                  <c:v>4559.3352100000002</c:v>
                </c:pt>
                <c:pt idx="220">
                  <c:v>4559.3352100000002</c:v>
                </c:pt>
                <c:pt idx="221">
                  <c:v>4559.3352100000002</c:v>
                </c:pt>
                <c:pt idx="222">
                  <c:v>4550.4280500000004</c:v>
                </c:pt>
                <c:pt idx="223">
                  <c:v>4554.8905599999998</c:v>
                </c:pt>
                <c:pt idx="224">
                  <c:v>4550.5823200000004</c:v>
                </c:pt>
                <c:pt idx="225">
                  <c:v>4567.79864</c:v>
                </c:pt>
                <c:pt idx="226">
                  <c:v>4594.6315800000002</c:v>
                </c:pt>
                <c:pt idx="227">
                  <c:v>4594.6315800000002</c:v>
                </c:pt>
                <c:pt idx="228">
                  <c:v>4594.6315800000002</c:v>
                </c:pt>
                <c:pt idx="229">
                  <c:v>4569.7815600000004</c:v>
                </c:pt>
                <c:pt idx="230">
                  <c:v>4567.1829699999998</c:v>
                </c:pt>
                <c:pt idx="231">
                  <c:v>4549.3373799999999</c:v>
                </c:pt>
                <c:pt idx="232">
                  <c:v>4585.58619</c:v>
                </c:pt>
                <c:pt idx="233">
                  <c:v>4604.3722500000003</c:v>
                </c:pt>
                <c:pt idx="234">
                  <c:v>4604.3722500000003</c:v>
                </c:pt>
                <c:pt idx="235">
                  <c:v>4604.3722500000003</c:v>
                </c:pt>
                <c:pt idx="236">
                  <c:v>4622.4407700000002</c:v>
                </c:pt>
                <c:pt idx="237">
                  <c:v>4643.7017699999997</c:v>
                </c:pt>
                <c:pt idx="238">
                  <c:v>4707.0913600000003</c:v>
                </c:pt>
                <c:pt idx="239">
                  <c:v>4719.5519199999999</c:v>
                </c:pt>
                <c:pt idx="240">
                  <c:v>4719.1906499999996</c:v>
                </c:pt>
                <c:pt idx="241">
                  <c:v>4719.1906499999996</c:v>
                </c:pt>
                <c:pt idx="242">
                  <c:v>4719.1906499999996</c:v>
                </c:pt>
                <c:pt idx="243">
                  <c:v>4740.5560100000002</c:v>
                </c:pt>
                <c:pt idx="244">
                  <c:v>4768.3653700000004</c:v>
                </c:pt>
                <c:pt idx="245">
                  <c:v>4698.3519500000002</c:v>
                </c:pt>
                <c:pt idx="246">
                  <c:v>4746.7456400000001</c:v>
                </c:pt>
                <c:pt idx="247">
                  <c:v>4754.6314499999999</c:v>
                </c:pt>
                <c:pt idx="248">
                  <c:v>4754.6314499999999</c:v>
                </c:pt>
                <c:pt idx="249">
                  <c:v>4754.6314499999999</c:v>
                </c:pt>
                <c:pt idx="250">
                  <c:v>4754.6314499999999</c:v>
                </c:pt>
                <c:pt idx="251">
                  <c:v>4774.7506000000003</c:v>
                </c:pt>
                <c:pt idx="252">
                  <c:v>4781.5788000000002</c:v>
                </c:pt>
                <c:pt idx="253">
                  <c:v>4783.3473800000002</c:v>
                </c:pt>
                <c:pt idx="254">
                  <c:v>4769.8294100000003</c:v>
                </c:pt>
                <c:pt idx="255">
                  <c:v>4769.8294100000003</c:v>
                </c:pt>
                <c:pt idx="256">
                  <c:v>4769.8294100000003</c:v>
                </c:pt>
                <c:pt idx="257">
                  <c:v>4769.8294100000003</c:v>
                </c:pt>
                <c:pt idx="258">
                  <c:v>4742.8294900000001</c:v>
                </c:pt>
                <c:pt idx="259">
                  <c:v>4704.8110900000001</c:v>
                </c:pt>
                <c:pt idx="260">
                  <c:v>4688.6760100000001</c:v>
                </c:pt>
                <c:pt idx="261">
                  <c:v>4697.2449399999996</c:v>
                </c:pt>
                <c:pt idx="262">
                  <c:v>4697.2449399999996</c:v>
                </c:pt>
                <c:pt idx="263">
                  <c:v>4697.2449399999996</c:v>
                </c:pt>
                <c:pt idx="264">
                  <c:v>4763.5372799999996</c:v>
                </c:pt>
                <c:pt idx="265">
                  <c:v>4756.4965400000001</c:v>
                </c:pt>
                <c:pt idx="266">
                  <c:v>4783.4491200000002</c:v>
                </c:pt>
                <c:pt idx="267">
                  <c:v>4780.2424700000001</c:v>
                </c:pt>
                <c:pt idx="268">
                  <c:v>4783.8310700000002</c:v>
                </c:pt>
                <c:pt idx="269">
                  <c:v>4783.8310700000002</c:v>
                </c:pt>
                <c:pt idx="270">
                  <c:v>4783.8310700000002</c:v>
                </c:pt>
                <c:pt idx="271">
                  <c:v>4783.8310700000002</c:v>
                </c:pt>
                <c:pt idx="272">
                  <c:v>4765.9760200000001</c:v>
                </c:pt>
                <c:pt idx="273">
                  <c:v>4739.2081399999997</c:v>
                </c:pt>
                <c:pt idx="274">
                  <c:v>4780.9376499999998</c:v>
                </c:pt>
                <c:pt idx="275">
                  <c:v>4839.81142</c:v>
                </c:pt>
                <c:pt idx="276">
                  <c:v>4839.81142</c:v>
                </c:pt>
                <c:pt idx="277">
                  <c:v>4839.81142</c:v>
                </c:pt>
                <c:pt idx="278">
                  <c:v>4850.4256699999996</c:v>
                </c:pt>
                <c:pt idx="279">
                  <c:v>4864.5967199999996</c:v>
                </c:pt>
                <c:pt idx="280">
                  <c:v>4868.5539200000003</c:v>
                </c:pt>
                <c:pt idx="281">
                  <c:v>4894.1555799999996</c:v>
                </c:pt>
                <c:pt idx="282">
                  <c:v>4890.9705100000001</c:v>
                </c:pt>
                <c:pt idx="283">
                  <c:v>4890.9705100000001</c:v>
                </c:pt>
                <c:pt idx="284">
                  <c:v>4890.9705100000001</c:v>
                </c:pt>
                <c:pt idx="285">
                  <c:v>4927.9288200000001</c:v>
                </c:pt>
                <c:pt idx="286">
                  <c:v>4924.9738900000002</c:v>
                </c:pt>
                <c:pt idx="287">
                  <c:v>4845.6471799999999</c:v>
                </c:pt>
                <c:pt idx="288">
                  <c:v>4906.1940400000003</c:v>
                </c:pt>
                <c:pt idx="289">
                  <c:v>4958.6138899999996</c:v>
                </c:pt>
                <c:pt idx="290">
                  <c:v>4958.6138899999996</c:v>
                </c:pt>
                <c:pt idx="291">
                  <c:v>4958.6138899999996</c:v>
                </c:pt>
                <c:pt idx="292">
                  <c:v>4942.8058799999999</c:v>
                </c:pt>
                <c:pt idx="293">
                  <c:v>4954.2305100000003</c:v>
                </c:pt>
                <c:pt idx="294">
                  <c:v>4995.0558499999997</c:v>
                </c:pt>
                <c:pt idx="295">
                  <c:v>4997.9053700000004</c:v>
                </c:pt>
                <c:pt idx="296">
                  <c:v>5026.6085800000001</c:v>
                </c:pt>
                <c:pt idx="297">
                  <c:v>5026.6085800000001</c:v>
                </c:pt>
                <c:pt idx="298">
                  <c:v>5026.6085800000001</c:v>
                </c:pt>
                <c:pt idx="299">
                  <c:v>5021.8444799999997</c:v>
                </c:pt>
                <c:pt idx="300">
                  <c:v>4953.16795</c:v>
                </c:pt>
                <c:pt idx="301">
                  <c:v>5000.6200699999999</c:v>
                </c:pt>
                <c:pt idx="302">
                  <c:v>5029.7347099999997</c:v>
                </c:pt>
                <c:pt idx="303">
                  <c:v>5005.5684499999998</c:v>
                </c:pt>
                <c:pt idx="304">
                  <c:v>5005.5684499999998</c:v>
                </c:pt>
                <c:pt idx="305">
                  <c:v>5005.5684499999998</c:v>
                </c:pt>
                <c:pt idx="306">
                  <c:v>5005.5684499999998</c:v>
                </c:pt>
                <c:pt idx="307">
                  <c:v>4975.51127</c:v>
                </c:pt>
                <c:pt idx="308">
                  <c:v>4981.7969999999996</c:v>
                </c:pt>
                <c:pt idx="309">
                  <c:v>5087.0324300000002</c:v>
                </c:pt>
                <c:pt idx="310">
                  <c:v>5088.7999499999996</c:v>
                </c:pt>
                <c:pt idx="311">
                  <c:v>5088.7999499999996</c:v>
                </c:pt>
                <c:pt idx="312">
                  <c:v>5088.7999499999996</c:v>
                </c:pt>
                <c:pt idx="313">
                  <c:v>5069.5305099999996</c:v>
                </c:pt>
                <c:pt idx="314">
                  <c:v>5078.1825200000003</c:v>
                </c:pt>
                <c:pt idx="315">
                  <c:v>5069.7565100000002</c:v>
                </c:pt>
                <c:pt idx="316">
                  <c:v>5096.2695000000003</c:v>
                </c:pt>
                <c:pt idx="317">
                  <c:v>5137.0838000000003</c:v>
                </c:pt>
                <c:pt idx="318">
                  <c:v>5137.0838000000003</c:v>
                </c:pt>
                <c:pt idx="319">
                  <c:v>5137.0838000000003</c:v>
                </c:pt>
                <c:pt idx="320">
                  <c:v>5130.9491500000004</c:v>
                </c:pt>
                <c:pt idx="321">
                  <c:v>5078.6540000000005</c:v>
                </c:pt>
                <c:pt idx="322">
                  <c:v>5104.7571600000001</c:v>
                </c:pt>
                <c:pt idx="323">
                  <c:v>5157.3592799999997</c:v>
                </c:pt>
                <c:pt idx="324">
                  <c:v>5123.6910900000003</c:v>
                </c:pt>
                <c:pt idx="325">
                  <c:v>5123.6910900000003</c:v>
                </c:pt>
                <c:pt idx="326">
                  <c:v>5123.6910900000003</c:v>
                </c:pt>
                <c:pt idx="327">
                  <c:v>5117.9367599999996</c:v>
                </c:pt>
                <c:pt idx="328">
                  <c:v>5175.2676199999996</c:v>
                </c:pt>
                <c:pt idx="329">
                  <c:v>5165.31185</c:v>
                </c:pt>
                <c:pt idx="330">
                  <c:v>5150.4799199999998</c:v>
                </c:pt>
                <c:pt idx="331">
                  <c:v>5117.0882199999996</c:v>
                </c:pt>
                <c:pt idx="332">
                  <c:v>5117.0882199999996</c:v>
                </c:pt>
                <c:pt idx="333">
                  <c:v>5117.0882199999996</c:v>
                </c:pt>
                <c:pt idx="334">
                  <c:v>5149.4174700000003</c:v>
                </c:pt>
                <c:pt idx="335">
                  <c:v>5178.5092599999998</c:v>
                </c:pt>
                <c:pt idx="336">
                  <c:v>5224.6232399999999</c:v>
                </c:pt>
                <c:pt idx="337">
                  <c:v>5241.5328</c:v>
                </c:pt>
                <c:pt idx="338">
                  <c:v>5234.1800599999997</c:v>
                </c:pt>
                <c:pt idx="339">
                  <c:v>5234.1800599999997</c:v>
                </c:pt>
                <c:pt idx="340">
                  <c:v>5234.1800599999997</c:v>
                </c:pt>
                <c:pt idx="341">
                  <c:v>5218.1866200000004</c:v>
                </c:pt>
                <c:pt idx="342">
                  <c:v>5203.5842000000002</c:v>
                </c:pt>
                <c:pt idx="343">
                  <c:v>5248.4931299999998</c:v>
                </c:pt>
                <c:pt idx="344">
                  <c:v>5254.3544000000002</c:v>
                </c:pt>
                <c:pt idx="345">
                  <c:v>5254.3544000000002</c:v>
                </c:pt>
                <c:pt idx="346">
                  <c:v>5254.3544000000002</c:v>
                </c:pt>
                <c:pt idx="347">
                  <c:v>5254.3544000000002</c:v>
                </c:pt>
                <c:pt idx="348">
                  <c:v>5243.7729499999996</c:v>
                </c:pt>
                <c:pt idx="349">
                  <c:v>5205.8110900000001</c:v>
                </c:pt>
                <c:pt idx="350">
                  <c:v>5211.4860900000003</c:v>
                </c:pt>
                <c:pt idx="351">
                  <c:v>5147.2089800000003</c:v>
                </c:pt>
                <c:pt idx="352">
                  <c:v>5204.3351400000001</c:v>
                </c:pt>
                <c:pt idx="353">
                  <c:v>5204.3351400000001</c:v>
                </c:pt>
                <c:pt idx="354">
                  <c:v>5204.3351400000001</c:v>
                </c:pt>
                <c:pt idx="355">
                  <c:v>5202.3919299999998</c:v>
                </c:pt>
                <c:pt idx="356">
                  <c:v>5209.9108399999996</c:v>
                </c:pt>
                <c:pt idx="357">
                  <c:v>5160.6397900000002</c:v>
                </c:pt>
                <c:pt idx="358">
                  <c:v>5199.0567700000001</c:v>
                </c:pt>
                <c:pt idx="359">
                  <c:v>5123.4068200000002</c:v>
                </c:pt>
                <c:pt idx="360">
                  <c:v>5123.4068200000002</c:v>
                </c:pt>
                <c:pt idx="361">
                  <c:v>5123.4068200000002</c:v>
                </c:pt>
                <c:pt idx="362">
                  <c:v>5061.8155299999999</c:v>
                </c:pt>
                <c:pt idx="363">
                  <c:v>5051.4139500000001</c:v>
                </c:pt>
                <c:pt idx="364">
                  <c:v>5022.2080400000004</c:v>
                </c:pt>
                <c:pt idx="365">
                  <c:v>5011.1227500000005</c:v>
                </c:pt>
                <c:pt idx="366">
                  <c:v>4967.2349000000004</c:v>
                </c:pt>
                <c:pt idx="367">
                  <c:v>4967.2349000000004</c:v>
                </c:pt>
                <c:pt idx="368">
                  <c:v>4967.2349000000004</c:v>
                </c:pt>
                <c:pt idx="369">
                  <c:v>5010.6046399999996</c:v>
                </c:pt>
                <c:pt idx="370">
                  <c:v>5070.55123</c:v>
                </c:pt>
                <c:pt idx="371">
                  <c:v>5071.6284699999997</c:v>
                </c:pt>
                <c:pt idx="372">
                  <c:v>5048.4157100000002</c:v>
                </c:pt>
                <c:pt idx="373">
                  <c:v>5099.96245</c:v>
                </c:pt>
                <c:pt idx="374">
                  <c:v>5099.96245</c:v>
                </c:pt>
                <c:pt idx="375">
                  <c:v>5099.96245</c:v>
                </c:pt>
                <c:pt idx="376">
                  <c:v>5116.1675599999999</c:v>
                </c:pt>
                <c:pt idx="377">
                  <c:v>5035.6916799999999</c:v>
                </c:pt>
                <c:pt idx="378">
                  <c:v>5018.3850000000002</c:v>
                </c:pt>
                <c:pt idx="379">
                  <c:v>5064.1952700000002</c:v>
                </c:pt>
                <c:pt idx="380">
                  <c:v>5127.7866299999996</c:v>
                </c:pt>
                <c:pt idx="381">
                  <c:v>5127.7866299999996</c:v>
                </c:pt>
                <c:pt idx="382">
                  <c:v>5127.7866299999996</c:v>
                </c:pt>
                <c:pt idx="383">
                  <c:v>5180.7406899999996</c:v>
                </c:pt>
                <c:pt idx="384">
                  <c:v>5187.6978600000002</c:v>
                </c:pt>
                <c:pt idx="385">
                  <c:v>5187.6707399999996</c:v>
                </c:pt>
                <c:pt idx="386">
                  <c:v>5214.0814300000002</c:v>
                </c:pt>
                <c:pt idx="387">
                  <c:v>5222.6753699999999</c:v>
                </c:pt>
                <c:pt idx="388">
                  <c:v>5222.6753699999999</c:v>
                </c:pt>
                <c:pt idx="389">
                  <c:v>5222.6753699999999</c:v>
                </c:pt>
                <c:pt idx="390">
                  <c:v>5221.4156400000002</c:v>
                </c:pt>
                <c:pt idx="391">
                  <c:v>5246.6805199999999</c:v>
                </c:pt>
                <c:pt idx="392">
                  <c:v>5308.14959</c:v>
                </c:pt>
                <c:pt idx="393">
                  <c:v>5297.0984500000004</c:v>
                </c:pt>
                <c:pt idx="394">
                  <c:v>5303.2696599999999</c:v>
                </c:pt>
                <c:pt idx="395">
                  <c:v>5303.2696599999999</c:v>
                </c:pt>
                <c:pt idx="396">
                  <c:v>5303.2696599999999</c:v>
                </c:pt>
                <c:pt idx="397">
                  <c:v>5308.1322700000001</c:v>
                </c:pt>
                <c:pt idx="398">
                  <c:v>5321.4120199999998</c:v>
                </c:pt>
                <c:pt idx="399">
                  <c:v>5307.00522</c:v>
                </c:pt>
                <c:pt idx="400">
                  <c:v>5267.8380699999998</c:v>
                </c:pt>
                <c:pt idx="401">
                  <c:v>5304.7175999999999</c:v>
                </c:pt>
                <c:pt idx="402">
                  <c:v>5304.7175999999999</c:v>
                </c:pt>
                <c:pt idx="403">
                  <c:v>5304.7175999999999</c:v>
                </c:pt>
                <c:pt idx="404">
                  <c:v>5304.7175999999999</c:v>
                </c:pt>
                <c:pt idx="405">
                  <c:v>5306.0444699999998</c:v>
                </c:pt>
                <c:pt idx="406">
                  <c:v>5266.9493599999996</c:v>
                </c:pt>
                <c:pt idx="407">
                  <c:v>5235.4772599999997</c:v>
                </c:pt>
                <c:pt idx="408">
                  <c:v>5277.5073499999999</c:v>
                </c:pt>
                <c:pt idx="409">
                  <c:v>5277.5073499999999</c:v>
                </c:pt>
                <c:pt idx="410">
                  <c:v>5277.5073499999999</c:v>
                </c:pt>
                <c:pt idx="411">
                  <c:v>5283.3968699999996</c:v>
                </c:pt>
                <c:pt idx="412">
                  <c:v>5291.3354099999997</c:v>
                </c:pt>
                <c:pt idx="413">
                  <c:v>5354.0286500000002</c:v>
                </c:pt>
                <c:pt idx="414">
                  <c:v>5352.9622399999998</c:v>
                </c:pt>
                <c:pt idx="415">
                  <c:v>5346.9880700000003</c:v>
                </c:pt>
                <c:pt idx="416">
                  <c:v>5346.9880700000003</c:v>
                </c:pt>
                <c:pt idx="417">
                  <c:v>5346.9880700000003</c:v>
                </c:pt>
                <c:pt idx="418">
                  <c:v>5360.7884899999999</c:v>
                </c:pt>
                <c:pt idx="419">
                  <c:v>5375.3161799999998</c:v>
                </c:pt>
                <c:pt idx="420">
                  <c:v>5421.02585</c:v>
                </c:pt>
                <c:pt idx="421">
                  <c:v>5433.7431999999999</c:v>
                </c:pt>
                <c:pt idx="422">
                  <c:v>5431.6016499999996</c:v>
                </c:pt>
                <c:pt idx="423">
                  <c:v>5431.6016499999996</c:v>
                </c:pt>
                <c:pt idx="424">
                  <c:v>5431.6016499999996</c:v>
                </c:pt>
                <c:pt idx="425">
                  <c:v>5473.23315</c:v>
                </c:pt>
                <c:pt idx="426">
                  <c:v>5487.0264900000002</c:v>
                </c:pt>
                <c:pt idx="427">
                  <c:v>5487.0264900000002</c:v>
                </c:pt>
                <c:pt idx="428">
                  <c:v>5473.1687899999997</c:v>
                </c:pt>
                <c:pt idx="429">
                  <c:v>5464.6213399999997</c:v>
                </c:pt>
                <c:pt idx="430">
                  <c:v>5464.6213399999997</c:v>
                </c:pt>
                <c:pt idx="431">
                  <c:v>5464.6213399999997</c:v>
                </c:pt>
                <c:pt idx="432">
                  <c:v>5447.8726500000002</c:v>
                </c:pt>
                <c:pt idx="433">
                  <c:v>5469.2974299999996</c:v>
                </c:pt>
                <c:pt idx="434">
                  <c:v>5477.90362</c:v>
                </c:pt>
                <c:pt idx="435">
                  <c:v>5482.8717800000004</c:v>
                </c:pt>
                <c:pt idx="436">
                  <c:v>5460.4826199999998</c:v>
                </c:pt>
                <c:pt idx="437">
                  <c:v>5460.4826199999998</c:v>
                </c:pt>
                <c:pt idx="438">
                  <c:v>5460.4826199999998</c:v>
                </c:pt>
                <c:pt idx="439">
                  <c:v>5475.08835</c:v>
                </c:pt>
                <c:pt idx="440">
                  <c:v>5509.0111100000004</c:v>
                </c:pt>
                <c:pt idx="441">
                  <c:v>5537.0191299999997</c:v>
                </c:pt>
                <c:pt idx="442">
                  <c:v>5537.0191299999997</c:v>
                </c:pt>
                <c:pt idx="443">
                  <c:v>5567.1903899999998</c:v>
                </c:pt>
                <c:pt idx="444">
                  <c:v>5567.1903899999998</c:v>
                </c:pt>
                <c:pt idx="445">
                  <c:v>5567.1903899999998</c:v>
                </c:pt>
                <c:pt idx="446">
                  <c:v>5572.8501999999999</c:v>
                </c:pt>
                <c:pt idx="447">
                  <c:v>5576.9844999999996</c:v>
                </c:pt>
                <c:pt idx="448">
                  <c:v>5633.9122100000004</c:v>
                </c:pt>
                <c:pt idx="449">
                  <c:v>5584.5443299999997</c:v>
                </c:pt>
                <c:pt idx="450">
                  <c:v>5615.3487599999999</c:v>
                </c:pt>
                <c:pt idx="451">
                  <c:v>5615.3487599999999</c:v>
                </c:pt>
                <c:pt idx="452">
                  <c:v>5615.3487599999999</c:v>
                </c:pt>
                <c:pt idx="453">
                  <c:v>5631.2160400000002</c:v>
                </c:pt>
                <c:pt idx="454">
                  <c:v>5667.19769</c:v>
                </c:pt>
                <c:pt idx="455">
                  <c:v>5588.2716899999996</c:v>
                </c:pt>
                <c:pt idx="456">
                  <c:v>5544.5932400000002</c:v>
                </c:pt>
                <c:pt idx="457">
                  <c:v>5505.0030900000002</c:v>
                </c:pt>
                <c:pt idx="458">
                  <c:v>5505.0030900000002</c:v>
                </c:pt>
                <c:pt idx="459">
                  <c:v>5505.0030900000002</c:v>
                </c:pt>
                <c:pt idx="460">
                  <c:v>5564.4128899999996</c:v>
                </c:pt>
                <c:pt idx="461">
                  <c:v>5555.7436699999998</c:v>
                </c:pt>
                <c:pt idx="462">
                  <c:v>5427.1276799999996</c:v>
                </c:pt>
                <c:pt idx="463">
                  <c:v>5399.2224800000004</c:v>
                </c:pt>
                <c:pt idx="464">
                  <c:v>5459.0973999999997</c:v>
                </c:pt>
                <c:pt idx="465">
                  <c:v>5459.0973999999997</c:v>
                </c:pt>
                <c:pt idx="466">
                  <c:v>5459.0973999999997</c:v>
                </c:pt>
                <c:pt idx="467">
                  <c:v>5463.5384700000004</c:v>
                </c:pt>
                <c:pt idx="468">
                  <c:v>5436.4440999999997</c:v>
                </c:pt>
                <c:pt idx="469">
                  <c:v>5522.3018400000001</c:v>
                </c:pt>
                <c:pt idx="470">
                  <c:v>5446.6843200000003</c:v>
                </c:pt>
                <c:pt idx="471">
                  <c:v>5346.5632599999999</c:v>
                </c:pt>
                <c:pt idx="472">
                  <c:v>5346.5632599999999</c:v>
                </c:pt>
                <c:pt idx="473">
                  <c:v>5346.5632599999999</c:v>
                </c:pt>
                <c:pt idx="474">
                  <c:v>5186.3304099999996</c:v>
                </c:pt>
                <c:pt idx="475">
                  <c:v>5240.0261499999997</c:v>
                </c:pt>
                <c:pt idx="476">
                  <c:v>5199.4999699999998</c:v>
                </c:pt>
                <c:pt idx="477">
                  <c:v>5319.3081199999997</c:v>
                </c:pt>
                <c:pt idx="478">
                  <c:v>5344.1643599999998</c:v>
                </c:pt>
                <c:pt idx="479">
                  <c:v>5344.1643599999998</c:v>
                </c:pt>
                <c:pt idx="480">
                  <c:v>5344.1643599999998</c:v>
                </c:pt>
                <c:pt idx="481">
                  <c:v>5344.3851999999997</c:v>
                </c:pt>
                <c:pt idx="482">
                  <c:v>5434.4328299999997</c:v>
                </c:pt>
                <c:pt idx="483">
                  <c:v>5455.2120000000004</c:v>
                </c:pt>
                <c:pt idx="484">
                  <c:v>5543.2182300000004</c:v>
                </c:pt>
                <c:pt idx="485">
                  <c:v>5554.2510599999996</c:v>
                </c:pt>
                <c:pt idx="486">
                  <c:v>5554.2510599999996</c:v>
                </c:pt>
                <c:pt idx="487">
                  <c:v>5554.2510599999996</c:v>
                </c:pt>
                <c:pt idx="488">
                  <c:v>5608.2472600000001</c:v>
                </c:pt>
                <c:pt idx="489">
                  <c:v>5597.12482</c:v>
                </c:pt>
                <c:pt idx="490">
                  <c:v>5620.8527199999999</c:v>
                </c:pt>
                <c:pt idx="491">
                  <c:v>5570.6445700000004</c:v>
                </c:pt>
                <c:pt idx="492">
                  <c:v>5634.6058499999999</c:v>
                </c:pt>
                <c:pt idx="493">
                  <c:v>5634.6058499999999</c:v>
                </c:pt>
                <c:pt idx="494">
                  <c:v>5634.6058499999999</c:v>
                </c:pt>
                <c:pt idx="495">
                  <c:v>5616.8358500000004</c:v>
                </c:pt>
                <c:pt idx="496">
                  <c:v>5625.8019599999998</c:v>
                </c:pt>
                <c:pt idx="497">
                  <c:v>5592.1772099999998</c:v>
                </c:pt>
                <c:pt idx="498">
                  <c:v>5591.9637199999997</c:v>
                </c:pt>
                <c:pt idx="499">
                  <c:v>5648.3972400000002</c:v>
                </c:pt>
                <c:pt idx="500">
                  <c:v>5648.3972400000002</c:v>
                </c:pt>
                <c:pt idx="501">
                  <c:v>5648.3972400000002</c:v>
                </c:pt>
                <c:pt idx="502">
                  <c:v>5648.3972400000002</c:v>
                </c:pt>
                <c:pt idx="503">
                  <c:v>5528.9333999999999</c:v>
                </c:pt>
                <c:pt idx="504">
                  <c:v>5520.0678200000002</c:v>
                </c:pt>
                <c:pt idx="505">
                  <c:v>5503.4085699999996</c:v>
                </c:pt>
                <c:pt idx="506">
                  <c:v>5408.4221399999997</c:v>
                </c:pt>
                <c:pt idx="507">
                  <c:v>5408.4221399999997</c:v>
                </c:pt>
                <c:pt idx="508">
                  <c:v>5408.4221399999997</c:v>
                </c:pt>
                <c:pt idx="509">
                  <c:v>5471.0514499999999</c:v>
                </c:pt>
                <c:pt idx="510">
                  <c:v>5495.5194099999999</c:v>
                </c:pt>
                <c:pt idx="511">
                  <c:v>5554.1324199999999</c:v>
                </c:pt>
                <c:pt idx="512">
                  <c:v>5595.7634900000003</c:v>
                </c:pt>
                <c:pt idx="513">
                  <c:v>5626.0186000000003</c:v>
                </c:pt>
                <c:pt idx="514">
                  <c:v>5626.0186000000003</c:v>
                </c:pt>
                <c:pt idx="515">
                  <c:v>5626.0186000000003</c:v>
                </c:pt>
                <c:pt idx="516">
                  <c:v>5633.0877799999998</c:v>
                </c:pt>
                <c:pt idx="517">
                  <c:v>5634.5804399999997</c:v>
                </c:pt>
                <c:pt idx="518">
                  <c:v>5618.2590300000002</c:v>
                </c:pt>
                <c:pt idx="519">
                  <c:v>5713.6410900000001</c:v>
                </c:pt>
                <c:pt idx="520">
                  <c:v>5702.5476200000003</c:v>
                </c:pt>
                <c:pt idx="521">
                  <c:v>5702.5476200000003</c:v>
                </c:pt>
                <c:pt idx="522">
                  <c:v>5702.5476200000003</c:v>
                </c:pt>
                <c:pt idx="523">
                  <c:v>5718.5664900000002</c:v>
                </c:pt>
                <c:pt idx="524">
                  <c:v>5732.9273499999999</c:v>
                </c:pt>
                <c:pt idx="525">
                  <c:v>5722.2605999999996</c:v>
                </c:pt>
                <c:pt idx="526">
                  <c:v>5745.3660900000004</c:v>
                </c:pt>
                <c:pt idx="527">
                  <c:v>5738.1717799999997</c:v>
                </c:pt>
                <c:pt idx="528">
                  <c:v>5738.1717799999997</c:v>
                </c:pt>
                <c:pt idx="529">
                  <c:v>5738.1717799999997</c:v>
                </c:pt>
                <c:pt idx="530">
                  <c:v>5762.48488</c:v>
                </c:pt>
                <c:pt idx="531">
                  <c:v>5708.7514799999999</c:v>
                </c:pt>
                <c:pt idx="532">
                  <c:v>5709.5394399999996</c:v>
                </c:pt>
                <c:pt idx="533">
                  <c:v>5699.94175</c:v>
                </c:pt>
                <c:pt idx="534">
                  <c:v>5751.0681999999997</c:v>
                </c:pt>
                <c:pt idx="535">
                  <c:v>5751.0681999999997</c:v>
                </c:pt>
                <c:pt idx="536">
                  <c:v>5751.0681999999997</c:v>
                </c:pt>
                <c:pt idx="537">
                  <c:v>5695.9434199999996</c:v>
                </c:pt>
                <c:pt idx="538">
                  <c:v>5751.1328899999999</c:v>
                </c:pt>
                <c:pt idx="539">
                  <c:v>5792.0414799999999</c:v>
                </c:pt>
                <c:pt idx="540">
                  <c:v>5780.0512900000003</c:v>
                </c:pt>
                <c:pt idx="541">
                  <c:v>5815.03341</c:v>
                </c:pt>
                <c:pt idx="542">
                  <c:v>5815.03341</c:v>
                </c:pt>
                <c:pt idx="543">
                  <c:v>5815.03341</c:v>
                </c:pt>
                <c:pt idx="544">
                  <c:v>5859.8501500000002</c:v>
                </c:pt>
                <c:pt idx="545">
                  <c:v>5815.2599399999999</c:v>
                </c:pt>
                <c:pt idx="546">
                  <c:v>5842.4745199999998</c:v>
                </c:pt>
                <c:pt idx="547">
                  <c:v>5841.4724100000003</c:v>
                </c:pt>
                <c:pt idx="548">
                  <c:v>5864.6679100000001</c:v>
                </c:pt>
                <c:pt idx="549">
                  <c:v>5864.6679100000001</c:v>
                </c:pt>
                <c:pt idx="550">
                  <c:v>5864.6679100000001</c:v>
                </c:pt>
                <c:pt idx="551">
                  <c:v>5853.9822299999996</c:v>
                </c:pt>
                <c:pt idx="552">
                  <c:v>5851.2023600000002</c:v>
                </c:pt>
                <c:pt idx="553">
                  <c:v>5797.4225900000001</c:v>
                </c:pt>
                <c:pt idx="554">
                  <c:v>5809.8592200000003</c:v>
                </c:pt>
                <c:pt idx="555">
                  <c:v>5808.1170099999999</c:v>
                </c:pt>
                <c:pt idx="556">
                  <c:v>5808.1170099999999</c:v>
                </c:pt>
                <c:pt idx="557">
                  <c:v>5808.1170099999999</c:v>
                </c:pt>
                <c:pt idx="558">
                  <c:v>5823.51775</c:v>
                </c:pt>
                <c:pt idx="559">
                  <c:v>5832.91705</c:v>
                </c:pt>
                <c:pt idx="560">
                  <c:v>5813.6697000000004</c:v>
                </c:pt>
                <c:pt idx="561">
                  <c:v>5705.4479199999996</c:v>
                </c:pt>
                <c:pt idx="562">
                  <c:v>5728.8013600000004</c:v>
                </c:pt>
                <c:pt idx="563">
                  <c:v>5728.8013600000004</c:v>
                </c:pt>
                <c:pt idx="564">
                  <c:v>5728.8013600000004</c:v>
                </c:pt>
                <c:pt idx="565">
                  <c:v>5712.6883399999997</c:v>
                </c:pt>
                <c:pt idx="566">
                  <c:v>5782.7558099999997</c:v>
                </c:pt>
                <c:pt idx="567">
                  <c:v>5929.0442400000002</c:v>
                </c:pt>
                <c:pt idx="568">
                  <c:v>5973.1031599999997</c:v>
                </c:pt>
                <c:pt idx="569">
                  <c:v>5995.5373399999999</c:v>
                </c:pt>
                <c:pt idx="570">
                  <c:v>5995.5373399999999</c:v>
                </c:pt>
                <c:pt idx="571">
                  <c:v>5995.5373399999999</c:v>
                </c:pt>
                <c:pt idx="572">
                  <c:v>6001.34699</c:v>
                </c:pt>
                <c:pt idx="573">
                  <c:v>5983.9898599999997</c:v>
                </c:pt>
                <c:pt idx="574">
                  <c:v>5985.3780100000004</c:v>
                </c:pt>
                <c:pt idx="575">
                  <c:v>5949.1709199999996</c:v>
                </c:pt>
                <c:pt idx="576">
                  <c:v>5870.6164099999996</c:v>
                </c:pt>
                <c:pt idx="577">
                  <c:v>5870.6164099999996</c:v>
                </c:pt>
                <c:pt idx="578">
                  <c:v>5870.6164099999996</c:v>
                </c:pt>
                <c:pt idx="579">
                  <c:v>5893.62345</c:v>
                </c:pt>
                <c:pt idx="580">
                  <c:v>5916.9773500000001</c:v>
                </c:pt>
                <c:pt idx="581">
                  <c:v>5917.1110500000004</c:v>
                </c:pt>
                <c:pt idx="582">
                  <c:v>5948.7072200000002</c:v>
                </c:pt>
                <c:pt idx="583">
                  <c:v>5969.3430799999996</c:v>
                </c:pt>
                <c:pt idx="584">
                  <c:v>5969.3430799999996</c:v>
                </c:pt>
                <c:pt idx="585">
                  <c:v>5969.3430799999996</c:v>
                </c:pt>
                <c:pt idx="586">
                  <c:v>5987.3663500000002</c:v>
                </c:pt>
                <c:pt idx="587">
                  <c:v>6021.6325900000002</c:v>
                </c:pt>
                <c:pt idx="588">
                  <c:v>5998.7380499999999</c:v>
                </c:pt>
                <c:pt idx="589">
                  <c:v>5998.7380499999999</c:v>
                </c:pt>
                <c:pt idx="590">
                  <c:v>6032.3844099999997</c:v>
                </c:pt>
                <c:pt idx="591">
                  <c:v>6032.3844099999997</c:v>
                </c:pt>
                <c:pt idx="592">
                  <c:v>6032.3844099999997</c:v>
                </c:pt>
                <c:pt idx="593">
                  <c:v>6047.1458400000001</c:v>
                </c:pt>
                <c:pt idx="594">
                  <c:v>6049.8817499999996</c:v>
                </c:pt>
                <c:pt idx="595">
                  <c:v>6086.4872599999999</c:v>
                </c:pt>
                <c:pt idx="596">
                  <c:v>6075.10707</c:v>
                </c:pt>
                <c:pt idx="597">
                  <c:v>6090.2704700000004</c:v>
                </c:pt>
                <c:pt idx="598">
                  <c:v>6090.2704700000004</c:v>
                </c:pt>
                <c:pt idx="599">
                  <c:v>6090.2704700000004</c:v>
                </c:pt>
                <c:pt idx="600">
                  <c:v>6052.8485600000004</c:v>
                </c:pt>
                <c:pt idx="601">
                  <c:v>6034.9122799999996</c:v>
                </c:pt>
                <c:pt idx="602">
                  <c:v>6084.1894899999998</c:v>
                </c:pt>
                <c:pt idx="603">
                  <c:v>6051.2473</c:v>
                </c:pt>
                <c:pt idx="604">
                  <c:v>6051.09202</c:v>
                </c:pt>
                <c:pt idx="605">
                  <c:v>6051.09202</c:v>
                </c:pt>
                <c:pt idx="606">
                  <c:v>6051.09202</c:v>
                </c:pt>
                <c:pt idx="607">
                  <c:v>6074.0834699999996</c:v>
                </c:pt>
                <c:pt idx="608">
                  <c:v>6050.6105399999997</c:v>
                </c:pt>
                <c:pt idx="609">
                  <c:v>5872.15985</c:v>
                </c:pt>
                <c:pt idx="610">
                  <c:v>5867.0769899999996</c:v>
                </c:pt>
                <c:pt idx="611">
                  <c:v>5930.8501399999996</c:v>
                </c:pt>
                <c:pt idx="612">
                  <c:v>5930.8501399999996</c:v>
                </c:pt>
                <c:pt idx="613">
                  <c:v>5930.8501399999996</c:v>
                </c:pt>
                <c:pt idx="614">
                  <c:v>5974.0730700000004</c:v>
                </c:pt>
                <c:pt idx="615">
                  <c:v>6040.0355799999998</c:v>
                </c:pt>
                <c:pt idx="616">
                  <c:v>6040.0355799999998</c:v>
                </c:pt>
                <c:pt idx="617">
                  <c:v>6037.5908600000002</c:v>
                </c:pt>
                <c:pt idx="618">
                  <c:v>5970.8376399999997</c:v>
                </c:pt>
                <c:pt idx="619">
                  <c:v>5970.8376399999997</c:v>
                </c:pt>
                <c:pt idx="620">
                  <c:v>5970.8376399999997</c:v>
                </c:pt>
                <c:pt idx="621">
                  <c:v>5906.9355999999998</c:v>
                </c:pt>
                <c:pt idx="622">
                  <c:v>5881.6276500000004</c:v>
                </c:pt>
                <c:pt idx="623">
                  <c:v>5881.6276500000004</c:v>
                </c:pt>
                <c:pt idx="624">
                  <c:v>5868.5513199999996</c:v>
                </c:pt>
                <c:pt idx="625">
                  <c:v>5942.4724999999999</c:v>
                </c:pt>
                <c:pt idx="626">
                  <c:v>5942.4724999999999</c:v>
                </c:pt>
                <c:pt idx="627">
                  <c:v>5942.4724999999999</c:v>
                </c:pt>
                <c:pt idx="628">
                  <c:v>5975.3755300000003</c:v>
                </c:pt>
                <c:pt idx="629">
                  <c:v>5909.0307499999999</c:v>
                </c:pt>
                <c:pt idx="630">
                  <c:v>5918.2478300000002</c:v>
                </c:pt>
                <c:pt idx="631">
                  <c:v>5918.2478300000002</c:v>
                </c:pt>
                <c:pt idx="632">
                  <c:v>5827.0444299999999</c:v>
                </c:pt>
                <c:pt idx="633">
                  <c:v>5827.0444299999999</c:v>
                </c:pt>
                <c:pt idx="634">
                  <c:v>5827.0444299999999</c:v>
                </c:pt>
                <c:pt idx="635">
                  <c:v>5836.2178700000004</c:v>
                </c:pt>
                <c:pt idx="636">
                  <c:v>5842.9107400000003</c:v>
                </c:pt>
                <c:pt idx="637">
                  <c:v>5949.9111199999998</c:v>
                </c:pt>
                <c:pt idx="638">
                  <c:v>5937.3404899999996</c:v>
                </c:pt>
                <c:pt idx="639">
                  <c:v>5996.6647499999999</c:v>
                </c:pt>
                <c:pt idx="640">
                  <c:v>5996.6647499999999</c:v>
                </c:pt>
                <c:pt idx="641">
                  <c:v>5996.6647499999999</c:v>
                </c:pt>
                <c:pt idx="642">
                  <c:v>5996.6647499999999</c:v>
                </c:pt>
                <c:pt idx="643">
                  <c:v>6049.24208</c:v>
                </c:pt>
                <c:pt idx="644">
                  <c:v>6086.3696300000001</c:v>
                </c:pt>
                <c:pt idx="645">
                  <c:v>6118.7063500000004</c:v>
                </c:pt>
                <c:pt idx="646">
                  <c:v>6101.2429300000003</c:v>
                </c:pt>
                <c:pt idx="647">
                  <c:v>6101.2429300000003</c:v>
                </c:pt>
                <c:pt idx="648">
                  <c:v>6101.2429300000003</c:v>
                </c:pt>
                <c:pt idx="649">
                  <c:v>6012.2769200000002</c:v>
                </c:pt>
                <c:pt idx="650">
                  <c:v>6067.69949</c:v>
                </c:pt>
                <c:pt idx="651">
                  <c:v>6039.3114999999998</c:v>
                </c:pt>
                <c:pt idx="652">
                  <c:v>6071.17454</c:v>
                </c:pt>
                <c:pt idx="653">
                  <c:v>6040.5259299999998</c:v>
                </c:pt>
                <c:pt idx="654">
                  <c:v>6040.5259299999998</c:v>
                </c:pt>
                <c:pt idx="655">
                  <c:v>6040.5259299999998</c:v>
                </c:pt>
                <c:pt idx="656">
                  <c:v>5994.56736</c:v>
                </c:pt>
                <c:pt idx="657">
                  <c:v>6037.8771900000002</c:v>
                </c:pt>
                <c:pt idx="658">
                  <c:v>6061.4807499999997</c:v>
                </c:pt>
                <c:pt idx="659">
                  <c:v>6083.5681299999997</c:v>
                </c:pt>
                <c:pt idx="660">
                  <c:v>6025.9924899999996</c:v>
                </c:pt>
                <c:pt idx="661">
                  <c:v>6025.9924899999996</c:v>
                </c:pt>
                <c:pt idx="662">
                  <c:v>6025.9924899999996</c:v>
                </c:pt>
                <c:pt idx="663">
                  <c:v>6066.44254</c:v>
                </c:pt>
                <c:pt idx="664">
                  <c:v>6068.50378</c:v>
                </c:pt>
                <c:pt idx="665">
                  <c:v>6051.9678100000001</c:v>
                </c:pt>
                <c:pt idx="666">
                  <c:v>6115.0715700000001</c:v>
                </c:pt>
                <c:pt idx="667">
                  <c:v>6114.6314700000003</c:v>
                </c:pt>
                <c:pt idx="668">
                  <c:v>6114.6314700000003</c:v>
                </c:pt>
                <c:pt idx="669">
                  <c:v>6114.6314700000003</c:v>
                </c:pt>
                <c:pt idx="670">
                  <c:v>6114.6314700000003</c:v>
                </c:pt>
                <c:pt idx="671">
                  <c:v>6129.58403</c:v>
                </c:pt>
                <c:pt idx="672">
                  <c:v>6144.1520399999999</c:v>
                </c:pt>
                <c:pt idx="673">
                  <c:v>6117.5207399999999</c:v>
                </c:pt>
                <c:pt idx="674">
                  <c:v>6013.1278599999996</c:v>
                </c:pt>
                <c:pt idx="675">
                  <c:v>6013.1278599999996</c:v>
                </c:pt>
                <c:pt idx="676">
                  <c:v>6013.1278599999996</c:v>
                </c:pt>
                <c:pt idx="677">
                  <c:v>5983.2468500000004</c:v>
                </c:pt>
                <c:pt idx="678">
                  <c:v>5955.2524299999995</c:v>
                </c:pt>
                <c:pt idx="679">
                  <c:v>5956.0586899999998</c:v>
                </c:pt>
                <c:pt idx="680">
                  <c:v>5861.5735800000002</c:v>
                </c:pt>
                <c:pt idx="681">
                  <c:v>5954.5048299999999</c:v>
                </c:pt>
                <c:pt idx="682">
                  <c:v>5954.5048299999999</c:v>
                </c:pt>
                <c:pt idx="683">
                  <c:v>5954.5048299999999</c:v>
                </c:pt>
                <c:pt idx="684">
                  <c:v>5849.7194200000004</c:v>
                </c:pt>
                <c:pt idx="685">
                  <c:v>5778.1491900000001</c:v>
                </c:pt>
                <c:pt idx="686">
                  <c:v>5842.6254900000004</c:v>
                </c:pt>
                <c:pt idx="687">
                  <c:v>5738.5187100000003</c:v>
                </c:pt>
                <c:pt idx="688">
                  <c:v>5770.1956099999998</c:v>
                </c:pt>
                <c:pt idx="689">
                  <c:v>5770.1956099999998</c:v>
                </c:pt>
                <c:pt idx="690">
                  <c:v>5770.1956099999998</c:v>
                </c:pt>
                <c:pt idx="691">
                  <c:v>5614.5635499999999</c:v>
                </c:pt>
                <c:pt idx="692">
                  <c:v>5572.0699199999999</c:v>
                </c:pt>
                <c:pt idx="693">
                  <c:v>5599.30026</c:v>
                </c:pt>
                <c:pt idx="694">
                  <c:v>5521.5192999999999</c:v>
                </c:pt>
                <c:pt idx="695">
                  <c:v>5638.9401699999999</c:v>
                </c:pt>
                <c:pt idx="696">
                  <c:v>5638.9401699999999</c:v>
                </c:pt>
                <c:pt idx="697">
                  <c:v>5638.9401699999999</c:v>
                </c:pt>
                <c:pt idx="698">
                  <c:v>5675.1173200000003</c:v>
                </c:pt>
                <c:pt idx="699">
                  <c:v>5614.66201</c:v>
                </c:pt>
                <c:pt idx="700">
                  <c:v>5675.2871699999996</c:v>
                </c:pt>
                <c:pt idx="701">
                  <c:v>5662.8905299999997</c:v>
                </c:pt>
                <c:pt idx="702">
                  <c:v>5667.5642699999999</c:v>
                </c:pt>
                <c:pt idx="703">
                  <c:v>5667.5642699999999</c:v>
                </c:pt>
                <c:pt idx="704">
                  <c:v>5667.5642699999999</c:v>
                </c:pt>
                <c:pt idx="705">
                  <c:v>5767.5671000000002</c:v>
                </c:pt>
                <c:pt idx="706">
                  <c:v>5776.6512899999998</c:v>
                </c:pt>
                <c:pt idx="707">
                  <c:v>5712.2034299999996</c:v>
                </c:pt>
                <c:pt idx="708">
                  <c:v>5693.3126499999998</c:v>
                </c:pt>
                <c:pt idx="709">
                  <c:v>5580.9435800000001</c:v>
                </c:pt>
                <c:pt idx="710">
                  <c:v>5580.9435800000001</c:v>
                </c:pt>
                <c:pt idx="711">
                  <c:v>5580.9435800000001</c:v>
                </c:pt>
                <c:pt idx="712">
                  <c:v>5611.8526099999999</c:v>
                </c:pt>
                <c:pt idx="713">
                  <c:v>5633.0696900000003</c:v>
                </c:pt>
                <c:pt idx="714">
                  <c:v>5670.9736199999998</c:v>
                </c:pt>
                <c:pt idx="715">
                  <c:v>5396.5168000000003</c:v>
                </c:pt>
                <c:pt idx="716">
                  <c:v>5074.0756300000003</c:v>
                </c:pt>
                <c:pt idx="717">
                  <c:v>5074.0756300000003</c:v>
                </c:pt>
                <c:pt idx="718">
                  <c:v>5074.0756300000003</c:v>
                </c:pt>
                <c:pt idx="719">
                  <c:v>5062.2455200000004</c:v>
                </c:pt>
                <c:pt idx="720">
                  <c:v>4982.7703099999999</c:v>
                </c:pt>
                <c:pt idx="721">
                  <c:v>5456.9006900000004</c:v>
                </c:pt>
                <c:pt idx="722">
                  <c:v>5268.0543799999996</c:v>
                </c:pt>
                <c:pt idx="723">
                  <c:v>5363.3594800000001</c:v>
                </c:pt>
                <c:pt idx="724">
                  <c:v>5363.3594800000001</c:v>
                </c:pt>
                <c:pt idx="725">
                  <c:v>5363.3594800000001</c:v>
                </c:pt>
                <c:pt idx="726">
                  <c:v>5405.9711900000002</c:v>
                </c:pt>
                <c:pt idx="727">
                  <c:v>5396.6346800000001</c:v>
                </c:pt>
                <c:pt idx="728">
                  <c:v>5275.7010600000003</c:v>
                </c:pt>
                <c:pt idx="729">
                  <c:v>5282.7010200000004</c:v>
                </c:pt>
                <c:pt idx="730">
                  <c:v>5282.7010200000004</c:v>
                </c:pt>
                <c:pt idx="731">
                  <c:v>5282.7010200000004</c:v>
                </c:pt>
                <c:pt idx="732">
                  <c:v>5282.7010200000004</c:v>
                </c:pt>
                <c:pt idx="733">
                  <c:v>5158.2026800000003</c:v>
                </c:pt>
                <c:pt idx="734">
                  <c:v>5287.7630099999997</c:v>
                </c:pt>
                <c:pt idx="735">
                  <c:v>5375.8638300000002</c:v>
                </c:pt>
                <c:pt idx="736">
                  <c:v>5484.7738099999997</c:v>
                </c:pt>
                <c:pt idx="737">
                  <c:v>5525.2051199999996</c:v>
                </c:pt>
                <c:pt idx="738">
                  <c:v>5525.2051199999996</c:v>
                </c:pt>
                <c:pt idx="739">
                  <c:v>5525.2051199999996</c:v>
                </c:pt>
                <c:pt idx="740">
                  <c:v>5528.7457400000003</c:v>
                </c:pt>
                <c:pt idx="741">
                  <c:v>5560.82701</c:v>
                </c:pt>
                <c:pt idx="742">
                  <c:v>5569.0646699999998</c:v>
                </c:pt>
                <c:pt idx="743">
                  <c:v>5604.1413300000004</c:v>
                </c:pt>
                <c:pt idx="744">
                  <c:v>5686.6748299999999</c:v>
                </c:pt>
                <c:pt idx="745">
                  <c:v>5686.6748299999999</c:v>
                </c:pt>
                <c:pt idx="746">
                  <c:v>5686.6748299999999</c:v>
                </c:pt>
                <c:pt idx="747">
                  <c:v>5650.3816699999998</c:v>
                </c:pt>
                <c:pt idx="748">
                  <c:v>5606.9067999999997</c:v>
                </c:pt>
                <c:pt idx="749">
                  <c:v>5631.28431</c:v>
                </c:pt>
                <c:pt idx="750">
                  <c:v>5663.9393099999998</c:v>
                </c:pt>
                <c:pt idx="751">
                  <c:v>5659.9122500000003</c:v>
                </c:pt>
                <c:pt idx="752">
                  <c:v>5659.9122500000003</c:v>
                </c:pt>
                <c:pt idx="753">
                  <c:v>5659.9122500000003</c:v>
                </c:pt>
                <c:pt idx="754">
                  <c:v>5844.1866900000005</c:v>
                </c:pt>
                <c:pt idx="755">
                  <c:v>5886.5528100000001</c:v>
                </c:pt>
                <c:pt idx="756">
                  <c:v>5892.5844900000002</c:v>
                </c:pt>
                <c:pt idx="757">
                  <c:v>5916.9260800000002</c:v>
                </c:pt>
                <c:pt idx="758">
                  <c:v>5958.3755300000003</c:v>
                </c:pt>
                <c:pt idx="759">
                  <c:v>5958.3755300000003</c:v>
                </c:pt>
                <c:pt idx="760">
                  <c:v>5958.3755300000003</c:v>
                </c:pt>
                <c:pt idx="761">
                  <c:v>5963.6043499999996</c:v>
                </c:pt>
                <c:pt idx="762">
                  <c:v>5940.4637499999999</c:v>
                </c:pt>
                <c:pt idx="763">
                  <c:v>5844.6121300000004</c:v>
                </c:pt>
                <c:pt idx="764">
                  <c:v>5842.0083100000002</c:v>
                </c:pt>
                <c:pt idx="765">
                  <c:v>5802.8150800000003</c:v>
                </c:pt>
                <c:pt idx="766">
                  <c:v>5802.8150800000003</c:v>
                </c:pt>
                <c:pt idx="767">
                  <c:v>5802.8150800000003</c:v>
                </c:pt>
                <c:pt idx="768">
                  <c:v>5802.8150800000003</c:v>
                </c:pt>
                <c:pt idx="769">
                  <c:v>5921.5403500000002</c:v>
                </c:pt>
                <c:pt idx="770">
                  <c:v>5888.5525799999996</c:v>
                </c:pt>
                <c:pt idx="771">
                  <c:v>5912.1727199999996</c:v>
                </c:pt>
                <c:pt idx="772">
                  <c:v>5911.6867199999997</c:v>
                </c:pt>
                <c:pt idx="773">
                  <c:v>5911.6867199999997</c:v>
                </c:pt>
                <c:pt idx="774">
                  <c:v>5911.6867199999997</c:v>
                </c:pt>
                <c:pt idx="775">
                  <c:v>5935.9409599999999</c:v>
                </c:pt>
                <c:pt idx="776">
                  <c:v>5970.3682399999998</c:v>
                </c:pt>
                <c:pt idx="777">
                  <c:v>5970.8132400000004</c:v>
                </c:pt>
                <c:pt idx="778">
                  <c:v>5939.30332</c:v>
                </c:pt>
                <c:pt idx="779">
                  <c:v>6000.3551299999999</c:v>
                </c:pt>
                <c:pt idx="780">
                  <c:v>6000.3551299999999</c:v>
                </c:pt>
                <c:pt idx="781">
                  <c:v>6000.3551299999999</c:v>
                </c:pt>
                <c:pt idx="782">
                  <c:v>6005.88346</c:v>
                </c:pt>
                <c:pt idx="783">
                  <c:v>6038.8057900000003</c:v>
                </c:pt>
                <c:pt idx="784">
                  <c:v>6022.2412100000001</c:v>
                </c:pt>
                <c:pt idx="785">
                  <c:v>6045.2556699999996</c:v>
                </c:pt>
                <c:pt idx="786">
                  <c:v>5976.96587</c:v>
                </c:pt>
                <c:pt idx="787">
                  <c:v>5976.96587</c:v>
                </c:pt>
                <c:pt idx="788">
                  <c:v>5976.96587</c:v>
                </c:pt>
                <c:pt idx="789">
                  <c:v>6033.1062899999997</c:v>
                </c:pt>
                <c:pt idx="790">
                  <c:v>5982.7169899999999</c:v>
                </c:pt>
                <c:pt idx="791">
                  <c:v>5980.8654999999999</c:v>
                </c:pt>
                <c:pt idx="792">
                  <c:v>5980.8654999999999</c:v>
                </c:pt>
                <c:pt idx="793">
                  <c:v>5967.8395</c:v>
                </c:pt>
                <c:pt idx="794">
                  <c:v>5967.8395</c:v>
                </c:pt>
                <c:pt idx="795">
                  <c:v>5967.8395</c:v>
                </c:pt>
                <c:pt idx="796">
                  <c:v>6025.1740399999999</c:v>
                </c:pt>
                <c:pt idx="797">
                  <c:v>6092.1810500000001</c:v>
                </c:pt>
                <c:pt idx="798">
                  <c:v>6092.1613699999998</c:v>
                </c:pt>
                <c:pt idx="799">
                  <c:v>6141.0192800000004</c:v>
                </c:pt>
                <c:pt idx="800">
                  <c:v>6173.0735699999996</c:v>
                </c:pt>
                <c:pt idx="801">
                  <c:v>6173.0735699999996</c:v>
                </c:pt>
                <c:pt idx="802">
                  <c:v>6173.0735699999996</c:v>
                </c:pt>
                <c:pt idx="803">
                  <c:v>6204.9539500000001</c:v>
                </c:pt>
                <c:pt idx="804">
                  <c:v>6198.00695</c:v>
                </c:pt>
                <c:pt idx="805">
                  <c:v>6227.4196899999997</c:v>
                </c:pt>
                <c:pt idx="806">
                  <c:v>6279.3509700000004</c:v>
                </c:pt>
                <c:pt idx="807">
                  <c:v>6279.3509700000004</c:v>
                </c:pt>
                <c:pt idx="808">
                  <c:v>6279.3509700000004</c:v>
                </c:pt>
                <c:pt idx="809">
                  <c:v>6279.3509700000004</c:v>
                </c:pt>
                <c:pt idx="810">
                  <c:v>6229.9774600000001</c:v>
                </c:pt>
                <c:pt idx="811">
                  <c:v>6225.5234099999998</c:v>
                </c:pt>
                <c:pt idx="812">
                  <c:v>6263.2643799999996</c:v>
                </c:pt>
                <c:pt idx="813">
                  <c:v>6280.4583000000002</c:v>
                </c:pt>
                <c:pt idx="814">
                  <c:v>6259.7464399999999</c:v>
                </c:pt>
                <c:pt idx="815">
                  <c:v>6259.7464399999999</c:v>
                </c:pt>
                <c:pt idx="816">
                  <c:v>6259.7464399999999</c:v>
                </c:pt>
                <c:pt idx="817">
                  <c:v>6268.5590099999999</c:v>
                </c:pt>
                <c:pt idx="818">
                  <c:v>6243.7557100000004</c:v>
                </c:pt>
                <c:pt idx="819">
                  <c:v>6263.69524</c:v>
                </c:pt>
                <c:pt idx="820">
                  <c:v>6297.3619099999996</c:v>
                </c:pt>
                <c:pt idx="821">
                  <c:v>6296.7890399999997</c:v>
                </c:pt>
                <c:pt idx="822">
                  <c:v>6296.7890399999997</c:v>
                </c:pt>
                <c:pt idx="823">
                  <c:v>6296.7890399999997</c:v>
                </c:pt>
                <c:pt idx="824">
                  <c:v>6305.5951800000003</c:v>
                </c:pt>
                <c:pt idx="825">
                  <c:v>6309.6236799999997</c:v>
                </c:pt>
                <c:pt idx="826">
                  <c:v>6358.9137899999996</c:v>
                </c:pt>
                <c:pt idx="827">
                  <c:v>6363.3492999999999</c:v>
                </c:pt>
                <c:pt idx="828">
                  <c:v>6388.6445000000003</c:v>
                </c:pt>
                <c:pt idx="829">
                  <c:v>6388.6445000000003</c:v>
                </c:pt>
                <c:pt idx="830">
                  <c:v>6388.6445000000003</c:v>
                </c:pt>
                <c:pt idx="831">
                  <c:v>6389.7664800000002</c:v>
                </c:pt>
                <c:pt idx="832">
                  <c:v>6370.8612999999996</c:v>
                </c:pt>
                <c:pt idx="833">
                  <c:v>6362.89876</c:v>
                </c:pt>
                <c:pt idx="834">
                  <c:v>6339.3945700000004</c:v>
                </c:pt>
                <c:pt idx="835">
                  <c:v>6238.0065699999996</c:v>
                </c:pt>
                <c:pt idx="836">
                  <c:v>6238.0065699999996</c:v>
                </c:pt>
                <c:pt idx="837">
                  <c:v>6238.0065699999996</c:v>
                </c:pt>
                <c:pt idx="838">
                  <c:v>6329.9395000000004</c:v>
                </c:pt>
                <c:pt idx="839">
                  <c:v>6299.1939499999999</c:v>
                </c:pt>
                <c:pt idx="840">
                  <c:v>6345.0595400000002</c:v>
                </c:pt>
                <c:pt idx="841">
                  <c:v>6339.99773</c:v>
                </c:pt>
                <c:pt idx="842">
                  <c:v>6389.4453100000001</c:v>
                </c:pt>
                <c:pt idx="843">
                  <c:v>6389.4453100000001</c:v>
                </c:pt>
                <c:pt idx="844">
                  <c:v>6389.4453100000001</c:v>
                </c:pt>
                <c:pt idx="845">
                  <c:v>6373.4533700000002</c:v>
                </c:pt>
                <c:pt idx="846">
                  <c:v>6445.7622000000001</c:v>
                </c:pt>
                <c:pt idx="847">
                  <c:v>6466.5846899999997</c:v>
                </c:pt>
                <c:pt idx="848">
                  <c:v>6468.5351899999996</c:v>
                </c:pt>
                <c:pt idx="849">
                  <c:v>6449.7965800000002</c:v>
                </c:pt>
                <c:pt idx="850">
                  <c:v>6449.7965800000002</c:v>
                </c:pt>
                <c:pt idx="851">
                  <c:v>6449.7965800000002</c:v>
                </c:pt>
                <c:pt idx="852">
                  <c:v>6449.1491500000002</c:v>
                </c:pt>
                <c:pt idx="853">
                  <c:v>6411.3745900000004</c:v>
                </c:pt>
                <c:pt idx="854">
                  <c:v>6395.7811899999997</c:v>
                </c:pt>
                <c:pt idx="855">
                  <c:v>6370.1726699999999</c:v>
                </c:pt>
                <c:pt idx="856">
                  <c:v>6466.9129700000003</c:v>
                </c:pt>
                <c:pt idx="857">
                  <c:v>6466.9129700000003</c:v>
                </c:pt>
                <c:pt idx="858">
                  <c:v>6466.9129700000003</c:v>
                </c:pt>
                <c:pt idx="859">
                  <c:v>6439.31988</c:v>
                </c:pt>
                <c:pt idx="860">
                  <c:v>6465.9352799999997</c:v>
                </c:pt>
                <c:pt idx="861">
                  <c:v>6481.40319</c:v>
                </c:pt>
                <c:pt idx="862">
                  <c:v>6501.8594199999998</c:v>
                </c:pt>
                <c:pt idx="863">
                  <c:v>6460.2626700000001</c:v>
                </c:pt>
                <c:pt idx="864">
                  <c:v>6460.2626700000001</c:v>
                </c:pt>
                <c:pt idx="865">
                  <c:v>6460.2626700000001</c:v>
                </c:pt>
                <c:pt idx="866">
                  <c:v>6460.2626700000001</c:v>
                </c:pt>
                <c:pt idx="867">
                  <c:v>6415.5413399999998</c:v>
                </c:pt>
                <c:pt idx="868">
                  <c:v>6448.2608499999997</c:v>
                </c:pt>
                <c:pt idx="869">
                  <c:v>6502.0829199999998</c:v>
                </c:pt>
                <c:pt idx="870">
                  <c:v>6481.4955300000001</c:v>
                </c:pt>
                <c:pt idx="871">
                  <c:v>6481.4955300000001</c:v>
                </c:pt>
                <c:pt idx="872">
                  <c:v>6481.4955300000001</c:v>
                </c:pt>
                <c:pt idx="873">
                  <c:v>6495.1548300000004</c:v>
                </c:pt>
                <c:pt idx="874">
                  <c:v>6512.6107499999998</c:v>
                </c:pt>
                <c:pt idx="875">
                  <c:v>6532.0433400000002</c:v>
                </c:pt>
                <c:pt idx="876">
                  <c:v>6587.4708700000001</c:v>
                </c:pt>
                <c:pt idx="877">
                  <c:v>6584.2850200000003</c:v>
                </c:pt>
                <c:pt idx="878">
                  <c:v>6584.2850200000003</c:v>
                </c:pt>
                <c:pt idx="879">
                  <c:v>6584.2850200000003</c:v>
                </c:pt>
                <c:pt idx="880">
                  <c:v>6615.2767599999997</c:v>
                </c:pt>
                <c:pt idx="881">
                  <c:v>6606.75594</c:v>
                </c:pt>
                <c:pt idx="882">
                  <c:v>6600.3470900000002</c:v>
                </c:pt>
                <c:pt idx="883">
                  <c:v>6631.9628899999998</c:v>
                </c:pt>
                <c:pt idx="884">
                  <c:v>6664.3648000000003</c:v>
                </c:pt>
                <c:pt idx="885">
                  <c:v>6664.3648000000003</c:v>
                </c:pt>
                <c:pt idx="886">
                  <c:v>6664.3648000000003</c:v>
                </c:pt>
                <c:pt idx="887">
                  <c:v>6693.7533400000002</c:v>
                </c:pt>
                <c:pt idx="888">
                  <c:v>6656.9198800000004</c:v>
                </c:pt>
                <c:pt idx="889">
                  <c:v>6637.9736700000003</c:v>
                </c:pt>
                <c:pt idx="890">
                  <c:v>6604.7172399999999</c:v>
                </c:pt>
                <c:pt idx="891">
                  <c:v>6643.6975400000001</c:v>
                </c:pt>
                <c:pt idx="892">
                  <c:v>6643.6975400000001</c:v>
                </c:pt>
                <c:pt idx="893">
                  <c:v>6643.6975400000001</c:v>
                </c:pt>
                <c:pt idx="894">
                  <c:v>6661.2073300000002</c:v>
                </c:pt>
                <c:pt idx="895">
                  <c:v>6688.4590399999997</c:v>
                </c:pt>
                <c:pt idx="896">
                  <c:v>6711.2039100000002</c:v>
                </c:pt>
                <c:pt idx="897">
                  <c:v>6715.3463000000002</c:v>
                </c:pt>
                <c:pt idx="898">
                  <c:v>6715.7892599999996</c:v>
                </c:pt>
                <c:pt idx="899">
                  <c:v>6715.7892599999996</c:v>
                </c:pt>
                <c:pt idx="900">
                  <c:v>6715.7892599999996</c:v>
                </c:pt>
                <c:pt idx="901">
                  <c:v>6740.2813599999999</c:v>
                </c:pt>
                <c:pt idx="902">
                  <c:v>6714.5879199999999</c:v>
                </c:pt>
                <c:pt idx="903">
                  <c:v>6753.7170699999997</c:v>
                </c:pt>
                <c:pt idx="904">
                  <c:v>6735.1107899999997</c:v>
                </c:pt>
                <c:pt idx="905">
                  <c:v>6552.51325</c:v>
                </c:pt>
                <c:pt idx="906">
                  <c:v>6552.51325</c:v>
                </c:pt>
                <c:pt idx="907">
                  <c:v>6552.51325</c:v>
                </c:pt>
                <c:pt idx="908">
                  <c:v>6654.7190899999996</c:v>
                </c:pt>
                <c:pt idx="909">
                  <c:v>6644.3083999999999</c:v>
                </c:pt>
                <c:pt idx="910">
                  <c:v>6671.0582800000002</c:v>
                </c:pt>
                <c:pt idx="911">
                  <c:v>6629.0742300000002</c:v>
                </c:pt>
                <c:pt idx="912">
                  <c:v>6664.01098</c:v>
                </c:pt>
                <c:pt idx="913">
                  <c:v>6664.01098</c:v>
                </c:pt>
                <c:pt idx="914">
                  <c:v>6664.01098</c:v>
                </c:pt>
                <c:pt idx="915">
                  <c:v>6735.1265100000001</c:v>
                </c:pt>
                <c:pt idx="916">
                  <c:v>6735.3514999999998</c:v>
                </c:pt>
                <c:pt idx="917">
                  <c:v>6699.4023999999999</c:v>
                </c:pt>
                <c:pt idx="918">
                  <c:v>6738.4377100000002</c:v>
                </c:pt>
                <c:pt idx="919">
                  <c:v>6791.6938099999998</c:v>
                </c:pt>
                <c:pt idx="920">
                  <c:v>6791.6938099999998</c:v>
                </c:pt>
                <c:pt idx="921">
                  <c:v>6791.6938099999998</c:v>
                </c:pt>
                <c:pt idx="922">
                  <c:v>6875.1568900000002</c:v>
                </c:pt>
                <c:pt idx="923">
                  <c:v>6890.8883699999997</c:v>
                </c:pt>
                <c:pt idx="924">
                  <c:v>6890.5870500000001</c:v>
                </c:pt>
                <c:pt idx="925">
                  <c:v>6822.34033</c:v>
                </c:pt>
                <c:pt idx="926">
                  <c:v>6840.1987399999998</c:v>
                </c:pt>
                <c:pt idx="927">
                  <c:v>6840.1987399999998</c:v>
                </c:pt>
                <c:pt idx="928">
                  <c:v>6840.1987399999998</c:v>
                </c:pt>
                <c:pt idx="929">
                  <c:v>6851.96666</c:v>
                </c:pt>
                <c:pt idx="930">
                  <c:v>6771.5474899999999</c:v>
                </c:pt>
                <c:pt idx="931">
                  <c:v>6796.2894299999998</c:v>
                </c:pt>
                <c:pt idx="932">
                  <c:v>6720.3201499999996</c:v>
                </c:pt>
                <c:pt idx="933">
                  <c:v>6728.8011100000003</c:v>
                </c:pt>
                <c:pt idx="934">
                  <c:v>6728.8011100000003</c:v>
                </c:pt>
                <c:pt idx="935">
                  <c:v>6728.8011100000003</c:v>
                </c:pt>
                <c:pt idx="936">
                  <c:v>6832.4301599999999</c:v>
                </c:pt>
                <c:pt idx="937">
                  <c:v>6846.6142300000001</c:v>
                </c:pt>
                <c:pt idx="938">
                  <c:v>6850.9164799999999</c:v>
                </c:pt>
                <c:pt idx="939">
                  <c:v>6737.4887200000003</c:v>
                </c:pt>
                <c:pt idx="940">
                  <c:v>6734.11067</c:v>
                </c:pt>
                <c:pt idx="941">
                  <c:v>6734.11067</c:v>
                </c:pt>
                <c:pt idx="942">
                  <c:v>6734.11067</c:v>
                </c:pt>
                <c:pt idx="943">
                  <c:v>6672.4116299999996</c:v>
                </c:pt>
                <c:pt idx="944">
                  <c:v>6617.32006</c:v>
                </c:pt>
                <c:pt idx="945">
                  <c:v>6642.1585100000002</c:v>
                </c:pt>
                <c:pt idx="946">
                  <c:v>6538.7626700000001</c:v>
                </c:pt>
                <c:pt idx="947">
                  <c:v>6602.9863299999997</c:v>
                </c:pt>
                <c:pt idx="948">
                  <c:v>6602.9863299999997</c:v>
                </c:pt>
                <c:pt idx="949">
                  <c:v>6602.9863299999997</c:v>
                </c:pt>
                <c:pt idx="950">
                  <c:v>6705.1170899999997</c:v>
                </c:pt>
                <c:pt idx="951">
                  <c:v>6765.8759700000001</c:v>
                </c:pt>
                <c:pt idx="952">
                  <c:v>6812.6130899999998</c:v>
                </c:pt>
                <c:pt idx="953">
                  <c:v>6812.6130899999998</c:v>
                </c:pt>
                <c:pt idx="954">
                  <c:v>6849.0873700000002</c:v>
                </c:pt>
                <c:pt idx="955">
                  <c:v>6849.0873700000002</c:v>
                </c:pt>
                <c:pt idx="956">
                  <c:v>6849.0873700000002</c:v>
                </c:pt>
                <c:pt idx="957">
                  <c:v>6812.6258500000004</c:v>
                </c:pt>
                <c:pt idx="958">
                  <c:v>6829.3705799999998</c:v>
                </c:pt>
                <c:pt idx="959">
                  <c:v>6849.7227199999998</c:v>
                </c:pt>
                <c:pt idx="960">
                  <c:v>6857.1196900000004</c:v>
                </c:pt>
                <c:pt idx="961">
                  <c:v>6870.4042099999997</c:v>
                </c:pt>
                <c:pt idx="962">
                  <c:v>6870.4042099999997</c:v>
                </c:pt>
                <c:pt idx="963">
                  <c:v>6870.4042099999997</c:v>
                </c:pt>
                <c:pt idx="964">
                  <c:v>6846.5061699999997</c:v>
                </c:pt>
                <c:pt idx="965">
                  <c:v>6840.5096199999998</c:v>
                </c:pt>
                <c:pt idx="966">
                  <c:v>6886.6829900000002</c:v>
                </c:pt>
                <c:pt idx="967">
                  <c:v>6900.9951899999996</c:v>
                </c:pt>
                <c:pt idx="968">
                  <c:v>6827.4064600000002</c:v>
                </c:pt>
                <c:pt idx="969">
                  <c:v>6827.4064600000002</c:v>
                </c:pt>
                <c:pt idx="970">
                  <c:v>6827.4064600000002</c:v>
                </c:pt>
                <c:pt idx="971">
                  <c:v>6816.5083000000004</c:v>
                </c:pt>
                <c:pt idx="972">
                  <c:v>6800.2572200000004</c:v>
                </c:pt>
                <c:pt idx="973">
                  <c:v>6721.4295499999998</c:v>
                </c:pt>
                <c:pt idx="974">
                  <c:v>6774.7575699999998</c:v>
                </c:pt>
                <c:pt idx="975">
                  <c:v>6834.4961899999998</c:v>
                </c:pt>
                <c:pt idx="976">
                  <c:v>6834.4961899999998</c:v>
                </c:pt>
                <c:pt idx="977">
                  <c:v>6834.4961899999998</c:v>
                </c:pt>
                <c:pt idx="978">
                  <c:v>6878.4894800000002</c:v>
                </c:pt>
                <c:pt idx="979">
                  <c:v>6909.7920700000004</c:v>
                </c:pt>
                <c:pt idx="980">
                  <c:v>6932.04918</c:v>
                </c:pt>
                <c:pt idx="981">
                  <c:v>6932.04918</c:v>
                </c:pt>
                <c:pt idx="982">
                  <c:v>6929.9361200000003</c:v>
                </c:pt>
                <c:pt idx="983">
                  <c:v>6929.9361200000003</c:v>
                </c:pt>
                <c:pt idx="984">
                  <c:v>6929.9361200000003</c:v>
                </c:pt>
                <c:pt idx="985">
                  <c:v>6905.7440500000002</c:v>
                </c:pt>
                <c:pt idx="986">
                  <c:v>6896.2417400000004</c:v>
                </c:pt>
                <c:pt idx="987">
                  <c:v>6845.5047100000002</c:v>
                </c:pt>
                <c:pt idx="988">
                  <c:v>6845.5047100000002</c:v>
                </c:pt>
                <c:pt idx="989">
                  <c:v>6858.4723100000001</c:v>
                </c:pt>
                <c:pt idx="990">
                  <c:v>6858.4723100000001</c:v>
                </c:pt>
                <c:pt idx="991">
                  <c:v>6858.4723100000001</c:v>
                </c:pt>
                <c:pt idx="992">
                  <c:v>6902.0508499999996</c:v>
                </c:pt>
                <c:pt idx="993">
                  <c:v>6944.8192200000003</c:v>
                </c:pt>
                <c:pt idx="994">
                  <c:v>6920.9292599999999</c:v>
                </c:pt>
                <c:pt idx="995">
                  <c:v>6921.4570899999999</c:v>
                </c:pt>
                <c:pt idx="996">
                  <c:v>6966.2839199999999</c:v>
                </c:pt>
                <c:pt idx="997">
                  <c:v>6966.2839199999999</c:v>
                </c:pt>
                <c:pt idx="998">
                  <c:v>6966.2839199999999</c:v>
                </c:pt>
                <c:pt idx="999">
                  <c:v>6977.2650299999996</c:v>
                </c:pt>
                <c:pt idx="1000">
                  <c:v>6963.7350999999999</c:v>
                </c:pt>
                <c:pt idx="1001">
                  <c:v>6926.5961500000003</c:v>
                </c:pt>
                <c:pt idx="1002">
                  <c:v>6944.4718800000001</c:v>
                </c:pt>
                <c:pt idx="1003">
                  <c:v>6940.0095099999999</c:v>
                </c:pt>
                <c:pt idx="1004">
                  <c:v>6940.0095099999999</c:v>
                </c:pt>
                <c:pt idx="1005">
                  <c:v>6940.0095099999999</c:v>
                </c:pt>
                <c:pt idx="1006">
                  <c:v>6940.0095099999999</c:v>
                </c:pt>
                <c:pt idx="1007">
                  <c:v>6796.8608100000001</c:v>
                </c:pt>
                <c:pt idx="1008">
                  <c:v>6875.6152700000002</c:v>
                </c:pt>
                <c:pt idx="1009">
                  <c:v>6913.3520399999998</c:v>
                </c:pt>
                <c:pt idx="1010">
                  <c:v>6915.6106499999996</c:v>
                </c:pt>
                <c:pt idx="1011">
                  <c:v>6915.6106499999996</c:v>
                </c:pt>
                <c:pt idx="1012">
                  <c:v>6915.6106499999996</c:v>
                </c:pt>
                <c:pt idx="1013">
                  <c:v>6950.2322000000004</c:v>
                </c:pt>
                <c:pt idx="1014">
                  <c:v>6978.5969299999997</c:v>
                </c:pt>
                <c:pt idx="1015">
                  <c:v>6978.0293899999997</c:v>
                </c:pt>
                <c:pt idx="1016">
                  <c:v>6969.0068899999997</c:v>
                </c:pt>
                <c:pt idx="1017">
                  <c:v>6939.02952</c:v>
                </c:pt>
                <c:pt idx="1018">
                  <c:v>6939.02952</c:v>
                </c:pt>
                <c:pt idx="1019">
                  <c:v>6939.02952</c:v>
                </c:pt>
                <c:pt idx="1020">
                  <c:v>6976.4441800000004</c:v>
                </c:pt>
                <c:pt idx="1021">
                  <c:v>6917.8117000000002</c:v>
                </c:pt>
                <c:pt idx="1022">
                  <c:v>6882.7211100000004</c:v>
                </c:pt>
                <c:pt idx="1023">
                  <c:v>6798.39948</c:v>
                </c:pt>
                <c:pt idx="1024">
                  <c:v>6932.2976699999999</c:v>
                </c:pt>
                <c:pt idx="1025">
                  <c:v>6932.2976699999999</c:v>
                </c:pt>
                <c:pt idx="1026">
                  <c:v>6932.2976699999999</c:v>
                </c:pt>
                <c:pt idx="1027">
                  <c:v>6964.8198499999999</c:v>
                </c:pt>
                <c:pt idx="1028">
                  <c:v>6941.8125099999997</c:v>
                </c:pt>
                <c:pt idx="1029">
                  <c:v>6941.4710100000002</c:v>
                </c:pt>
                <c:pt idx="1030">
                  <c:v>6832.7614700000004</c:v>
                </c:pt>
                <c:pt idx="1031">
                  <c:v>6836.17209</c:v>
                </c:pt>
                <c:pt idx="1032">
                  <c:v>6836.17209</c:v>
                </c:pt>
                <c:pt idx="1033">
                  <c:v>6836.17209</c:v>
                </c:pt>
                <c:pt idx="1034">
                  <c:v>6836.17209</c:v>
                </c:pt>
                <c:pt idx="1035">
                  <c:v>6843.2232599999998</c:v>
                </c:pt>
                <c:pt idx="1036">
                  <c:v>6881.3145599999998</c:v>
                </c:pt>
                <c:pt idx="1037">
                  <c:v>6861.8937400000004</c:v>
                </c:pt>
                <c:pt idx="1038">
                  <c:v>6909.5066200000001</c:v>
                </c:pt>
                <c:pt idx="1039">
                  <c:v>6909.5066200000001</c:v>
                </c:pt>
                <c:pt idx="1040">
                  <c:v>6909.5066200000001</c:v>
                </c:pt>
                <c:pt idx="1041">
                  <c:v>6837.7545200000004</c:v>
                </c:pt>
                <c:pt idx="1042">
                  <c:v>6890.0723099999996</c:v>
                </c:pt>
                <c:pt idx="1043">
                  <c:v>6946.1266900000001</c:v>
                </c:pt>
                <c:pt idx="1044">
                  <c:v>6908.8646799999997</c:v>
                </c:pt>
                <c:pt idx="1045">
                  <c:v>6878.8784999999998</c:v>
                </c:pt>
                <c:pt idx="1046">
                  <c:v>6878.8784999999998</c:v>
                </c:pt>
                <c:pt idx="1047">
                  <c:v>6878.8784999999998</c:v>
                </c:pt>
                <c:pt idx="1048">
                  <c:v>6881.6200799999997</c:v>
                </c:pt>
                <c:pt idx="1049">
                  <c:v>6816.6270299999996</c:v>
                </c:pt>
                <c:pt idx="1050">
                  <c:v>6869.5024400000002</c:v>
                </c:pt>
                <c:pt idx="1051">
                  <c:v>6830.7080699999997</c:v>
                </c:pt>
                <c:pt idx="1052">
                  <c:v>6740.0234300000002</c:v>
                </c:pt>
                <c:pt idx="1053">
                  <c:v>6740.0234300000002</c:v>
                </c:pt>
                <c:pt idx="1054">
                  <c:v>6740.0234300000002</c:v>
                </c:pt>
                <c:pt idx="1055">
                  <c:v>6795.9918699999998</c:v>
                </c:pt>
                <c:pt idx="1056">
                  <c:v>6781.4819299999999</c:v>
                </c:pt>
                <c:pt idx="1057">
                  <c:v>6775.8043200000002</c:v>
                </c:pt>
                <c:pt idx="1058">
                  <c:v>6672.6180400000003</c:v>
                </c:pt>
                <c:pt idx="1059">
                  <c:v>6632.1915300000001</c:v>
                </c:pt>
                <c:pt idx="1060">
                  <c:v>6632.1915300000001</c:v>
                </c:pt>
                <c:pt idx="1061">
                  <c:v>6632.1915300000001</c:v>
                </c:pt>
                <c:pt idx="1062">
                  <c:v>6699.3833299999997</c:v>
                </c:pt>
                <c:pt idx="1063">
                  <c:v>6716.0925100000004</c:v>
                </c:pt>
                <c:pt idx="1064">
                  <c:v>6624.6951600000002</c:v>
                </c:pt>
                <c:pt idx="1065">
                  <c:v>6606.4945399999997</c:v>
                </c:pt>
                <c:pt idx="1066">
                  <c:v>6506.4789099999998</c:v>
                </c:pt>
                <c:pt idx="1067">
                  <c:v>6506.4789099999998</c:v>
                </c:pt>
                <c:pt idx="1068">
                  <c:v>6506.4789099999998</c:v>
                </c:pt>
                <c:pt idx="1069">
                  <c:v>6581.0002100000002</c:v>
                </c:pt>
                <c:pt idx="1070">
                  <c:v>6556.3711400000002</c:v>
                </c:pt>
                <c:pt idx="1071">
                  <c:v>6591.9005900000002</c:v>
                </c:pt>
                <c:pt idx="1072">
                  <c:v>6477.1646300000002</c:v>
                </c:pt>
                <c:pt idx="1073">
                  <c:v>6368.8530700000001</c:v>
                </c:pt>
                <c:pt idx="1074">
                  <c:v>6368.8530700000001</c:v>
                </c:pt>
                <c:pt idx="1075">
                  <c:v>6368.8530700000001</c:v>
                </c:pt>
                <c:pt idx="1076">
                  <c:v>6343.7248300000001</c:v>
                </c:pt>
                <c:pt idx="1077">
                  <c:v>6528.5173800000002</c:v>
                </c:pt>
                <c:pt idx="1078">
                  <c:v>6575.3159299999998</c:v>
                </c:pt>
                <c:pt idx="1079">
                  <c:v>6582.6867599999996</c:v>
                </c:pt>
                <c:pt idx="1080">
                  <c:v>6582.6867599999996</c:v>
                </c:pt>
                <c:pt idx="1081">
                  <c:v>6582.6867599999996</c:v>
                </c:pt>
                <c:pt idx="1082">
                  <c:v>6582.6867599999996</c:v>
                </c:pt>
                <c:pt idx="1083">
                  <c:v>6611.8304099999996</c:v>
                </c:pt>
                <c:pt idx="1084">
                  <c:v>6616.8508300000003</c:v>
                </c:pt>
                <c:pt idx="1085">
                  <c:v>6782.81167</c:v>
                </c:pt>
                <c:pt idx="1086">
                  <c:v>6824.6572699999997</c:v>
                </c:pt>
                <c:pt idx="1087">
                  <c:v>6816.89192</c:v>
                </c:pt>
                <c:pt idx="1088">
                  <c:v>6816.89192</c:v>
                </c:pt>
                <c:pt idx="1089">
                  <c:v>6816.89192</c:v>
                </c:pt>
                <c:pt idx="1090">
                  <c:v>6886.2352300000002</c:v>
                </c:pt>
                <c:pt idx="1091">
                  <c:v>6967.3786899999996</c:v>
                </c:pt>
                <c:pt idx="1092">
                  <c:v>7022.9523300000001</c:v>
                </c:pt>
                <c:pt idx="1093">
                  <c:v>7041.2766899999997</c:v>
                </c:pt>
                <c:pt idx="1094">
                  <c:v>7041.2766899999997</c:v>
                </c:pt>
              </c:numCache>
            </c:numRef>
          </c:val>
          <c:smooth val="0"/>
          <c:extLst>
            <c:ext xmlns:c16="http://schemas.microsoft.com/office/drawing/2014/chart" uri="{C3380CC4-5D6E-409C-BE32-E72D297353CC}">
              <c16:uniqueId val="{00000001-CFC5-437B-B929-8FCACB567711}"/>
            </c:ext>
          </c:extLst>
        </c:ser>
        <c:dLbls>
          <c:showLegendKey val="0"/>
          <c:showVal val="0"/>
          <c:showCatName val="0"/>
          <c:showSerName val="0"/>
          <c:showPercent val="0"/>
          <c:showBubbleSize val="0"/>
        </c:dLbls>
        <c:marker val="1"/>
        <c:smooth val="0"/>
        <c:axId val="2085424671"/>
        <c:axId val="2060063199"/>
      </c:lineChart>
      <c:dateAx>
        <c:axId val="2085423231"/>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071215679"/>
        <c:crosses val="autoZero"/>
        <c:auto val="0"/>
        <c:lblOffset val="100"/>
        <c:baseTimeUnit val="days"/>
      </c:dateAx>
      <c:valAx>
        <c:axId val="20712156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en-US"/>
          </a:p>
        </c:txPr>
        <c:crossAx val="2085423231"/>
        <c:crosses val="autoZero"/>
        <c:crossBetween val="midCat"/>
      </c:valAx>
      <c:valAx>
        <c:axId val="206006319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lumMod val="50000"/>
                  </a:schemeClr>
                </a:solidFill>
                <a:latin typeface="+mn-lt"/>
                <a:ea typeface="+mn-ea"/>
                <a:cs typeface="+mn-cs"/>
              </a:defRPr>
            </a:pPr>
            <a:endParaRPr lang="en-US"/>
          </a:p>
        </c:txPr>
        <c:crossAx val="2085424671"/>
        <c:crosses val="max"/>
        <c:crossBetween val="between"/>
      </c:valAx>
      <c:dateAx>
        <c:axId val="2085424671"/>
        <c:scaling>
          <c:orientation val="minMax"/>
        </c:scaling>
        <c:delete val="1"/>
        <c:axPos val="b"/>
        <c:numFmt formatCode="dd/mm/yy;@" sourceLinked="1"/>
        <c:majorTickMark val="out"/>
        <c:minorTickMark val="none"/>
        <c:tickLblPos val="nextTo"/>
        <c:crossAx val="2060063199"/>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36908098634679E-2"/>
          <c:y val="9.8201665973272748E-2"/>
          <c:w val="0.80989756162518234"/>
          <c:h val="0.80345083678142837"/>
        </c:manualLayout>
      </c:layout>
      <c:barChart>
        <c:barDir val="col"/>
        <c:grouping val="clustered"/>
        <c:varyColors val="0"/>
        <c:ser>
          <c:idx val="1"/>
          <c:order val="0"/>
          <c:tx>
            <c:strRef>
              <c:f>'Report F7'!$B$85</c:f>
              <c:strCache>
                <c:ptCount val="1"/>
                <c:pt idx="0">
                  <c:v>Umsatz</c:v>
                </c:pt>
              </c:strCache>
            </c:strRef>
          </c:tx>
          <c:spPr>
            <a:solidFill>
              <a:schemeClr val="accent1">
                <a:lumMod val="40000"/>
                <a:lumOff val="60000"/>
              </a:schemeClr>
            </a:solidFill>
            <a:ln>
              <a:solidFill>
                <a:schemeClr val="accent1">
                  <a:lumMod val="40000"/>
                  <a:lumOff val="60000"/>
                </a:schemeClr>
              </a:solidFill>
            </a:ln>
            <a:effectLst/>
          </c:spPr>
          <c:invertIfNegative val="0"/>
          <c:cat>
            <c:numRef>
              <c:f>'Report F7'!$C$84:$L$84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'Report F7'!$C$85:$L$85</c:f>
              <c:numCache>
                <c:formatCode>#,##0</c:formatCode>
                <c:ptCount val="10"/>
                <c:pt idx="0">
                  <c:v>27638</c:v>
                </c:pt>
                <c:pt idx="1">
                  <c:v>40653</c:v>
                </c:pt>
                <c:pt idx="2">
                  <c:v>55838</c:v>
                </c:pt>
                <c:pt idx="3">
                  <c:v>70697</c:v>
                </c:pt>
                <c:pt idx="4">
                  <c:v>85965</c:v>
                </c:pt>
                <c:pt idx="5">
                  <c:v>117929</c:v>
                </c:pt>
                <c:pt idx="6">
                  <c:v>116609</c:v>
                </c:pt>
                <c:pt idx="7">
                  <c:v>134902</c:v>
                </c:pt>
                <c:pt idx="8">
                  <c:v>164501</c:v>
                </c:pt>
                <c:pt idx="9">
                  <c:v>200966</c:v>
                </c:pt>
              </c:numCache>
            </c:numRef>
          </c:val>
          <c:extLst>
            <c:ext xmlns:c16="http://schemas.microsoft.com/office/drawing/2014/chart" uri="{C3380CC4-5D6E-409C-BE32-E72D297353CC}">
              <c16:uniqueId val="{00000000-63CD-478A-9768-EC5BE6A2C627}"/>
            </c:ext>
          </c:extLst>
        </c:ser>
        <c:dLbls>
          <c:showLegendKey val="0"/>
          <c:showVal val="0"/>
          <c:showCatName val="0"/>
          <c:showSerName val="0"/>
          <c:showPercent val="0"/>
          <c:showBubbleSize val="0"/>
        </c:dLbls>
        <c:gapWidth val="150"/>
        <c:axId val="330162463"/>
        <c:axId val="330163423"/>
      </c:barChart>
      <c:lineChart>
        <c:grouping val="standard"/>
        <c:varyColors val="0"/>
        <c:ser>
          <c:idx val="2"/>
          <c:order val="1"/>
          <c:tx>
            <c:strRef>
              <c:f>'Report F7'!$B$86</c:f>
              <c:strCache>
                <c:ptCount val="1"/>
                <c:pt idx="0">
                  <c:v>EBIT-Marge</c:v>
                </c:pt>
              </c:strCache>
            </c:strRef>
          </c:tx>
          <c:spPr>
            <a:ln w="19050" cap="rnd">
              <a:solidFill>
                <a:schemeClr val="accent2">
                  <a:lumMod val="60000"/>
                  <a:lumOff val="40000"/>
                </a:schemeClr>
              </a:solidFill>
              <a:round/>
            </a:ln>
            <a:effectLst/>
          </c:spPr>
          <c:marker>
            <c:symbol val="none"/>
          </c:marker>
          <c:cat>
            <c:numRef>
              <c:f>'Report F7'!$C$84:$L$84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'Report F7'!$C$86:$L$86</c:f>
              <c:numCache>
                <c:formatCode>0.0%</c:formatCode>
                <c:ptCount val="10"/>
                <c:pt idx="0">
                  <c:v>0.44963456111151312</c:v>
                </c:pt>
                <c:pt idx="1">
                  <c:v>0.49696209381841439</c:v>
                </c:pt>
                <c:pt idx="2">
                  <c:v>0.44616569361366809</c:v>
                </c:pt>
                <c:pt idx="3">
                  <c:v>0.41000325332050863</c:v>
                </c:pt>
                <c:pt idx="4">
                  <c:v>0.3800500203571221</c:v>
                </c:pt>
                <c:pt idx="5">
                  <c:v>0.39645040660058173</c:v>
                </c:pt>
                <c:pt idx="6">
                  <c:v>0.28775651965114185</c:v>
                </c:pt>
                <c:pt idx="7">
                  <c:v>0.34655527716416362</c:v>
                </c:pt>
                <c:pt idx="8">
                  <c:v>0.42176035404040096</c:v>
                </c:pt>
                <c:pt idx="9">
                  <c:v>0.41437855159579234</c:v>
                </c:pt>
              </c:numCache>
            </c:numRef>
          </c:val>
          <c:smooth val="0"/>
          <c:extLst>
            <c:ext xmlns:c16="http://schemas.microsoft.com/office/drawing/2014/chart" uri="{C3380CC4-5D6E-409C-BE32-E72D297353CC}">
              <c16:uniqueId val="{00000001-63CD-478A-9768-EC5BE6A2C627}"/>
            </c:ext>
          </c:extLst>
        </c:ser>
        <c:dLbls>
          <c:showLegendKey val="0"/>
          <c:showVal val="0"/>
          <c:showCatName val="0"/>
          <c:showSerName val="0"/>
          <c:showPercent val="0"/>
          <c:showBubbleSize val="0"/>
        </c:dLbls>
        <c:marker val="1"/>
        <c:smooth val="0"/>
        <c:axId val="373306767"/>
        <c:axId val="373305807"/>
      </c:lineChart>
      <c:dateAx>
        <c:axId val="3301624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tx1">
                    <a:lumMod val="65000"/>
                    <a:lumOff val="35000"/>
                  </a:schemeClr>
                </a:solidFill>
                <a:latin typeface="+mn-lt"/>
                <a:ea typeface="+mn-ea"/>
                <a:cs typeface="+mn-cs"/>
              </a:defRPr>
            </a:pPr>
            <a:endParaRPr lang="de-DE"/>
          </a:p>
        </c:txPr>
        <c:crossAx val="330163423"/>
        <c:crosses val="autoZero"/>
        <c:auto val="0"/>
        <c:lblOffset val="100"/>
        <c:baseTimeUnit val="days"/>
      </c:dateAx>
      <c:valAx>
        <c:axId val="330163423"/>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330162463"/>
        <c:crosses val="autoZero"/>
        <c:crossBetween val="between"/>
      </c:valAx>
      <c:valAx>
        <c:axId val="373305807"/>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de-DE"/>
          </a:p>
        </c:txPr>
        <c:crossAx val="373306767"/>
        <c:crosses val="max"/>
        <c:crossBetween val="between"/>
      </c:valAx>
      <c:catAx>
        <c:axId val="373306767"/>
        <c:scaling>
          <c:orientation val="minMax"/>
        </c:scaling>
        <c:delete val="1"/>
        <c:axPos val="b"/>
        <c:numFmt formatCode="General" sourceLinked="1"/>
        <c:majorTickMark val="out"/>
        <c:minorTickMark val="none"/>
        <c:tickLblPos val="nextTo"/>
        <c:crossAx val="373305807"/>
        <c:crosses val="autoZero"/>
        <c:auto val="1"/>
        <c:lblAlgn val="ctr"/>
        <c:lblOffset val="100"/>
        <c:noMultiLvlLbl val="0"/>
      </c:catAx>
      <c:spPr>
        <a:noFill/>
        <a:ln>
          <a:noFill/>
        </a:ln>
        <a:effectLst/>
      </c:spPr>
    </c:plotArea>
    <c:legend>
      <c:legendPos val="t"/>
      <c:layout>
        <c:manualLayout>
          <c:xMode val="edge"/>
          <c:yMode val="edge"/>
          <c:x val="0.12416915912229111"/>
          <c:y val="1.4374910345556538E-2"/>
          <c:w val="0.76950540181257998"/>
          <c:h val="8.16969038073882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lumMod val="95000"/>
      </a:schemeClr>
    </a:solidFill>
    <a:ln w="9525" cap="flat" cmpd="sng" algn="ctr">
      <a:noFill/>
      <a:round/>
    </a:ln>
    <a:effectLst/>
  </c:spPr>
  <c:txPr>
    <a:bodyPr/>
    <a:lstStyle/>
    <a:p>
      <a:pPr>
        <a:defRPr sz="700"/>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0015363281615E-2"/>
          <c:y val="9.9275579628679486E-2"/>
          <c:w val="0.79995086579315156"/>
          <c:h val="0.67951824695102447"/>
        </c:manualLayout>
      </c:layout>
      <c:lineChart>
        <c:grouping val="standard"/>
        <c:varyColors val="0"/>
        <c:ser>
          <c:idx val="0"/>
          <c:order val="0"/>
          <c:tx>
            <c:v>Aktie</c:v>
          </c:tx>
          <c:spPr>
            <a:ln w="12700" cap="rnd">
              <a:solidFill>
                <a:srgbClr val="C00000"/>
              </a:solidFill>
              <a:round/>
            </a:ln>
            <a:effectLst/>
          </c:spPr>
          <c:marker>
            <c:symbol val="none"/>
          </c:marker>
          <c:cat>
            <c:numRef>
              <c:f>'Report F6'!$AF$6:$AF$1100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F6'!$AI$6:$AI$1100</c:f>
              <c:numCache>
                <c:formatCode>#,##0.00</c:formatCode>
                <c:ptCount val="1095"/>
                <c:pt idx="0">
                  <c:v>215.7</c:v>
                </c:pt>
                <c:pt idx="1">
                  <c:v>213.07</c:v>
                </c:pt>
                <c:pt idx="2">
                  <c:v>212.89</c:v>
                </c:pt>
                <c:pt idx="3">
                  <c:v>212.89</c:v>
                </c:pt>
                <c:pt idx="4">
                  <c:v>212.89</c:v>
                </c:pt>
                <c:pt idx="5">
                  <c:v>212.79</c:v>
                </c:pt>
                <c:pt idx="6">
                  <c:v>207.55</c:v>
                </c:pt>
                <c:pt idx="7">
                  <c:v>209.4</c:v>
                </c:pt>
                <c:pt idx="8">
                  <c:v>238.56</c:v>
                </c:pt>
                <c:pt idx="9">
                  <c:v>240.32</c:v>
                </c:pt>
                <c:pt idx="10">
                  <c:v>240.32</c:v>
                </c:pt>
                <c:pt idx="11">
                  <c:v>240.32</c:v>
                </c:pt>
                <c:pt idx="12">
                  <c:v>243.18</c:v>
                </c:pt>
                <c:pt idx="13">
                  <c:v>239.24</c:v>
                </c:pt>
                <c:pt idx="14">
                  <c:v>237.03</c:v>
                </c:pt>
                <c:pt idx="15">
                  <c:v>233.52</c:v>
                </c:pt>
                <c:pt idx="16">
                  <c:v>232.78</c:v>
                </c:pt>
                <c:pt idx="17">
                  <c:v>232.78</c:v>
                </c:pt>
                <c:pt idx="18">
                  <c:v>232.78</c:v>
                </c:pt>
                <c:pt idx="19">
                  <c:v>233.27</c:v>
                </c:pt>
                <c:pt idx="20">
                  <c:v>233.37</c:v>
                </c:pt>
                <c:pt idx="21">
                  <c:v>233.08</c:v>
                </c:pt>
                <c:pt idx="22">
                  <c:v>235.79</c:v>
                </c:pt>
                <c:pt idx="23">
                  <c:v>233.81</c:v>
                </c:pt>
                <c:pt idx="24">
                  <c:v>233.81</c:v>
                </c:pt>
                <c:pt idx="25">
                  <c:v>233.81</c:v>
                </c:pt>
                <c:pt idx="26">
                  <c:v>238.86</c:v>
                </c:pt>
                <c:pt idx="27">
                  <c:v>238.82</c:v>
                </c:pt>
                <c:pt idx="28">
                  <c:v>242.48500000000001</c:v>
                </c:pt>
                <c:pt idx="29">
                  <c:v>246.85</c:v>
                </c:pt>
                <c:pt idx="30">
                  <c:v>245.64</c:v>
                </c:pt>
                <c:pt idx="31">
                  <c:v>245.64</c:v>
                </c:pt>
                <c:pt idx="32">
                  <c:v>245.64</c:v>
                </c:pt>
                <c:pt idx="33">
                  <c:v>248.32</c:v>
                </c:pt>
                <c:pt idx="34">
                  <c:v>246.74</c:v>
                </c:pt>
                <c:pt idx="35">
                  <c:v>249.21</c:v>
                </c:pt>
                <c:pt idx="36">
                  <c:v>252.69</c:v>
                </c:pt>
                <c:pt idx="37">
                  <c:v>262.04000000000002</c:v>
                </c:pt>
                <c:pt idx="38">
                  <c:v>262.04000000000002</c:v>
                </c:pt>
                <c:pt idx="39">
                  <c:v>262.04000000000002</c:v>
                </c:pt>
                <c:pt idx="40">
                  <c:v>262.04000000000002</c:v>
                </c:pt>
                <c:pt idx="41">
                  <c:v>262.52</c:v>
                </c:pt>
                <c:pt idx="42">
                  <c:v>264.72000000000003</c:v>
                </c:pt>
                <c:pt idx="43">
                  <c:v>272.61</c:v>
                </c:pt>
                <c:pt idx="44">
                  <c:v>272.61</c:v>
                </c:pt>
                <c:pt idx="45">
                  <c:v>272.61</c:v>
                </c:pt>
                <c:pt idx="46">
                  <c:v>272.61</c:v>
                </c:pt>
                <c:pt idx="47">
                  <c:v>271.39</c:v>
                </c:pt>
                <c:pt idx="48">
                  <c:v>271.12</c:v>
                </c:pt>
                <c:pt idx="49">
                  <c:v>263.60000000000002</c:v>
                </c:pt>
                <c:pt idx="50">
                  <c:v>264.58</c:v>
                </c:pt>
                <c:pt idx="51">
                  <c:v>264.95</c:v>
                </c:pt>
                <c:pt idx="52">
                  <c:v>264.95</c:v>
                </c:pt>
                <c:pt idx="53">
                  <c:v>264.95</c:v>
                </c:pt>
                <c:pt idx="54">
                  <c:v>271.05</c:v>
                </c:pt>
                <c:pt idx="55">
                  <c:v>271.32</c:v>
                </c:pt>
                <c:pt idx="56">
                  <c:v>273.35000000000002</c:v>
                </c:pt>
                <c:pt idx="57">
                  <c:v>281.83</c:v>
                </c:pt>
                <c:pt idx="58">
                  <c:v>281</c:v>
                </c:pt>
                <c:pt idx="59">
                  <c:v>281</c:v>
                </c:pt>
                <c:pt idx="60">
                  <c:v>281</c:v>
                </c:pt>
                <c:pt idx="61">
                  <c:v>281</c:v>
                </c:pt>
                <c:pt idx="62">
                  <c:v>284.33</c:v>
                </c:pt>
                <c:pt idx="63">
                  <c:v>281.64</c:v>
                </c:pt>
                <c:pt idx="64">
                  <c:v>284.88</c:v>
                </c:pt>
                <c:pt idx="65">
                  <c:v>288.73</c:v>
                </c:pt>
                <c:pt idx="66">
                  <c:v>288.73</c:v>
                </c:pt>
                <c:pt idx="67">
                  <c:v>288.73</c:v>
                </c:pt>
                <c:pt idx="68">
                  <c:v>278.47000000000003</c:v>
                </c:pt>
                <c:pt idx="69">
                  <c:v>287.05</c:v>
                </c:pt>
                <c:pt idx="70">
                  <c:v>285.29000000000002</c:v>
                </c:pt>
                <c:pt idx="71">
                  <c:v>281.52999999999997</c:v>
                </c:pt>
                <c:pt idx="72">
                  <c:v>286.98</c:v>
                </c:pt>
                <c:pt idx="73">
                  <c:v>286.98</c:v>
                </c:pt>
                <c:pt idx="74">
                  <c:v>286.98</c:v>
                </c:pt>
                <c:pt idx="75">
                  <c:v>286.02</c:v>
                </c:pt>
                <c:pt idx="76">
                  <c:v>286.02</c:v>
                </c:pt>
                <c:pt idx="77">
                  <c:v>294.37</c:v>
                </c:pt>
                <c:pt idx="78">
                  <c:v>291.99</c:v>
                </c:pt>
                <c:pt idx="79">
                  <c:v>290.52999999999997</c:v>
                </c:pt>
                <c:pt idx="80">
                  <c:v>290.52999999999997</c:v>
                </c:pt>
                <c:pt idx="81">
                  <c:v>290.52999999999997</c:v>
                </c:pt>
                <c:pt idx="82">
                  <c:v>294.10000000000002</c:v>
                </c:pt>
                <c:pt idx="83">
                  <c:v>298.29000000000002</c:v>
                </c:pt>
                <c:pt idx="84">
                  <c:v>309.33999999999997</c:v>
                </c:pt>
                <c:pt idx="85">
                  <c:v>313.41000000000003</c:v>
                </c:pt>
                <c:pt idx="86">
                  <c:v>308.87</c:v>
                </c:pt>
                <c:pt idx="87">
                  <c:v>308.87</c:v>
                </c:pt>
                <c:pt idx="88">
                  <c:v>308.87</c:v>
                </c:pt>
                <c:pt idx="89">
                  <c:v>310.62</c:v>
                </c:pt>
                <c:pt idx="90">
                  <c:v>312.05</c:v>
                </c:pt>
                <c:pt idx="91">
                  <c:v>316.01</c:v>
                </c:pt>
                <c:pt idx="92">
                  <c:v>302.52</c:v>
                </c:pt>
                <c:pt idx="93">
                  <c:v>294.26</c:v>
                </c:pt>
                <c:pt idx="94">
                  <c:v>294.26</c:v>
                </c:pt>
                <c:pt idx="95">
                  <c:v>294.26</c:v>
                </c:pt>
                <c:pt idx="96">
                  <c:v>291.61</c:v>
                </c:pt>
                <c:pt idx="97">
                  <c:v>294.47000000000003</c:v>
                </c:pt>
                <c:pt idx="98">
                  <c:v>298.57</c:v>
                </c:pt>
                <c:pt idx="99">
                  <c:v>311.70999999999998</c:v>
                </c:pt>
                <c:pt idx="100">
                  <c:v>325.48</c:v>
                </c:pt>
                <c:pt idx="101">
                  <c:v>325.48</c:v>
                </c:pt>
                <c:pt idx="102">
                  <c:v>325.48</c:v>
                </c:pt>
                <c:pt idx="103">
                  <c:v>318.60000000000002</c:v>
                </c:pt>
                <c:pt idx="104">
                  <c:v>322.70999999999998</c:v>
                </c:pt>
                <c:pt idx="105">
                  <c:v>314.31</c:v>
                </c:pt>
                <c:pt idx="106">
                  <c:v>313.19</c:v>
                </c:pt>
                <c:pt idx="107">
                  <c:v>310.73</c:v>
                </c:pt>
                <c:pt idx="108">
                  <c:v>310.73</c:v>
                </c:pt>
                <c:pt idx="109">
                  <c:v>310.73</c:v>
                </c:pt>
                <c:pt idx="110">
                  <c:v>316.56</c:v>
                </c:pt>
                <c:pt idx="111">
                  <c:v>312.64</c:v>
                </c:pt>
                <c:pt idx="112">
                  <c:v>305.20999999999998</c:v>
                </c:pt>
                <c:pt idx="113">
                  <c:v>305.74</c:v>
                </c:pt>
                <c:pt idx="114">
                  <c:v>301.64</c:v>
                </c:pt>
                <c:pt idx="115">
                  <c:v>301.64</c:v>
                </c:pt>
                <c:pt idx="116">
                  <c:v>301.64</c:v>
                </c:pt>
                <c:pt idx="117">
                  <c:v>306.19</c:v>
                </c:pt>
                <c:pt idx="118">
                  <c:v>301.95</c:v>
                </c:pt>
                <c:pt idx="119">
                  <c:v>294.29000000000002</c:v>
                </c:pt>
                <c:pt idx="120">
                  <c:v>285.08999999999997</c:v>
                </c:pt>
                <c:pt idx="121">
                  <c:v>283.25</c:v>
                </c:pt>
                <c:pt idx="122">
                  <c:v>283.25</c:v>
                </c:pt>
                <c:pt idx="123">
                  <c:v>283.25</c:v>
                </c:pt>
                <c:pt idx="124">
                  <c:v>289.89999999999998</c:v>
                </c:pt>
                <c:pt idx="125">
                  <c:v>287.60000000000002</c:v>
                </c:pt>
                <c:pt idx="126">
                  <c:v>294.24</c:v>
                </c:pt>
                <c:pt idx="127">
                  <c:v>286.75</c:v>
                </c:pt>
                <c:pt idx="128">
                  <c:v>285.5</c:v>
                </c:pt>
                <c:pt idx="129">
                  <c:v>285.5</c:v>
                </c:pt>
                <c:pt idx="130">
                  <c:v>285.5</c:v>
                </c:pt>
                <c:pt idx="131">
                  <c:v>290.26</c:v>
                </c:pt>
                <c:pt idx="132">
                  <c:v>297.99</c:v>
                </c:pt>
                <c:pt idx="133">
                  <c:v>295.10000000000002</c:v>
                </c:pt>
                <c:pt idx="134">
                  <c:v>295.89</c:v>
                </c:pt>
                <c:pt idx="135">
                  <c:v>296.38</c:v>
                </c:pt>
                <c:pt idx="136">
                  <c:v>296.38</c:v>
                </c:pt>
                <c:pt idx="137">
                  <c:v>296.38</c:v>
                </c:pt>
                <c:pt idx="138">
                  <c:v>296.38</c:v>
                </c:pt>
                <c:pt idx="139">
                  <c:v>300.14999999999998</c:v>
                </c:pt>
                <c:pt idx="140">
                  <c:v>299.17</c:v>
                </c:pt>
                <c:pt idx="141">
                  <c:v>298.67</c:v>
                </c:pt>
                <c:pt idx="142">
                  <c:v>297.89</c:v>
                </c:pt>
                <c:pt idx="143">
                  <c:v>297.89</c:v>
                </c:pt>
                <c:pt idx="144">
                  <c:v>297.89</c:v>
                </c:pt>
                <c:pt idx="145">
                  <c:v>307.56</c:v>
                </c:pt>
                <c:pt idx="146">
                  <c:v>301.66000000000003</c:v>
                </c:pt>
                <c:pt idx="147">
                  <c:v>305.06</c:v>
                </c:pt>
                <c:pt idx="148">
                  <c:v>311.72000000000003</c:v>
                </c:pt>
                <c:pt idx="149">
                  <c:v>300.31</c:v>
                </c:pt>
                <c:pt idx="150">
                  <c:v>300.31</c:v>
                </c:pt>
                <c:pt idx="151">
                  <c:v>300.31</c:v>
                </c:pt>
                <c:pt idx="152">
                  <c:v>302.55</c:v>
                </c:pt>
                <c:pt idx="153">
                  <c:v>305.07</c:v>
                </c:pt>
                <c:pt idx="154">
                  <c:v>299.67</c:v>
                </c:pt>
                <c:pt idx="155">
                  <c:v>295.73</c:v>
                </c:pt>
                <c:pt idx="156">
                  <c:v>299.08</c:v>
                </c:pt>
                <c:pt idx="157">
                  <c:v>299.08</c:v>
                </c:pt>
                <c:pt idx="158">
                  <c:v>299.08</c:v>
                </c:pt>
                <c:pt idx="159">
                  <c:v>300.83</c:v>
                </c:pt>
                <c:pt idx="160">
                  <c:v>298.95999999999998</c:v>
                </c:pt>
                <c:pt idx="161">
                  <c:v>297.74</c:v>
                </c:pt>
                <c:pt idx="162">
                  <c:v>303.95999999999998</c:v>
                </c:pt>
                <c:pt idx="163">
                  <c:v>300.20999999999998</c:v>
                </c:pt>
                <c:pt idx="164">
                  <c:v>300.20999999999998</c:v>
                </c:pt>
                <c:pt idx="165">
                  <c:v>300.20999999999998</c:v>
                </c:pt>
                <c:pt idx="166">
                  <c:v>306.82</c:v>
                </c:pt>
                <c:pt idx="167">
                  <c:v>300.94</c:v>
                </c:pt>
                <c:pt idx="168">
                  <c:v>305.58</c:v>
                </c:pt>
                <c:pt idx="169">
                  <c:v>304.79000000000002</c:v>
                </c:pt>
                <c:pt idx="170">
                  <c:v>315.43</c:v>
                </c:pt>
                <c:pt idx="171">
                  <c:v>315.43</c:v>
                </c:pt>
                <c:pt idx="172">
                  <c:v>315.43</c:v>
                </c:pt>
                <c:pt idx="173">
                  <c:v>318.36</c:v>
                </c:pt>
                <c:pt idx="174">
                  <c:v>321.83999999999997</c:v>
                </c:pt>
                <c:pt idx="175">
                  <c:v>327.82</c:v>
                </c:pt>
                <c:pt idx="176">
                  <c:v>324.16000000000003</c:v>
                </c:pt>
                <c:pt idx="177">
                  <c:v>314.69</c:v>
                </c:pt>
                <c:pt idx="178">
                  <c:v>314.69</c:v>
                </c:pt>
                <c:pt idx="179">
                  <c:v>314.69</c:v>
                </c:pt>
                <c:pt idx="180">
                  <c:v>321.14999999999998</c:v>
                </c:pt>
                <c:pt idx="181">
                  <c:v>324</c:v>
                </c:pt>
                <c:pt idx="182">
                  <c:v>316.97000000000003</c:v>
                </c:pt>
                <c:pt idx="183">
                  <c:v>312.81</c:v>
                </c:pt>
                <c:pt idx="184">
                  <c:v>308.64999999999998</c:v>
                </c:pt>
                <c:pt idx="185">
                  <c:v>308.64999999999998</c:v>
                </c:pt>
                <c:pt idx="186">
                  <c:v>308.64999999999998</c:v>
                </c:pt>
                <c:pt idx="187">
                  <c:v>314.01</c:v>
                </c:pt>
                <c:pt idx="188">
                  <c:v>312.55</c:v>
                </c:pt>
                <c:pt idx="189">
                  <c:v>299.52999999999997</c:v>
                </c:pt>
                <c:pt idx="190">
                  <c:v>288.35000000000002</c:v>
                </c:pt>
                <c:pt idx="191">
                  <c:v>296.73</c:v>
                </c:pt>
                <c:pt idx="192">
                  <c:v>296.73</c:v>
                </c:pt>
                <c:pt idx="193">
                  <c:v>296.73</c:v>
                </c:pt>
                <c:pt idx="194">
                  <c:v>302.66000000000003</c:v>
                </c:pt>
                <c:pt idx="195">
                  <c:v>301.27</c:v>
                </c:pt>
                <c:pt idx="196">
                  <c:v>311.85000000000002</c:v>
                </c:pt>
                <c:pt idx="197">
                  <c:v>310.87</c:v>
                </c:pt>
                <c:pt idx="198">
                  <c:v>314.60000000000002</c:v>
                </c:pt>
                <c:pt idx="199">
                  <c:v>314.60000000000002</c:v>
                </c:pt>
                <c:pt idx="200">
                  <c:v>314.60000000000002</c:v>
                </c:pt>
                <c:pt idx="201">
                  <c:v>315.8</c:v>
                </c:pt>
                <c:pt idx="202">
                  <c:v>318.82</c:v>
                </c:pt>
                <c:pt idx="203">
                  <c:v>319.77999999999997</c:v>
                </c:pt>
                <c:pt idx="204">
                  <c:v>320.55</c:v>
                </c:pt>
                <c:pt idx="205">
                  <c:v>328.77</c:v>
                </c:pt>
                <c:pt idx="206">
                  <c:v>328.77</c:v>
                </c:pt>
                <c:pt idx="207">
                  <c:v>328.77</c:v>
                </c:pt>
                <c:pt idx="208">
                  <c:v>329.19</c:v>
                </c:pt>
                <c:pt idx="209">
                  <c:v>336.31</c:v>
                </c:pt>
                <c:pt idx="210">
                  <c:v>332.71</c:v>
                </c:pt>
                <c:pt idx="211">
                  <c:v>334.19</c:v>
                </c:pt>
                <c:pt idx="212">
                  <c:v>335.04</c:v>
                </c:pt>
                <c:pt idx="213">
                  <c:v>335.04</c:v>
                </c:pt>
                <c:pt idx="214">
                  <c:v>335.04</c:v>
                </c:pt>
                <c:pt idx="215">
                  <c:v>339.97</c:v>
                </c:pt>
                <c:pt idx="216">
                  <c:v>336.98</c:v>
                </c:pt>
                <c:pt idx="217">
                  <c:v>341.49</c:v>
                </c:pt>
                <c:pt idx="218">
                  <c:v>341.49</c:v>
                </c:pt>
                <c:pt idx="219">
                  <c:v>338.23</c:v>
                </c:pt>
                <c:pt idx="220">
                  <c:v>338.23</c:v>
                </c:pt>
                <c:pt idx="221">
                  <c:v>338.23</c:v>
                </c:pt>
                <c:pt idx="222">
                  <c:v>334.7</c:v>
                </c:pt>
                <c:pt idx="223">
                  <c:v>338.99</c:v>
                </c:pt>
                <c:pt idx="224">
                  <c:v>332.2</c:v>
                </c:pt>
                <c:pt idx="225">
                  <c:v>327.14999999999998</c:v>
                </c:pt>
                <c:pt idx="226">
                  <c:v>324.82</c:v>
                </c:pt>
                <c:pt idx="227">
                  <c:v>324.82</c:v>
                </c:pt>
                <c:pt idx="228">
                  <c:v>324.82</c:v>
                </c:pt>
                <c:pt idx="229">
                  <c:v>320.02</c:v>
                </c:pt>
                <c:pt idx="230">
                  <c:v>318.29000000000002</c:v>
                </c:pt>
                <c:pt idx="231">
                  <c:v>317.45</c:v>
                </c:pt>
                <c:pt idx="232">
                  <c:v>326.58999999999997</c:v>
                </c:pt>
                <c:pt idx="233">
                  <c:v>332.75</c:v>
                </c:pt>
                <c:pt idx="234">
                  <c:v>332.75</c:v>
                </c:pt>
                <c:pt idx="235">
                  <c:v>332.75</c:v>
                </c:pt>
                <c:pt idx="236">
                  <c:v>325.27999999999997</c:v>
                </c:pt>
                <c:pt idx="237">
                  <c:v>334.22</c:v>
                </c:pt>
                <c:pt idx="238">
                  <c:v>334.74</c:v>
                </c:pt>
                <c:pt idx="239">
                  <c:v>333.17</c:v>
                </c:pt>
                <c:pt idx="240">
                  <c:v>334.92</c:v>
                </c:pt>
                <c:pt idx="241">
                  <c:v>334.92</c:v>
                </c:pt>
                <c:pt idx="242">
                  <c:v>334.92</c:v>
                </c:pt>
                <c:pt idx="243">
                  <c:v>344.62</c:v>
                </c:pt>
                <c:pt idx="244">
                  <c:v>350.36</c:v>
                </c:pt>
                <c:pt idx="245">
                  <c:v>349.28</c:v>
                </c:pt>
                <c:pt idx="246">
                  <c:v>354.09</c:v>
                </c:pt>
                <c:pt idx="247">
                  <c:v>353.39</c:v>
                </c:pt>
                <c:pt idx="248">
                  <c:v>353.39</c:v>
                </c:pt>
                <c:pt idx="249">
                  <c:v>353.39</c:v>
                </c:pt>
                <c:pt idx="250">
                  <c:v>353.39</c:v>
                </c:pt>
                <c:pt idx="251">
                  <c:v>354.83</c:v>
                </c:pt>
                <c:pt idx="252">
                  <c:v>357.83</c:v>
                </c:pt>
                <c:pt idx="253">
                  <c:v>358.32</c:v>
                </c:pt>
                <c:pt idx="254">
                  <c:v>353.96</c:v>
                </c:pt>
                <c:pt idx="255">
                  <c:v>353.96</c:v>
                </c:pt>
                <c:pt idx="256">
                  <c:v>353.96</c:v>
                </c:pt>
                <c:pt idx="257">
                  <c:v>353.96</c:v>
                </c:pt>
                <c:pt idx="258">
                  <c:v>346.29</c:v>
                </c:pt>
                <c:pt idx="259">
                  <c:v>344.47</c:v>
                </c:pt>
                <c:pt idx="260">
                  <c:v>347.12</c:v>
                </c:pt>
                <c:pt idx="261">
                  <c:v>351.95</c:v>
                </c:pt>
                <c:pt idx="262">
                  <c:v>351.95</c:v>
                </c:pt>
                <c:pt idx="263">
                  <c:v>351.95</c:v>
                </c:pt>
                <c:pt idx="264">
                  <c:v>358.66</c:v>
                </c:pt>
                <c:pt idx="265">
                  <c:v>357.43</c:v>
                </c:pt>
                <c:pt idx="266">
                  <c:v>370.47</c:v>
                </c:pt>
                <c:pt idx="267">
                  <c:v>369.67</c:v>
                </c:pt>
                <c:pt idx="268">
                  <c:v>374.49</c:v>
                </c:pt>
                <c:pt idx="269">
                  <c:v>374.49</c:v>
                </c:pt>
                <c:pt idx="270">
                  <c:v>374.49</c:v>
                </c:pt>
                <c:pt idx="271">
                  <c:v>374.49</c:v>
                </c:pt>
                <c:pt idx="272">
                  <c:v>367.46</c:v>
                </c:pt>
                <c:pt idx="273">
                  <c:v>368.37</c:v>
                </c:pt>
                <c:pt idx="274">
                  <c:v>376.13</c:v>
                </c:pt>
                <c:pt idx="275">
                  <c:v>383.45</c:v>
                </c:pt>
                <c:pt idx="276">
                  <c:v>383.45</c:v>
                </c:pt>
                <c:pt idx="277">
                  <c:v>383.45</c:v>
                </c:pt>
                <c:pt idx="278">
                  <c:v>381.78</c:v>
                </c:pt>
                <c:pt idx="279">
                  <c:v>385.2</c:v>
                </c:pt>
                <c:pt idx="280">
                  <c:v>390.7</c:v>
                </c:pt>
                <c:pt idx="281">
                  <c:v>393.18</c:v>
                </c:pt>
                <c:pt idx="282">
                  <c:v>394.14</c:v>
                </c:pt>
                <c:pt idx="283">
                  <c:v>394.14</c:v>
                </c:pt>
                <c:pt idx="284">
                  <c:v>394.14</c:v>
                </c:pt>
                <c:pt idx="285">
                  <c:v>401.02</c:v>
                </c:pt>
                <c:pt idx="286">
                  <c:v>400.06</c:v>
                </c:pt>
                <c:pt idx="287">
                  <c:v>390.14</c:v>
                </c:pt>
                <c:pt idx="288">
                  <c:v>394.78</c:v>
                </c:pt>
                <c:pt idx="289">
                  <c:v>474.99</c:v>
                </c:pt>
                <c:pt idx="290">
                  <c:v>474.99</c:v>
                </c:pt>
                <c:pt idx="291">
                  <c:v>474.99</c:v>
                </c:pt>
                <c:pt idx="292">
                  <c:v>459.41</c:v>
                </c:pt>
                <c:pt idx="293">
                  <c:v>454.72</c:v>
                </c:pt>
                <c:pt idx="294">
                  <c:v>469.59</c:v>
                </c:pt>
                <c:pt idx="295">
                  <c:v>470</c:v>
                </c:pt>
                <c:pt idx="296">
                  <c:v>468.11</c:v>
                </c:pt>
                <c:pt idx="297">
                  <c:v>468.11</c:v>
                </c:pt>
                <c:pt idx="298">
                  <c:v>468.11</c:v>
                </c:pt>
                <c:pt idx="299">
                  <c:v>468.9</c:v>
                </c:pt>
                <c:pt idx="300">
                  <c:v>460.12</c:v>
                </c:pt>
                <c:pt idx="301">
                  <c:v>473.28</c:v>
                </c:pt>
                <c:pt idx="302">
                  <c:v>484.03</c:v>
                </c:pt>
                <c:pt idx="303">
                  <c:v>473.32</c:v>
                </c:pt>
                <c:pt idx="304">
                  <c:v>473.32</c:v>
                </c:pt>
                <c:pt idx="305">
                  <c:v>473.32</c:v>
                </c:pt>
                <c:pt idx="306">
                  <c:v>473.32</c:v>
                </c:pt>
                <c:pt idx="307">
                  <c:v>471.75</c:v>
                </c:pt>
                <c:pt idx="308">
                  <c:v>468.03</c:v>
                </c:pt>
                <c:pt idx="309">
                  <c:v>486.13</c:v>
                </c:pt>
                <c:pt idx="310">
                  <c:v>484.03</c:v>
                </c:pt>
                <c:pt idx="311">
                  <c:v>484.03</c:v>
                </c:pt>
                <c:pt idx="312">
                  <c:v>484.03</c:v>
                </c:pt>
                <c:pt idx="313">
                  <c:v>481.74</c:v>
                </c:pt>
                <c:pt idx="314">
                  <c:v>487.05</c:v>
                </c:pt>
                <c:pt idx="315">
                  <c:v>484.02</c:v>
                </c:pt>
                <c:pt idx="316">
                  <c:v>490.13</c:v>
                </c:pt>
                <c:pt idx="317">
                  <c:v>502.3</c:v>
                </c:pt>
                <c:pt idx="318">
                  <c:v>502.3</c:v>
                </c:pt>
                <c:pt idx="319">
                  <c:v>502.3</c:v>
                </c:pt>
                <c:pt idx="320">
                  <c:v>498.19</c:v>
                </c:pt>
                <c:pt idx="321">
                  <c:v>490.22</c:v>
                </c:pt>
                <c:pt idx="322">
                  <c:v>496.09</c:v>
                </c:pt>
                <c:pt idx="323">
                  <c:v>512.19000000000005</c:v>
                </c:pt>
                <c:pt idx="324">
                  <c:v>505.95</c:v>
                </c:pt>
                <c:pt idx="325">
                  <c:v>505.95</c:v>
                </c:pt>
                <c:pt idx="326">
                  <c:v>505.95</c:v>
                </c:pt>
                <c:pt idx="327">
                  <c:v>483.59</c:v>
                </c:pt>
                <c:pt idx="328">
                  <c:v>499.75</c:v>
                </c:pt>
                <c:pt idx="329">
                  <c:v>495.57</c:v>
                </c:pt>
                <c:pt idx="330">
                  <c:v>491.83</c:v>
                </c:pt>
                <c:pt idx="331">
                  <c:v>484.1</c:v>
                </c:pt>
                <c:pt idx="332">
                  <c:v>484.1</c:v>
                </c:pt>
                <c:pt idx="333">
                  <c:v>484.1</c:v>
                </c:pt>
                <c:pt idx="334">
                  <c:v>496.98</c:v>
                </c:pt>
                <c:pt idx="335">
                  <c:v>496.24</c:v>
                </c:pt>
                <c:pt idx="336">
                  <c:v>505.52</c:v>
                </c:pt>
                <c:pt idx="337">
                  <c:v>507.76</c:v>
                </c:pt>
                <c:pt idx="338">
                  <c:v>509.58</c:v>
                </c:pt>
                <c:pt idx="339">
                  <c:v>509.58</c:v>
                </c:pt>
                <c:pt idx="340">
                  <c:v>509.58</c:v>
                </c:pt>
                <c:pt idx="341">
                  <c:v>503.02</c:v>
                </c:pt>
                <c:pt idx="342">
                  <c:v>495.89</c:v>
                </c:pt>
                <c:pt idx="343">
                  <c:v>493.86</c:v>
                </c:pt>
                <c:pt idx="344">
                  <c:v>485.58</c:v>
                </c:pt>
                <c:pt idx="345">
                  <c:v>485.58</c:v>
                </c:pt>
                <c:pt idx="346">
                  <c:v>485.58</c:v>
                </c:pt>
                <c:pt idx="347">
                  <c:v>485.58</c:v>
                </c:pt>
                <c:pt idx="348">
                  <c:v>491.35</c:v>
                </c:pt>
                <c:pt idx="349">
                  <c:v>497.37</c:v>
                </c:pt>
                <c:pt idx="350">
                  <c:v>506.74</c:v>
                </c:pt>
                <c:pt idx="351">
                  <c:v>510.92</c:v>
                </c:pt>
                <c:pt idx="352">
                  <c:v>527.34</c:v>
                </c:pt>
                <c:pt idx="353">
                  <c:v>527.34</c:v>
                </c:pt>
                <c:pt idx="354">
                  <c:v>527.34</c:v>
                </c:pt>
                <c:pt idx="355">
                  <c:v>519.25</c:v>
                </c:pt>
                <c:pt idx="356">
                  <c:v>516.9</c:v>
                </c:pt>
                <c:pt idx="357">
                  <c:v>519.83000000000004</c:v>
                </c:pt>
                <c:pt idx="358">
                  <c:v>523.16</c:v>
                </c:pt>
                <c:pt idx="359">
                  <c:v>511.9</c:v>
                </c:pt>
                <c:pt idx="360">
                  <c:v>511.9</c:v>
                </c:pt>
                <c:pt idx="361">
                  <c:v>511.9</c:v>
                </c:pt>
                <c:pt idx="362">
                  <c:v>500.23</c:v>
                </c:pt>
                <c:pt idx="363">
                  <c:v>499.76</c:v>
                </c:pt>
                <c:pt idx="364">
                  <c:v>494.17</c:v>
                </c:pt>
                <c:pt idx="365">
                  <c:v>501.8</c:v>
                </c:pt>
                <c:pt idx="366">
                  <c:v>481.07</c:v>
                </c:pt>
                <c:pt idx="367">
                  <c:v>481.07</c:v>
                </c:pt>
                <c:pt idx="368">
                  <c:v>481.07</c:v>
                </c:pt>
                <c:pt idx="369">
                  <c:v>481.73</c:v>
                </c:pt>
                <c:pt idx="370">
                  <c:v>496.1</c:v>
                </c:pt>
                <c:pt idx="371">
                  <c:v>493.5</c:v>
                </c:pt>
                <c:pt idx="372">
                  <c:v>441.38</c:v>
                </c:pt>
                <c:pt idx="373">
                  <c:v>443.29</c:v>
                </c:pt>
                <c:pt idx="374">
                  <c:v>443.29</c:v>
                </c:pt>
                <c:pt idx="375">
                  <c:v>443.29</c:v>
                </c:pt>
                <c:pt idx="376">
                  <c:v>432.62</c:v>
                </c:pt>
                <c:pt idx="377">
                  <c:v>430.17</c:v>
                </c:pt>
                <c:pt idx="378">
                  <c:v>439.19</c:v>
                </c:pt>
                <c:pt idx="379">
                  <c:v>441.68</c:v>
                </c:pt>
                <c:pt idx="380">
                  <c:v>451.96</c:v>
                </c:pt>
                <c:pt idx="381">
                  <c:v>451.96</c:v>
                </c:pt>
                <c:pt idx="382">
                  <c:v>451.96</c:v>
                </c:pt>
                <c:pt idx="383">
                  <c:v>465.68</c:v>
                </c:pt>
                <c:pt idx="384">
                  <c:v>468.24</c:v>
                </c:pt>
                <c:pt idx="385">
                  <c:v>472.6</c:v>
                </c:pt>
                <c:pt idx="386">
                  <c:v>475.42</c:v>
                </c:pt>
                <c:pt idx="387">
                  <c:v>476.2</c:v>
                </c:pt>
                <c:pt idx="388">
                  <c:v>476.2</c:v>
                </c:pt>
                <c:pt idx="389">
                  <c:v>476.2</c:v>
                </c:pt>
                <c:pt idx="390">
                  <c:v>468.01</c:v>
                </c:pt>
                <c:pt idx="391">
                  <c:v>471.85</c:v>
                </c:pt>
                <c:pt idx="392">
                  <c:v>481.54</c:v>
                </c:pt>
                <c:pt idx="393">
                  <c:v>473.23</c:v>
                </c:pt>
                <c:pt idx="394">
                  <c:v>471.91</c:v>
                </c:pt>
                <c:pt idx="395">
                  <c:v>471.91</c:v>
                </c:pt>
                <c:pt idx="396">
                  <c:v>471.91</c:v>
                </c:pt>
                <c:pt idx="397">
                  <c:v>468.84</c:v>
                </c:pt>
                <c:pt idx="398">
                  <c:v>464.63</c:v>
                </c:pt>
                <c:pt idx="399">
                  <c:v>467.78</c:v>
                </c:pt>
                <c:pt idx="400">
                  <c:v>465.78</c:v>
                </c:pt>
                <c:pt idx="401">
                  <c:v>478.22</c:v>
                </c:pt>
                <c:pt idx="402">
                  <c:v>478.22</c:v>
                </c:pt>
                <c:pt idx="403">
                  <c:v>478.22</c:v>
                </c:pt>
                <c:pt idx="404">
                  <c:v>478.22</c:v>
                </c:pt>
                <c:pt idx="405">
                  <c:v>479.92</c:v>
                </c:pt>
                <c:pt idx="406">
                  <c:v>474.36</c:v>
                </c:pt>
                <c:pt idx="407">
                  <c:v>467.05</c:v>
                </c:pt>
                <c:pt idx="408">
                  <c:v>466.83</c:v>
                </c:pt>
                <c:pt idx="409">
                  <c:v>466.83</c:v>
                </c:pt>
                <c:pt idx="410">
                  <c:v>466.83</c:v>
                </c:pt>
                <c:pt idx="411">
                  <c:v>477.49</c:v>
                </c:pt>
                <c:pt idx="412">
                  <c:v>476.99</c:v>
                </c:pt>
                <c:pt idx="413">
                  <c:v>495.06</c:v>
                </c:pt>
                <c:pt idx="414">
                  <c:v>493.76</c:v>
                </c:pt>
                <c:pt idx="415">
                  <c:v>492.96</c:v>
                </c:pt>
                <c:pt idx="416">
                  <c:v>492.96</c:v>
                </c:pt>
                <c:pt idx="417">
                  <c:v>492.96</c:v>
                </c:pt>
                <c:pt idx="418">
                  <c:v>502.6</c:v>
                </c:pt>
                <c:pt idx="419">
                  <c:v>507.47</c:v>
                </c:pt>
                <c:pt idx="420">
                  <c:v>508.84</c:v>
                </c:pt>
                <c:pt idx="421">
                  <c:v>504.1</c:v>
                </c:pt>
                <c:pt idx="422">
                  <c:v>504.16</c:v>
                </c:pt>
                <c:pt idx="423">
                  <c:v>504.16</c:v>
                </c:pt>
                <c:pt idx="424">
                  <c:v>504.16</c:v>
                </c:pt>
                <c:pt idx="425">
                  <c:v>506.63</c:v>
                </c:pt>
                <c:pt idx="426">
                  <c:v>499.49</c:v>
                </c:pt>
                <c:pt idx="427">
                  <c:v>499.49</c:v>
                </c:pt>
                <c:pt idx="428">
                  <c:v>501.7</c:v>
                </c:pt>
                <c:pt idx="429">
                  <c:v>494.78</c:v>
                </c:pt>
                <c:pt idx="430">
                  <c:v>494.78</c:v>
                </c:pt>
                <c:pt idx="431">
                  <c:v>494.78</c:v>
                </c:pt>
                <c:pt idx="432">
                  <c:v>498.91</c:v>
                </c:pt>
                <c:pt idx="433">
                  <c:v>510.6</c:v>
                </c:pt>
                <c:pt idx="434">
                  <c:v>513.12</c:v>
                </c:pt>
                <c:pt idx="435">
                  <c:v>519.55999999999995</c:v>
                </c:pt>
                <c:pt idx="436">
                  <c:v>504.22</c:v>
                </c:pt>
                <c:pt idx="437">
                  <c:v>504.22</c:v>
                </c:pt>
                <c:pt idx="438">
                  <c:v>504.22</c:v>
                </c:pt>
                <c:pt idx="439">
                  <c:v>504.68</c:v>
                </c:pt>
                <c:pt idx="440">
                  <c:v>509.5</c:v>
                </c:pt>
                <c:pt idx="441">
                  <c:v>509.96</c:v>
                </c:pt>
                <c:pt idx="442">
                  <c:v>509.96</c:v>
                </c:pt>
                <c:pt idx="443">
                  <c:v>539.91</c:v>
                </c:pt>
                <c:pt idx="444">
                  <c:v>539.91</c:v>
                </c:pt>
                <c:pt idx="445">
                  <c:v>539.91</c:v>
                </c:pt>
                <c:pt idx="446">
                  <c:v>529.32000000000005</c:v>
                </c:pt>
                <c:pt idx="447">
                  <c:v>530</c:v>
                </c:pt>
                <c:pt idx="448">
                  <c:v>534.69000000000005</c:v>
                </c:pt>
                <c:pt idx="449">
                  <c:v>512.70000000000005</c:v>
                </c:pt>
                <c:pt idx="450">
                  <c:v>498.87</c:v>
                </c:pt>
                <c:pt idx="451">
                  <c:v>498.87</c:v>
                </c:pt>
                <c:pt idx="452">
                  <c:v>498.87</c:v>
                </c:pt>
                <c:pt idx="453">
                  <c:v>496.16</c:v>
                </c:pt>
                <c:pt idx="454">
                  <c:v>489.79</c:v>
                </c:pt>
                <c:pt idx="455">
                  <c:v>461.99</c:v>
                </c:pt>
                <c:pt idx="456">
                  <c:v>475.85</c:v>
                </c:pt>
                <c:pt idx="457">
                  <c:v>476.79</c:v>
                </c:pt>
                <c:pt idx="458">
                  <c:v>476.79</c:v>
                </c:pt>
                <c:pt idx="459">
                  <c:v>476.79</c:v>
                </c:pt>
                <c:pt idx="460">
                  <c:v>487.4</c:v>
                </c:pt>
                <c:pt idx="461">
                  <c:v>488.69</c:v>
                </c:pt>
                <c:pt idx="462">
                  <c:v>461.27</c:v>
                </c:pt>
                <c:pt idx="463">
                  <c:v>453.41</c:v>
                </c:pt>
                <c:pt idx="464">
                  <c:v>465.7</c:v>
                </c:pt>
                <c:pt idx="465">
                  <c:v>465.7</c:v>
                </c:pt>
                <c:pt idx="466">
                  <c:v>465.7</c:v>
                </c:pt>
                <c:pt idx="467">
                  <c:v>465.71</c:v>
                </c:pt>
                <c:pt idx="468">
                  <c:v>463.19</c:v>
                </c:pt>
                <c:pt idx="469">
                  <c:v>474.83</c:v>
                </c:pt>
                <c:pt idx="470">
                  <c:v>497.74</c:v>
                </c:pt>
                <c:pt idx="471">
                  <c:v>488.14</c:v>
                </c:pt>
                <c:pt idx="472">
                  <c:v>488.14</c:v>
                </c:pt>
                <c:pt idx="473">
                  <c:v>488.14</c:v>
                </c:pt>
                <c:pt idx="474">
                  <c:v>475.73</c:v>
                </c:pt>
                <c:pt idx="475">
                  <c:v>494.09</c:v>
                </c:pt>
                <c:pt idx="476">
                  <c:v>488.92</c:v>
                </c:pt>
                <c:pt idx="477">
                  <c:v>509.63</c:v>
                </c:pt>
                <c:pt idx="478">
                  <c:v>517.77</c:v>
                </c:pt>
                <c:pt idx="479">
                  <c:v>517.77</c:v>
                </c:pt>
                <c:pt idx="480">
                  <c:v>517.77</c:v>
                </c:pt>
                <c:pt idx="481">
                  <c:v>515.95000000000005</c:v>
                </c:pt>
                <c:pt idx="482">
                  <c:v>528.54</c:v>
                </c:pt>
                <c:pt idx="483">
                  <c:v>526.76</c:v>
                </c:pt>
                <c:pt idx="484">
                  <c:v>537.33000000000004</c:v>
                </c:pt>
                <c:pt idx="485">
                  <c:v>527.41999999999996</c:v>
                </c:pt>
                <c:pt idx="486">
                  <c:v>527.41999999999996</c:v>
                </c:pt>
                <c:pt idx="487">
                  <c:v>527.41999999999996</c:v>
                </c:pt>
                <c:pt idx="488">
                  <c:v>529.28</c:v>
                </c:pt>
                <c:pt idx="489">
                  <c:v>526.73</c:v>
                </c:pt>
                <c:pt idx="490">
                  <c:v>535.16</c:v>
                </c:pt>
                <c:pt idx="491">
                  <c:v>531.92999999999995</c:v>
                </c:pt>
                <c:pt idx="492">
                  <c:v>528</c:v>
                </c:pt>
                <c:pt idx="493">
                  <c:v>528</c:v>
                </c:pt>
                <c:pt idx="494">
                  <c:v>528</c:v>
                </c:pt>
                <c:pt idx="495">
                  <c:v>521.12</c:v>
                </c:pt>
                <c:pt idx="496">
                  <c:v>519.1</c:v>
                </c:pt>
                <c:pt idx="497">
                  <c:v>516.78</c:v>
                </c:pt>
                <c:pt idx="498">
                  <c:v>518.22</c:v>
                </c:pt>
                <c:pt idx="499">
                  <c:v>521.30999999999995</c:v>
                </c:pt>
                <c:pt idx="500">
                  <c:v>521.30999999999995</c:v>
                </c:pt>
                <c:pt idx="501">
                  <c:v>521.30999999999995</c:v>
                </c:pt>
                <c:pt idx="502">
                  <c:v>521.30999999999995</c:v>
                </c:pt>
                <c:pt idx="503">
                  <c:v>511.76</c:v>
                </c:pt>
                <c:pt idx="504">
                  <c:v>512.74</c:v>
                </c:pt>
                <c:pt idx="505">
                  <c:v>516.86</c:v>
                </c:pt>
                <c:pt idx="506">
                  <c:v>500.27</c:v>
                </c:pt>
                <c:pt idx="507">
                  <c:v>500.27</c:v>
                </c:pt>
                <c:pt idx="508">
                  <c:v>500.27</c:v>
                </c:pt>
                <c:pt idx="509">
                  <c:v>504.79</c:v>
                </c:pt>
                <c:pt idx="510">
                  <c:v>504.79</c:v>
                </c:pt>
                <c:pt idx="511">
                  <c:v>511.83</c:v>
                </c:pt>
                <c:pt idx="512">
                  <c:v>525.6</c:v>
                </c:pt>
                <c:pt idx="513">
                  <c:v>524.62</c:v>
                </c:pt>
                <c:pt idx="514">
                  <c:v>524.62</c:v>
                </c:pt>
                <c:pt idx="515">
                  <c:v>524.62</c:v>
                </c:pt>
                <c:pt idx="516">
                  <c:v>533.28</c:v>
                </c:pt>
                <c:pt idx="517">
                  <c:v>536.31500000000005</c:v>
                </c:pt>
                <c:pt idx="518">
                  <c:v>537.95000000000005</c:v>
                </c:pt>
                <c:pt idx="519">
                  <c:v>559.1</c:v>
                </c:pt>
                <c:pt idx="520">
                  <c:v>561.35</c:v>
                </c:pt>
                <c:pt idx="521">
                  <c:v>561.35</c:v>
                </c:pt>
                <c:pt idx="522">
                  <c:v>561.35</c:v>
                </c:pt>
                <c:pt idx="523">
                  <c:v>564.41</c:v>
                </c:pt>
                <c:pt idx="524">
                  <c:v>563.33000000000004</c:v>
                </c:pt>
                <c:pt idx="525">
                  <c:v>568.30999999999995</c:v>
                </c:pt>
                <c:pt idx="526">
                  <c:v>567.84</c:v>
                </c:pt>
                <c:pt idx="527">
                  <c:v>567.36</c:v>
                </c:pt>
                <c:pt idx="528">
                  <c:v>567.36</c:v>
                </c:pt>
                <c:pt idx="529">
                  <c:v>567.36</c:v>
                </c:pt>
                <c:pt idx="530">
                  <c:v>572.44000000000005</c:v>
                </c:pt>
                <c:pt idx="531">
                  <c:v>576.47</c:v>
                </c:pt>
                <c:pt idx="532">
                  <c:v>572.80999999999995</c:v>
                </c:pt>
                <c:pt idx="533">
                  <c:v>582.77</c:v>
                </c:pt>
                <c:pt idx="534">
                  <c:v>595.94000000000005</c:v>
                </c:pt>
                <c:pt idx="535">
                  <c:v>595.94000000000005</c:v>
                </c:pt>
                <c:pt idx="536">
                  <c:v>595.94000000000005</c:v>
                </c:pt>
                <c:pt idx="537">
                  <c:v>584.78</c:v>
                </c:pt>
                <c:pt idx="538">
                  <c:v>592.89</c:v>
                </c:pt>
                <c:pt idx="539">
                  <c:v>590.51</c:v>
                </c:pt>
                <c:pt idx="540">
                  <c:v>583.83000000000004</c:v>
                </c:pt>
                <c:pt idx="541">
                  <c:v>589.95000000000005</c:v>
                </c:pt>
                <c:pt idx="542">
                  <c:v>589.95000000000005</c:v>
                </c:pt>
                <c:pt idx="543">
                  <c:v>589.95000000000005</c:v>
                </c:pt>
                <c:pt idx="544">
                  <c:v>590.41999999999996</c:v>
                </c:pt>
                <c:pt idx="545">
                  <c:v>586.27</c:v>
                </c:pt>
                <c:pt idx="546">
                  <c:v>576.79</c:v>
                </c:pt>
                <c:pt idx="547">
                  <c:v>576.92999999999995</c:v>
                </c:pt>
                <c:pt idx="548">
                  <c:v>576.47</c:v>
                </c:pt>
                <c:pt idx="549">
                  <c:v>576.47</c:v>
                </c:pt>
                <c:pt idx="550">
                  <c:v>576.47</c:v>
                </c:pt>
                <c:pt idx="551">
                  <c:v>575.16</c:v>
                </c:pt>
                <c:pt idx="552">
                  <c:v>582.01</c:v>
                </c:pt>
                <c:pt idx="553">
                  <c:v>563.69000000000005</c:v>
                </c:pt>
                <c:pt idx="554">
                  <c:v>567.78</c:v>
                </c:pt>
                <c:pt idx="555">
                  <c:v>573.25</c:v>
                </c:pt>
                <c:pt idx="556">
                  <c:v>573.25</c:v>
                </c:pt>
                <c:pt idx="557">
                  <c:v>573.25</c:v>
                </c:pt>
                <c:pt idx="558">
                  <c:v>578.16</c:v>
                </c:pt>
                <c:pt idx="559">
                  <c:v>593.28</c:v>
                </c:pt>
                <c:pt idx="560">
                  <c:v>591.79999999999995</c:v>
                </c:pt>
                <c:pt idx="561">
                  <c:v>567.58000000000004</c:v>
                </c:pt>
                <c:pt idx="562">
                  <c:v>567.16</c:v>
                </c:pt>
                <c:pt idx="563">
                  <c:v>567.16</c:v>
                </c:pt>
                <c:pt idx="564">
                  <c:v>567.16</c:v>
                </c:pt>
                <c:pt idx="565">
                  <c:v>560.67999999999995</c:v>
                </c:pt>
                <c:pt idx="566">
                  <c:v>572.42999999999995</c:v>
                </c:pt>
                <c:pt idx="567">
                  <c:v>572.04999999999995</c:v>
                </c:pt>
                <c:pt idx="568">
                  <c:v>591.70000000000005</c:v>
                </c:pt>
                <c:pt idx="569">
                  <c:v>589.34</c:v>
                </c:pt>
                <c:pt idx="570">
                  <c:v>589.34</c:v>
                </c:pt>
                <c:pt idx="571">
                  <c:v>589.34</c:v>
                </c:pt>
                <c:pt idx="572">
                  <c:v>583.16999999999996</c:v>
                </c:pt>
                <c:pt idx="573">
                  <c:v>584.82000000000005</c:v>
                </c:pt>
                <c:pt idx="574">
                  <c:v>580</c:v>
                </c:pt>
                <c:pt idx="575">
                  <c:v>577.16</c:v>
                </c:pt>
                <c:pt idx="576">
                  <c:v>554.08000000000004</c:v>
                </c:pt>
                <c:pt idx="577">
                  <c:v>554.08000000000004</c:v>
                </c:pt>
                <c:pt idx="578">
                  <c:v>554.08000000000004</c:v>
                </c:pt>
                <c:pt idx="579">
                  <c:v>554.4</c:v>
                </c:pt>
                <c:pt idx="580">
                  <c:v>561.09</c:v>
                </c:pt>
                <c:pt idx="581">
                  <c:v>565.52</c:v>
                </c:pt>
                <c:pt idx="582">
                  <c:v>563.09</c:v>
                </c:pt>
                <c:pt idx="583">
                  <c:v>559.14</c:v>
                </c:pt>
                <c:pt idx="584">
                  <c:v>559.14</c:v>
                </c:pt>
                <c:pt idx="585">
                  <c:v>559.14</c:v>
                </c:pt>
                <c:pt idx="586">
                  <c:v>565.11</c:v>
                </c:pt>
                <c:pt idx="587">
                  <c:v>573.54</c:v>
                </c:pt>
                <c:pt idx="588">
                  <c:v>569.20000000000005</c:v>
                </c:pt>
                <c:pt idx="589">
                  <c:v>569.20000000000005</c:v>
                </c:pt>
                <c:pt idx="590">
                  <c:v>574.32000000000005</c:v>
                </c:pt>
                <c:pt idx="591">
                  <c:v>574.32000000000005</c:v>
                </c:pt>
                <c:pt idx="592">
                  <c:v>574.32000000000005</c:v>
                </c:pt>
                <c:pt idx="593">
                  <c:v>592.83000000000004</c:v>
                </c:pt>
                <c:pt idx="594">
                  <c:v>613.65</c:v>
                </c:pt>
                <c:pt idx="595">
                  <c:v>613.78</c:v>
                </c:pt>
                <c:pt idx="596">
                  <c:v>608.92999999999995</c:v>
                </c:pt>
                <c:pt idx="597">
                  <c:v>623.77</c:v>
                </c:pt>
                <c:pt idx="598">
                  <c:v>623.77</c:v>
                </c:pt>
                <c:pt idx="599">
                  <c:v>623.77</c:v>
                </c:pt>
                <c:pt idx="600">
                  <c:v>613.57000000000005</c:v>
                </c:pt>
                <c:pt idx="601">
                  <c:v>619.32000000000005</c:v>
                </c:pt>
                <c:pt idx="602">
                  <c:v>632.67999999999995</c:v>
                </c:pt>
                <c:pt idx="603">
                  <c:v>630.79</c:v>
                </c:pt>
                <c:pt idx="604">
                  <c:v>620.35</c:v>
                </c:pt>
                <c:pt idx="605">
                  <c:v>620.35</c:v>
                </c:pt>
                <c:pt idx="606">
                  <c:v>620.35</c:v>
                </c:pt>
                <c:pt idx="607">
                  <c:v>624.24</c:v>
                </c:pt>
                <c:pt idx="608">
                  <c:v>619.44000000000005</c:v>
                </c:pt>
                <c:pt idx="609">
                  <c:v>597.19000000000005</c:v>
                </c:pt>
                <c:pt idx="610">
                  <c:v>595.57000000000005</c:v>
                </c:pt>
                <c:pt idx="611">
                  <c:v>585.25</c:v>
                </c:pt>
                <c:pt idx="612">
                  <c:v>585.25</c:v>
                </c:pt>
                <c:pt idx="613">
                  <c:v>585.25</c:v>
                </c:pt>
                <c:pt idx="614">
                  <c:v>599.85</c:v>
                </c:pt>
                <c:pt idx="615">
                  <c:v>607.75</c:v>
                </c:pt>
                <c:pt idx="616">
                  <c:v>607.75</c:v>
                </c:pt>
                <c:pt idx="617">
                  <c:v>603.35</c:v>
                </c:pt>
                <c:pt idx="618">
                  <c:v>599.80999999999995</c:v>
                </c:pt>
                <c:pt idx="619">
                  <c:v>599.80999999999995</c:v>
                </c:pt>
                <c:pt idx="620">
                  <c:v>599.80999999999995</c:v>
                </c:pt>
                <c:pt idx="621">
                  <c:v>591.24</c:v>
                </c:pt>
                <c:pt idx="622">
                  <c:v>585.51</c:v>
                </c:pt>
                <c:pt idx="623">
                  <c:v>585.51</c:v>
                </c:pt>
                <c:pt idx="624">
                  <c:v>599.24</c:v>
                </c:pt>
                <c:pt idx="625">
                  <c:v>604.63</c:v>
                </c:pt>
                <c:pt idx="626">
                  <c:v>604.63</c:v>
                </c:pt>
                <c:pt idx="627">
                  <c:v>604.63</c:v>
                </c:pt>
                <c:pt idx="628">
                  <c:v>630.20000000000005</c:v>
                </c:pt>
                <c:pt idx="629">
                  <c:v>617.89</c:v>
                </c:pt>
                <c:pt idx="630">
                  <c:v>610.72</c:v>
                </c:pt>
                <c:pt idx="631">
                  <c:v>610.72</c:v>
                </c:pt>
                <c:pt idx="632">
                  <c:v>615.86</c:v>
                </c:pt>
                <c:pt idx="633">
                  <c:v>615.86</c:v>
                </c:pt>
                <c:pt idx="634">
                  <c:v>615.86</c:v>
                </c:pt>
                <c:pt idx="635">
                  <c:v>608.33000000000004</c:v>
                </c:pt>
                <c:pt idx="636">
                  <c:v>594.25</c:v>
                </c:pt>
                <c:pt idx="637">
                  <c:v>617.12</c:v>
                </c:pt>
                <c:pt idx="638">
                  <c:v>611.29999999999995</c:v>
                </c:pt>
                <c:pt idx="639">
                  <c:v>612.77</c:v>
                </c:pt>
                <c:pt idx="640">
                  <c:v>612.77</c:v>
                </c:pt>
                <c:pt idx="641">
                  <c:v>612.77</c:v>
                </c:pt>
                <c:pt idx="642">
                  <c:v>612.77</c:v>
                </c:pt>
                <c:pt idx="643">
                  <c:v>616.46</c:v>
                </c:pt>
                <c:pt idx="644">
                  <c:v>623.5</c:v>
                </c:pt>
                <c:pt idx="645">
                  <c:v>636.45000000000005</c:v>
                </c:pt>
                <c:pt idx="646">
                  <c:v>647.49</c:v>
                </c:pt>
                <c:pt idx="647">
                  <c:v>647.49</c:v>
                </c:pt>
                <c:pt idx="648">
                  <c:v>647.49</c:v>
                </c:pt>
                <c:pt idx="649">
                  <c:v>659.88</c:v>
                </c:pt>
                <c:pt idx="650">
                  <c:v>674.33</c:v>
                </c:pt>
                <c:pt idx="651">
                  <c:v>676.49</c:v>
                </c:pt>
                <c:pt idx="652">
                  <c:v>687</c:v>
                </c:pt>
                <c:pt idx="653">
                  <c:v>689.18</c:v>
                </c:pt>
                <c:pt idx="654">
                  <c:v>689.18</c:v>
                </c:pt>
                <c:pt idx="655">
                  <c:v>689.18</c:v>
                </c:pt>
                <c:pt idx="656">
                  <c:v>697.46</c:v>
                </c:pt>
                <c:pt idx="657">
                  <c:v>704.19</c:v>
                </c:pt>
                <c:pt idx="658">
                  <c:v>704.87</c:v>
                </c:pt>
                <c:pt idx="659">
                  <c:v>711.99</c:v>
                </c:pt>
                <c:pt idx="660">
                  <c:v>714.52</c:v>
                </c:pt>
                <c:pt idx="661">
                  <c:v>714.52</c:v>
                </c:pt>
                <c:pt idx="662">
                  <c:v>714.52</c:v>
                </c:pt>
                <c:pt idx="663">
                  <c:v>717.4</c:v>
                </c:pt>
                <c:pt idx="664">
                  <c:v>719.8</c:v>
                </c:pt>
                <c:pt idx="665">
                  <c:v>725.38</c:v>
                </c:pt>
                <c:pt idx="666">
                  <c:v>728.56</c:v>
                </c:pt>
                <c:pt idx="667">
                  <c:v>736.67</c:v>
                </c:pt>
                <c:pt idx="668">
                  <c:v>736.67</c:v>
                </c:pt>
                <c:pt idx="669">
                  <c:v>736.67</c:v>
                </c:pt>
                <c:pt idx="670">
                  <c:v>736.67</c:v>
                </c:pt>
                <c:pt idx="671">
                  <c:v>716.37</c:v>
                </c:pt>
                <c:pt idx="672">
                  <c:v>703.77</c:v>
                </c:pt>
                <c:pt idx="673">
                  <c:v>694.84</c:v>
                </c:pt>
                <c:pt idx="674">
                  <c:v>683.55</c:v>
                </c:pt>
                <c:pt idx="675">
                  <c:v>683.55</c:v>
                </c:pt>
                <c:pt idx="676">
                  <c:v>683.55</c:v>
                </c:pt>
                <c:pt idx="677">
                  <c:v>668.13</c:v>
                </c:pt>
                <c:pt idx="678">
                  <c:v>657.5</c:v>
                </c:pt>
                <c:pt idx="679">
                  <c:v>673.7</c:v>
                </c:pt>
                <c:pt idx="680">
                  <c:v>658.24</c:v>
                </c:pt>
                <c:pt idx="681">
                  <c:v>668.2</c:v>
                </c:pt>
                <c:pt idx="682">
                  <c:v>668.2</c:v>
                </c:pt>
                <c:pt idx="683">
                  <c:v>668.2</c:v>
                </c:pt>
                <c:pt idx="684">
                  <c:v>655.04999999999995</c:v>
                </c:pt>
                <c:pt idx="685">
                  <c:v>640</c:v>
                </c:pt>
                <c:pt idx="686">
                  <c:v>656.47</c:v>
                </c:pt>
                <c:pt idx="687">
                  <c:v>627.92999999999995</c:v>
                </c:pt>
                <c:pt idx="688">
                  <c:v>625.66</c:v>
                </c:pt>
                <c:pt idx="689">
                  <c:v>625.66</c:v>
                </c:pt>
                <c:pt idx="690">
                  <c:v>625.66</c:v>
                </c:pt>
                <c:pt idx="691">
                  <c:v>597.99</c:v>
                </c:pt>
                <c:pt idx="692">
                  <c:v>605.71</c:v>
                </c:pt>
                <c:pt idx="693">
                  <c:v>619.55999999999995</c:v>
                </c:pt>
                <c:pt idx="694">
                  <c:v>590.64</c:v>
                </c:pt>
                <c:pt idx="695">
                  <c:v>607.6</c:v>
                </c:pt>
                <c:pt idx="696">
                  <c:v>607.6</c:v>
                </c:pt>
                <c:pt idx="697">
                  <c:v>607.6</c:v>
                </c:pt>
                <c:pt idx="698">
                  <c:v>604.9</c:v>
                </c:pt>
                <c:pt idx="699">
                  <c:v>582.36</c:v>
                </c:pt>
                <c:pt idx="700">
                  <c:v>584.05999999999995</c:v>
                </c:pt>
                <c:pt idx="701">
                  <c:v>586</c:v>
                </c:pt>
                <c:pt idx="702">
                  <c:v>596.25</c:v>
                </c:pt>
                <c:pt idx="703">
                  <c:v>596.25</c:v>
                </c:pt>
                <c:pt idx="704">
                  <c:v>596.25</c:v>
                </c:pt>
                <c:pt idx="705">
                  <c:v>618.85</c:v>
                </c:pt>
                <c:pt idx="706">
                  <c:v>626.30999999999995</c:v>
                </c:pt>
                <c:pt idx="707">
                  <c:v>610.98</c:v>
                </c:pt>
                <c:pt idx="708">
                  <c:v>602.58000000000004</c:v>
                </c:pt>
                <c:pt idx="709">
                  <c:v>576.74</c:v>
                </c:pt>
                <c:pt idx="710">
                  <c:v>576.74</c:v>
                </c:pt>
                <c:pt idx="711">
                  <c:v>576.74</c:v>
                </c:pt>
                <c:pt idx="712">
                  <c:v>576.36</c:v>
                </c:pt>
                <c:pt idx="713">
                  <c:v>586</c:v>
                </c:pt>
                <c:pt idx="714">
                  <c:v>583.92999999999995</c:v>
                </c:pt>
                <c:pt idx="715">
                  <c:v>531.62</c:v>
                </c:pt>
                <c:pt idx="716">
                  <c:v>504.73</c:v>
                </c:pt>
                <c:pt idx="717">
                  <c:v>504.73</c:v>
                </c:pt>
                <c:pt idx="718">
                  <c:v>504.73</c:v>
                </c:pt>
                <c:pt idx="719">
                  <c:v>516.25</c:v>
                </c:pt>
                <c:pt idx="720">
                  <c:v>510.45</c:v>
                </c:pt>
                <c:pt idx="721">
                  <c:v>585.77</c:v>
                </c:pt>
                <c:pt idx="722">
                  <c:v>546.29</c:v>
                </c:pt>
                <c:pt idx="723">
                  <c:v>543.57000000000005</c:v>
                </c:pt>
                <c:pt idx="724">
                  <c:v>543.57000000000005</c:v>
                </c:pt>
                <c:pt idx="725">
                  <c:v>543.57000000000005</c:v>
                </c:pt>
                <c:pt idx="726">
                  <c:v>531.48</c:v>
                </c:pt>
                <c:pt idx="727">
                  <c:v>521.52</c:v>
                </c:pt>
                <c:pt idx="728">
                  <c:v>502.31</c:v>
                </c:pt>
                <c:pt idx="729">
                  <c:v>501.48</c:v>
                </c:pt>
                <c:pt idx="730">
                  <c:v>501.48</c:v>
                </c:pt>
                <c:pt idx="731">
                  <c:v>501.48</c:v>
                </c:pt>
                <c:pt idx="732">
                  <c:v>501.48</c:v>
                </c:pt>
                <c:pt idx="733">
                  <c:v>484.66</c:v>
                </c:pt>
                <c:pt idx="734">
                  <c:v>500.28</c:v>
                </c:pt>
                <c:pt idx="735">
                  <c:v>520.27</c:v>
                </c:pt>
                <c:pt idx="736">
                  <c:v>533.15</c:v>
                </c:pt>
                <c:pt idx="737">
                  <c:v>547.27</c:v>
                </c:pt>
                <c:pt idx="738">
                  <c:v>547.27</c:v>
                </c:pt>
                <c:pt idx="739">
                  <c:v>547.27</c:v>
                </c:pt>
                <c:pt idx="740">
                  <c:v>549.74</c:v>
                </c:pt>
                <c:pt idx="741">
                  <c:v>554.44000000000005</c:v>
                </c:pt>
                <c:pt idx="742">
                  <c:v>549</c:v>
                </c:pt>
                <c:pt idx="743">
                  <c:v>572.21</c:v>
                </c:pt>
                <c:pt idx="744">
                  <c:v>597.02</c:v>
                </c:pt>
                <c:pt idx="745">
                  <c:v>597.02</c:v>
                </c:pt>
                <c:pt idx="746">
                  <c:v>597.02</c:v>
                </c:pt>
                <c:pt idx="747">
                  <c:v>599.27</c:v>
                </c:pt>
                <c:pt idx="748">
                  <c:v>587.30999999999995</c:v>
                </c:pt>
                <c:pt idx="749">
                  <c:v>596.80999999999995</c:v>
                </c:pt>
                <c:pt idx="750">
                  <c:v>598.01</c:v>
                </c:pt>
                <c:pt idx="751">
                  <c:v>592.49</c:v>
                </c:pt>
                <c:pt idx="752">
                  <c:v>592.49</c:v>
                </c:pt>
                <c:pt idx="753">
                  <c:v>592.49</c:v>
                </c:pt>
                <c:pt idx="754">
                  <c:v>639.42999999999995</c:v>
                </c:pt>
                <c:pt idx="755">
                  <c:v>656.03</c:v>
                </c:pt>
                <c:pt idx="756">
                  <c:v>659.36</c:v>
                </c:pt>
                <c:pt idx="757">
                  <c:v>643.88</c:v>
                </c:pt>
                <c:pt idx="758">
                  <c:v>640.34</c:v>
                </c:pt>
                <c:pt idx="759">
                  <c:v>640.34</c:v>
                </c:pt>
                <c:pt idx="760">
                  <c:v>640.34</c:v>
                </c:pt>
                <c:pt idx="761">
                  <c:v>640.42999999999995</c:v>
                </c:pt>
                <c:pt idx="762">
                  <c:v>637.1</c:v>
                </c:pt>
                <c:pt idx="763">
                  <c:v>635.5</c:v>
                </c:pt>
                <c:pt idx="764">
                  <c:v>636.57000000000005</c:v>
                </c:pt>
                <c:pt idx="765">
                  <c:v>627.05999999999995</c:v>
                </c:pt>
                <c:pt idx="766">
                  <c:v>627.05999999999995</c:v>
                </c:pt>
                <c:pt idx="767">
                  <c:v>627.05999999999995</c:v>
                </c:pt>
                <c:pt idx="768">
                  <c:v>627.05999999999995</c:v>
                </c:pt>
                <c:pt idx="769">
                  <c:v>642.32000000000005</c:v>
                </c:pt>
                <c:pt idx="770">
                  <c:v>643.58000000000004</c:v>
                </c:pt>
                <c:pt idx="771">
                  <c:v>645.04999999999995</c:v>
                </c:pt>
                <c:pt idx="772">
                  <c:v>647.49</c:v>
                </c:pt>
                <c:pt idx="773">
                  <c:v>647.49</c:v>
                </c:pt>
                <c:pt idx="774">
                  <c:v>647.49</c:v>
                </c:pt>
                <c:pt idx="775">
                  <c:v>670.9</c:v>
                </c:pt>
                <c:pt idx="776">
                  <c:v>666.85</c:v>
                </c:pt>
                <c:pt idx="777">
                  <c:v>687.95</c:v>
                </c:pt>
                <c:pt idx="778">
                  <c:v>684.62</c:v>
                </c:pt>
                <c:pt idx="779">
                  <c:v>697.71</c:v>
                </c:pt>
                <c:pt idx="780">
                  <c:v>697.71</c:v>
                </c:pt>
                <c:pt idx="781">
                  <c:v>697.71</c:v>
                </c:pt>
                <c:pt idx="782">
                  <c:v>694.06</c:v>
                </c:pt>
                <c:pt idx="783">
                  <c:v>702.4</c:v>
                </c:pt>
                <c:pt idx="784">
                  <c:v>694.14</c:v>
                </c:pt>
                <c:pt idx="785">
                  <c:v>693.36</c:v>
                </c:pt>
                <c:pt idx="786">
                  <c:v>682.87</c:v>
                </c:pt>
                <c:pt idx="787">
                  <c:v>682.87</c:v>
                </c:pt>
                <c:pt idx="788">
                  <c:v>682.87</c:v>
                </c:pt>
                <c:pt idx="789">
                  <c:v>702.12</c:v>
                </c:pt>
                <c:pt idx="790">
                  <c:v>697.23</c:v>
                </c:pt>
                <c:pt idx="791">
                  <c:v>695.77</c:v>
                </c:pt>
                <c:pt idx="792">
                  <c:v>695.77</c:v>
                </c:pt>
                <c:pt idx="793">
                  <c:v>682.35</c:v>
                </c:pt>
                <c:pt idx="794">
                  <c:v>682.35</c:v>
                </c:pt>
                <c:pt idx="795">
                  <c:v>682.35</c:v>
                </c:pt>
                <c:pt idx="796">
                  <c:v>698.53</c:v>
                </c:pt>
                <c:pt idx="797">
                  <c:v>712.2</c:v>
                </c:pt>
                <c:pt idx="798">
                  <c:v>708.68</c:v>
                </c:pt>
                <c:pt idx="799">
                  <c:v>726.09</c:v>
                </c:pt>
                <c:pt idx="800">
                  <c:v>733.63</c:v>
                </c:pt>
                <c:pt idx="801">
                  <c:v>733.63</c:v>
                </c:pt>
                <c:pt idx="802">
                  <c:v>733.63</c:v>
                </c:pt>
                <c:pt idx="803">
                  <c:v>738.09</c:v>
                </c:pt>
                <c:pt idx="804">
                  <c:v>719.22</c:v>
                </c:pt>
                <c:pt idx="805">
                  <c:v>713.57</c:v>
                </c:pt>
                <c:pt idx="806">
                  <c:v>719.01</c:v>
                </c:pt>
                <c:pt idx="807">
                  <c:v>719.01</c:v>
                </c:pt>
                <c:pt idx="808">
                  <c:v>719.01</c:v>
                </c:pt>
                <c:pt idx="809">
                  <c:v>719.01</c:v>
                </c:pt>
                <c:pt idx="810">
                  <c:v>718.35</c:v>
                </c:pt>
                <c:pt idx="811">
                  <c:v>720.67</c:v>
                </c:pt>
                <c:pt idx="812">
                  <c:v>732.78</c:v>
                </c:pt>
                <c:pt idx="813">
                  <c:v>727.24</c:v>
                </c:pt>
                <c:pt idx="814">
                  <c:v>717.51</c:v>
                </c:pt>
                <c:pt idx="815">
                  <c:v>717.51</c:v>
                </c:pt>
                <c:pt idx="816">
                  <c:v>717.51</c:v>
                </c:pt>
                <c:pt idx="817">
                  <c:v>720.92</c:v>
                </c:pt>
                <c:pt idx="818">
                  <c:v>710.39</c:v>
                </c:pt>
                <c:pt idx="819">
                  <c:v>702.91</c:v>
                </c:pt>
                <c:pt idx="820">
                  <c:v>701.41</c:v>
                </c:pt>
                <c:pt idx="821">
                  <c:v>704.28</c:v>
                </c:pt>
                <c:pt idx="822">
                  <c:v>704.28</c:v>
                </c:pt>
                <c:pt idx="823">
                  <c:v>704.28</c:v>
                </c:pt>
                <c:pt idx="824">
                  <c:v>712.96500000000003</c:v>
                </c:pt>
                <c:pt idx="825">
                  <c:v>704.81</c:v>
                </c:pt>
                <c:pt idx="826">
                  <c:v>713.58</c:v>
                </c:pt>
                <c:pt idx="827">
                  <c:v>714.8</c:v>
                </c:pt>
                <c:pt idx="828">
                  <c:v>712.68</c:v>
                </c:pt>
                <c:pt idx="829">
                  <c:v>712.68</c:v>
                </c:pt>
                <c:pt idx="830">
                  <c:v>712.68</c:v>
                </c:pt>
                <c:pt idx="831">
                  <c:v>717.63</c:v>
                </c:pt>
                <c:pt idx="832">
                  <c:v>700</c:v>
                </c:pt>
                <c:pt idx="833">
                  <c:v>695.21</c:v>
                </c:pt>
                <c:pt idx="834">
                  <c:v>773.44</c:v>
                </c:pt>
                <c:pt idx="835">
                  <c:v>750.01</c:v>
                </c:pt>
                <c:pt idx="836">
                  <c:v>750.01</c:v>
                </c:pt>
                <c:pt idx="837">
                  <c:v>750.01</c:v>
                </c:pt>
                <c:pt idx="838">
                  <c:v>776.37</c:v>
                </c:pt>
                <c:pt idx="839">
                  <c:v>763.46</c:v>
                </c:pt>
                <c:pt idx="840">
                  <c:v>771.99</c:v>
                </c:pt>
                <c:pt idx="841">
                  <c:v>761.83</c:v>
                </c:pt>
                <c:pt idx="842">
                  <c:v>769.3</c:v>
                </c:pt>
                <c:pt idx="843">
                  <c:v>769.3</c:v>
                </c:pt>
                <c:pt idx="844">
                  <c:v>769.3</c:v>
                </c:pt>
                <c:pt idx="845">
                  <c:v>765.87</c:v>
                </c:pt>
                <c:pt idx="846">
                  <c:v>790</c:v>
                </c:pt>
                <c:pt idx="847">
                  <c:v>780.08</c:v>
                </c:pt>
                <c:pt idx="848">
                  <c:v>782.13</c:v>
                </c:pt>
                <c:pt idx="849">
                  <c:v>785.23</c:v>
                </c:pt>
                <c:pt idx="850">
                  <c:v>785.23</c:v>
                </c:pt>
                <c:pt idx="851">
                  <c:v>785.23</c:v>
                </c:pt>
                <c:pt idx="852">
                  <c:v>767.37</c:v>
                </c:pt>
                <c:pt idx="853">
                  <c:v>751.48</c:v>
                </c:pt>
                <c:pt idx="854">
                  <c:v>747.72</c:v>
                </c:pt>
                <c:pt idx="855">
                  <c:v>739.1</c:v>
                </c:pt>
                <c:pt idx="856">
                  <c:v>754.79</c:v>
                </c:pt>
                <c:pt idx="857">
                  <c:v>754.79</c:v>
                </c:pt>
                <c:pt idx="858">
                  <c:v>754.79</c:v>
                </c:pt>
                <c:pt idx="859">
                  <c:v>753.3</c:v>
                </c:pt>
                <c:pt idx="860">
                  <c:v>754.1</c:v>
                </c:pt>
                <c:pt idx="861">
                  <c:v>747.38</c:v>
                </c:pt>
                <c:pt idx="862">
                  <c:v>751.11</c:v>
                </c:pt>
                <c:pt idx="863">
                  <c:v>738.7</c:v>
                </c:pt>
                <c:pt idx="864">
                  <c:v>738.7</c:v>
                </c:pt>
                <c:pt idx="865">
                  <c:v>738.7</c:v>
                </c:pt>
                <c:pt idx="866">
                  <c:v>738.7</c:v>
                </c:pt>
                <c:pt idx="867">
                  <c:v>735.11</c:v>
                </c:pt>
                <c:pt idx="868">
                  <c:v>737.05</c:v>
                </c:pt>
                <c:pt idx="869">
                  <c:v>748.65</c:v>
                </c:pt>
                <c:pt idx="870">
                  <c:v>752.45</c:v>
                </c:pt>
                <c:pt idx="871">
                  <c:v>752.45</c:v>
                </c:pt>
                <c:pt idx="872">
                  <c:v>752.45</c:v>
                </c:pt>
                <c:pt idx="873">
                  <c:v>752.3</c:v>
                </c:pt>
                <c:pt idx="874">
                  <c:v>765.7</c:v>
                </c:pt>
                <c:pt idx="875">
                  <c:v>751.98</c:v>
                </c:pt>
                <c:pt idx="876">
                  <c:v>750.9</c:v>
                </c:pt>
                <c:pt idx="877">
                  <c:v>755.59</c:v>
                </c:pt>
                <c:pt idx="878">
                  <c:v>755.59</c:v>
                </c:pt>
                <c:pt idx="879">
                  <c:v>755.59</c:v>
                </c:pt>
                <c:pt idx="880">
                  <c:v>764.7</c:v>
                </c:pt>
                <c:pt idx="881">
                  <c:v>779</c:v>
                </c:pt>
                <c:pt idx="882">
                  <c:v>775.71500000000003</c:v>
                </c:pt>
                <c:pt idx="883">
                  <c:v>780.25</c:v>
                </c:pt>
                <c:pt idx="884">
                  <c:v>778.38</c:v>
                </c:pt>
                <c:pt idx="885">
                  <c:v>778.38</c:v>
                </c:pt>
                <c:pt idx="886">
                  <c:v>778.38</c:v>
                </c:pt>
                <c:pt idx="887">
                  <c:v>765.16</c:v>
                </c:pt>
                <c:pt idx="888">
                  <c:v>755.4</c:v>
                </c:pt>
                <c:pt idx="889">
                  <c:v>760.66</c:v>
                </c:pt>
                <c:pt idx="890">
                  <c:v>748.91</c:v>
                </c:pt>
                <c:pt idx="891">
                  <c:v>743.75</c:v>
                </c:pt>
                <c:pt idx="892">
                  <c:v>743.75</c:v>
                </c:pt>
                <c:pt idx="893">
                  <c:v>743.75</c:v>
                </c:pt>
                <c:pt idx="894">
                  <c:v>743.4</c:v>
                </c:pt>
                <c:pt idx="895">
                  <c:v>734.38</c:v>
                </c:pt>
                <c:pt idx="896">
                  <c:v>717.34</c:v>
                </c:pt>
                <c:pt idx="897">
                  <c:v>727.05</c:v>
                </c:pt>
                <c:pt idx="898">
                  <c:v>710.56</c:v>
                </c:pt>
                <c:pt idx="899">
                  <c:v>710.56</c:v>
                </c:pt>
                <c:pt idx="900">
                  <c:v>710.56</c:v>
                </c:pt>
                <c:pt idx="901">
                  <c:v>715.66</c:v>
                </c:pt>
                <c:pt idx="902">
                  <c:v>713.08</c:v>
                </c:pt>
                <c:pt idx="903">
                  <c:v>717.84</c:v>
                </c:pt>
                <c:pt idx="904">
                  <c:v>733.51</c:v>
                </c:pt>
                <c:pt idx="905">
                  <c:v>705.3</c:v>
                </c:pt>
                <c:pt idx="906">
                  <c:v>705.3</c:v>
                </c:pt>
                <c:pt idx="907">
                  <c:v>705.3</c:v>
                </c:pt>
                <c:pt idx="908">
                  <c:v>715.7</c:v>
                </c:pt>
                <c:pt idx="909">
                  <c:v>708.65</c:v>
                </c:pt>
                <c:pt idx="910">
                  <c:v>717.55</c:v>
                </c:pt>
                <c:pt idx="911">
                  <c:v>712.07</c:v>
                </c:pt>
                <c:pt idx="912">
                  <c:v>716.91499999999996</c:v>
                </c:pt>
                <c:pt idx="913">
                  <c:v>716.91499999999996</c:v>
                </c:pt>
                <c:pt idx="914">
                  <c:v>716.91499999999996</c:v>
                </c:pt>
                <c:pt idx="915">
                  <c:v>732.17</c:v>
                </c:pt>
                <c:pt idx="916">
                  <c:v>733.27</c:v>
                </c:pt>
                <c:pt idx="917">
                  <c:v>733.41</c:v>
                </c:pt>
                <c:pt idx="918">
                  <c:v>734</c:v>
                </c:pt>
                <c:pt idx="919">
                  <c:v>738.36</c:v>
                </c:pt>
                <c:pt idx="920">
                  <c:v>738.36</c:v>
                </c:pt>
                <c:pt idx="921">
                  <c:v>738.36</c:v>
                </c:pt>
                <c:pt idx="922">
                  <c:v>750.82</c:v>
                </c:pt>
                <c:pt idx="923">
                  <c:v>751.44</c:v>
                </c:pt>
                <c:pt idx="924">
                  <c:v>751.67</c:v>
                </c:pt>
                <c:pt idx="925">
                  <c:v>666.47</c:v>
                </c:pt>
                <c:pt idx="926">
                  <c:v>648.35</c:v>
                </c:pt>
                <c:pt idx="927">
                  <c:v>648.35</c:v>
                </c:pt>
                <c:pt idx="928">
                  <c:v>648.35</c:v>
                </c:pt>
                <c:pt idx="929">
                  <c:v>637.71</c:v>
                </c:pt>
                <c:pt idx="930">
                  <c:v>627.32000000000005</c:v>
                </c:pt>
                <c:pt idx="931">
                  <c:v>635.95000000000005</c:v>
                </c:pt>
                <c:pt idx="932">
                  <c:v>618.94000000000005</c:v>
                </c:pt>
                <c:pt idx="933">
                  <c:v>621.71</c:v>
                </c:pt>
                <c:pt idx="934">
                  <c:v>621.71</c:v>
                </c:pt>
                <c:pt idx="935">
                  <c:v>621.71</c:v>
                </c:pt>
                <c:pt idx="936">
                  <c:v>631.76</c:v>
                </c:pt>
                <c:pt idx="937">
                  <c:v>627.08000000000004</c:v>
                </c:pt>
                <c:pt idx="938">
                  <c:v>609.01</c:v>
                </c:pt>
                <c:pt idx="939">
                  <c:v>609.89</c:v>
                </c:pt>
                <c:pt idx="940">
                  <c:v>609.46</c:v>
                </c:pt>
                <c:pt idx="941">
                  <c:v>609.46</c:v>
                </c:pt>
                <c:pt idx="942">
                  <c:v>609.46</c:v>
                </c:pt>
                <c:pt idx="943">
                  <c:v>602.01</c:v>
                </c:pt>
                <c:pt idx="944">
                  <c:v>597.69000000000005</c:v>
                </c:pt>
                <c:pt idx="945">
                  <c:v>590.32000000000005</c:v>
                </c:pt>
                <c:pt idx="946">
                  <c:v>589.15</c:v>
                </c:pt>
                <c:pt idx="947">
                  <c:v>594.25</c:v>
                </c:pt>
                <c:pt idx="948">
                  <c:v>594.25</c:v>
                </c:pt>
                <c:pt idx="949">
                  <c:v>594.25</c:v>
                </c:pt>
                <c:pt idx="950">
                  <c:v>613.04999999999995</c:v>
                </c:pt>
                <c:pt idx="951">
                  <c:v>636.22</c:v>
                </c:pt>
                <c:pt idx="952">
                  <c:v>633.61</c:v>
                </c:pt>
                <c:pt idx="953">
                  <c:v>633.61</c:v>
                </c:pt>
                <c:pt idx="954">
                  <c:v>647.95000000000005</c:v>
                </c:pt>
                <c:pt idx="955">
                  <c:v>647.95000000000005</c:v>
                </c:pt>
                <c:pt idx="956">
                  <c:v>647.95000000000005</c:v>
                </c:pt>
                <c:pt idx="957">
                  <c:v>640.87</c:v>
                </c:pt>
                <c:pt idx="958">
                  <c:v>647.1</c:v>
                </c:pt>
                <c:pt idx="959">
                  <c:v>639.6</c:v>
                </c:pt>
                <c:pt idx="960">
                  <c:v>661.53</c:v>
                </c:pt>
                <c:pt idx="961">
                  <c:v>673.42</c:v>
                </c:pt>
                <c:pt idx="962">
                  <c:v>673.42</c:v>
                </c:pt>
                <c:pt idx="963">
                  <c:v>673.42</c:v>
                </c:pt>
                <c:pt idx="964">
                  <c:v>666.8</c:v>
                </c:pt>
                <c:pt idx="965">
                  <c:v>656.96</c:v>
                </c:pt>
                <c:pt idx="966">
                  <c:v>650.13</c:v>
                </c:pt>
                <c:pt idx="967">
                  <c:v>652.71</c:v>
                </c:pt>
                <c:pt idx="968">
                  <c:v>644.23</c:v>
                </c:pt>
                <c:pt idx="969">
                  <c:v>644.23</c:v>
                </c:pt>
                <c:pt idx="970">
                  <c:v>644.23</c:v>
                </c:pt>
                <c:pt idx="971">
                  <c:v>647.51</c:v>
                </c:pt>
                <c:pt idx="972">
                  <c:v>657.15</c:v>
                </c:pt>
                <c:pt idx="973">
                  <c:v>649.5</c:v>
                </c:pt>
                <c:pt idx="974">
                  <c:v>664.45</c:v>
                </c:pt>
                <c:pt idx="975">
                  <c:v>658.77</c:v>
                </c:pt>
                <c:pt idx="976">
                  <c:v>658.77</c:v>
                </c:pt>
                <c:pt idx="977">
                  <c:v>658.77</c:v>
                </c:pt>
                <c:pt idx="978">
                  <c:v>661.5</c:v>
                </c:pt>
                <c:pt idx="979">
                  <c:v>664.94</c:v>
                </c:pt>
                <c:pt idx="980">
                  <c:v>667.55</c:v>
                </c:pt>
                <c:pt idx="981">
                  <c:v>667.55</c:v>
                </c:pt>
                <c:pt idx="982">
                  <c:v>663.29</c:v>
                </c:pt>
                <c:pt idx="983">
                  <c:v>663.29</c:v>
                </c:pt>
                <c:pt idx="984">
                  <c:v>663.29</c:v>
                </c:pt>
                <c:pt idx="985">
                  <c:v>658.69</c:v>
                </c:pt>
                <c:pt idx="986">
                  <c:v>665.95</c:v>
                </c:pt>
                <c:pt idx="987">
                  <c:v>660.09</c:v>
                </c:pt>
                <c:pt idx="988">
                  <c:v>660.09</c:v>
                </c:pt>
                <c:pt idx="989">
                  <c:v>650.41</c:v>
                </c:pt>
                <c:pt idx="990">
                  <c:v>650.41</c:v>
                </c:pt>
                <c:pt idx="991">
                  <c:v>650.41</c:v>
                </c:pt>
                <c:pt idx="992">
                  <c:v>658.79</c:v>
                </c:pt>
                <c:pt idx="993">
                  <c:v>660.62</c:v>
                </c:pt>
                <c:pt idx="994">
                  <c:v>648.69000000000005</c:v>
                </c:pt>
                <c:pt idx="995">
                  <c:v>646.05999999999995</c:v>
                </c:pt>
                <c:pt idx="996">
                  <c:v>653.05999999999995</c:v>
                </c:pt>
                <c:pt idx="997">
                  <c:v>653.05999999999995</c:v>
                </c:pt>
                <c:pt idx="998">
                  <c:v>653.05999999999995</c:v>
                </c:pt>
                <c:pt idx="999">
                  <c:v>641.97</c:v>
                </c:pt>
                <c:pt idx="1000">
                  <c:v>631.09</c:v>
                </c:pt>
                <c:pt idx="1001">
                  <c:v>615.52</c:v>
                </c:pt>
                <c:pt idx="1002">
                  <c:v>620.79999999999995</c:v>
                </c:pt>
                <c:pt idx="1003">
                  <c:v>620.25</c:v>
                </c:pt>
                <c:pt idx="1004">
                  <c:v>620.25</c:v>
                </c:pt>
                <c:pt idx="1005">
                  <c:v>620.25</c:v>
                </c:pt>
                <c:pt idx="1006">
                  <c:v>620.25</c:v>
                </c:pt>
                <c:pt idx="1007">
                  <c:v>604.12</c:v>
                </c:pt>
                <c:pt idx="1008">
                  <c:v>612.96</c:v>
                </c:pt>
                <c:pt idx="1009">
                  <c:v>647.63</c:v>
                </c:pt>
                <c:pt idx="1010">
                  <c:v>658.76</c:v>
                </c:pt>
                <c:pt idx="1011">
                  <c:v>658.76</c:v>
                </c:pt>
                <c:pt idx="1012">
                  <c:v>658.76</c:v>
                </c:pt>
                <c:pt idx="1013">
                  <c:v>672.36</c:v>
                </c:pt>
                <c:pt idx="1014">
                  <c:v>672.97</c:v>
                </c:pt>
                <c:pt idx="1015">
                  <c:v>668.73</c:v>
                </c:pt>
                <c:pt idx="1016">
                  <c:v>738.31</c:v>
                </c:pt>
                <c:pt idx="1017">
                  <c:v>716.5</c:v>
                </c:pt>
                <c:pt idx="1018">
                  <c:v>716.5</c:v>
                </c:pt>
                <c:pt idx="1019">
                  <c:v>716.5</c:v>
                </c:pt>
                <c:pt idx="1020">
                  <c:v>706.41</c:v>
                </c:pt>
                <c:pt idx="1021">
                  <c:v>691.7</c:v>
                </c:pt>
                <c:pt idx="1022">
                  <c:v>668.99</c:v>
                </c:pt>
                <c:pt idx="1023">
                  <c:v>670.21</c:v>
                </c:pt>
                <c:pt idx="1024">
                  <c:v>661.46</c:v>
                </c:pt>
                <c:pt idx="1025">
                  <c:v>661.46</c:v>
                </c:pt>
                <c:pt idx="1026">
                  <c:v>661.46</c:v>
                </c:pt>
                <c:pt idx="1027">
                  <c:v>677.22</c:v>
                </c:pt>
                <c:pt idx="1028">
                  <c:v>670.72</c:v>
                </c:pt>
                <c:pt idx="1029">
                  <c:v>668.69</c:v>
                </c:pt>
                <c:pt idx="1030">
                  <c:v>649.80999999999995</c:v>
                </c:pt>
                <c:pt idx="1031">
                  <c:v>639.77</c:v>
                </c:pt>
                <c:pt idx="1032">
                  <c:v>639.77</c:v>
                </c:pt>
                <c:pt idx="1033">
                  <c:v>639.77</c:v>
                </c:pt>
                <c:pt idx="1034">
                  <c:v>639.77</c:v>
                </c:pt>
                <c:pt idx="1035">
                  <c:v>639.29</c:v>
                </c:pt>
                <c:pt idx="1036">
                  <c:v>643.22</c:v>
                </c:pt>
                <c:pt idx="1037">
                  <c:v>644.78</c:v>
                </c:pt>
                <c:pt idx="1038">
                  <c:v>655.66</c:v>
                </c:pt>
                <c:pt idx="1039">
                  <c:v>655.66</c:v>
                </c:pt>
                <c:pt idx="1040">
                  <c:v>655.66</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644.86</c:v>
                </c:pt>
                <c:pt idx="1054">
                  <c:v>644.86</c:v>
                </c:pt>
                <c:pt idx="1055">
                  <c:v>647.39</c:v>
                </c:pt>
                <c:pt idx="1056">
                  <c:v>654.07000000000005</c:v>
                </c:pt>
                <c:pt idx="1057">
                  <c:v>654.86</c:v>
                </c:pt>
                <c:pt idx="1058">
                  <c:v>638.17999999999995</c:v>
                </c:pt>
                <c:pt idx="1059">
                  <c:v>613.71</c:v>
                </c:pt>
                <c:pt idx="1060">
                  <c:v>613.71</c:v>
                </c:pt>
                <c:pt idx="1061">
                  <c:v>613.71</c:v>
                </c:pt>
                <c:pt idx="1062">
                  <c:v>627.45000000000005</c:v>
                </c:pt>
                <c:pt idx="1063">
                  <c:v>622.66</c:v>
                </c:pt>
                <c:pt idx="1064">
                  <c:v>615.67999999999995</c:v>
                </c:pt>
                <c:pt idx="1065">
                  <c:v>606.70000000000005</c:v>
                </c:pt>
                <c:pt idx="1066">
                  <c:v>593.66</c:v>
                </c:pt>
                <c:pt idx="1067">
                  <c:v>593.66</c:v>
                </c:pt>
                <c:pt idx="1068">
                  <c:v>593.66</c:v>
                </c:pt>
                <c:pt idx="1069">
                  <c:v>604.05999999999995</c:v>
                </c:pt>
                <c:pt idx="1070">
                  <c:v>592.91999999999996</c:v>
                </c:pt>
                <c:pt idx="1071">
                  <c:v>594.89</c:v>
                </c:pt>
                <c:pt idx="1072">
                  <c:v>547.54</c:v>
                </c:pt>
                <c:pt idx="1073">
                  <c:v>525.72</c:v>
                </c:pt>
                <c:pt idx="1074">
                  <c:v>525.72</c:v>
                </c:pt>
                <c:pt idx="1075">
                  <c:v>525.72</c:v>
                </c:pt>
                <c:pt idx="1076">
                  <c:v>536.38</c:v>
                </c:pt>
                <c:pt idx="1077">
                  <c:v>572.13</c:v>
                </c:pt>
                <c:pt idx="1078">
                  <c:v>579.23</c:v>
                </c:pt>
                <c:pt idx="1079">
                  <c:v>574.46</c:v>
                </c:pt>
                <c:pt idx="1080">
                  <c:v>574.46</c:v>
                </c:pt>
                <c:pt idx="1081">
                  <c:v>574.46</c:v>
                </c:pt>
                <c:pt idx="1082">
                  <c:v>574.46</c:v>
                </c:pt>
                <c:pt idx="1083">
                  <c:v>573.02</c:v>
                </c:pt>
                <c:pt idx="1084">
                  <c:v>575.04999999999995</c:v>
                </c:pt>
                <c:pt idx="1085">
                  <c:v>612.41999999999996</c:v>
                </c:pt>
                <c:pt idx="1086">
                  <c:v>628.39</c:v>
                </c:pt>
                <c:pt idx="1087">
                  <c:v>629.86</c:v>
                </c:pt>
                <c:pt idx="1088">
                  <c:v>629.86</c:v>
                </c:pt>
                <c:pt idx="1089">
                  <c:v>629.86</c:v>
                </c:pt>
                <c:pt idx="1090">
                  <c:v>634.53</c:v>
                </c:pt>
                <c:pt idx="1091">
                  <c:v>662.49</c:v>
                </c:pt>
                <c:pt idx="1092">
                  <c:v>671.58</c:v>
                </c:pt>
                <c:pt idx="1093">
                  <c:v>676.87</c:v>
                </c:pt>
                <c:pt idx="1094">
                  <c:v>676.87</c:v>
                </c:pt>
              </c:numCache>
            </c:numRef>
          </c:val>
          <c:smooth val="0"/>
          <c:extLst>
            <c:ext xmlns:c16="http://schemas.microsoft.com/office/drawing/2014/chart" uri="{C3380CC4-5D6E-409C-BE32-E72D297353CC}">
              <c16:uniqueId val="{00000000-C6BC-4F92-9E02-9776B503C40E}"/>
            </c:ext>
          </c:extLst>
        </c:ser>
        <c:dLbls>
          <c:showLegendKey val="0"/>
          <c:showVal val="0"/>
          <c:showCatName val="0"/>
          <c:showSerName val="0"/>
          <c:showPercent val="0"/>
          <c:showBubbleSize val="0"/>
        </c:dLbls>
        <c:marker val="1"/>
        <c:smooth val="0"/>
        <c:axId val="2085423231"/>
        <c:axId val="2071215679"/>
      </c:lineChart>
      <c:lineChart>
        <c:grouping val="standard"/>
        <c:varyColors val="0"/>
        <c:ser>
          <c:idx val="1"/>
          <c:order val="1"/>
          <c:tx>
            <c:v>S&amp;P 500</c:v>
          </c:tx>
          <c:spPr>
            <a:ln w="12700" cap="rnd">
              <a:solidFill>
                <a:schemeClr val="bg1">
                  <a:lumMod val="50000"/>
                </a:schemeClr>
              </a:solidFill>
              <a:round/>
            </a:ln>
            <a:effectLst/>
          </c:spPr>
          <c:marker>
            <c:symbol val="none"/>
          </c:marker>
          <c:cat>
            <c:numRef>
              <c:f>'Report F6'!$AF$6:$AF$1100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F6'!$AL$6:$AL$1100</c:f>
              <c:numCache>
                <c:formatCode>#,##0</c:formatCode>
                <c:ptCount val="1095"/>
                <c:pt idx="0">
                  <c:v>4154.5189899999996</c:v>
                </c:pt>
                <c:pt idx="1">
                  <c:v>4129.7923700000001</c:v>
                </c:pt>
                <c:pt idx="2">
                  <c:v>4133.5213199999998</c:v>
                </c:pt>
                <c:pt idx="3">
                  <c:v>4133.5213199999998</c:v>
                </c:pt>
                <c:pt idx="4">
                  <c:v>4133.5213199999998</c:v>
                </c:pt>
                <c:pt idx="5">
                  <c:v>4137.0445900000004</c:v>
                </c:pt>
                <c:pt idx="6">
                  <c:v>4071.6304300000002</c:v>
                </c:pt>
                <c:pt idx="7">
                  <c:v>4055.9877799999999</c:v>
                </c:pt>
                <c:pt idx="8">
                  <c:v>4135.3522300000004</c:v>
                </c:pt>
                <c:pt idx="9">
                  <c:v>4169.4813999999997</c:v>
                </c:pt>
                <c:pt idx="10">
                  <c:v>4169.4813999999997</c:v>
                </c:pt>
                <c:pt idx="11">
                  <c:v>4169.4813999999997</c:v>
                </c:pt>
                <c:pt idx="12">
                  <c:v>4167.8668900000002</c:v>
                </c:pt>
                <c:pt idx="13">
                  <c:v>4119.5804500000004</c:v>
                </c:pt>
                <c:pt idx="14">
                  <c:v>4090.7522199999999</c:v>
                </c:pt>
                <c:pt idx="15">
                  <c:v>4061.2168900000001</c:v>
                </c:pt>
                <c:pt idx="16">
                  <c:v>4136.25335</c:v>
                </c:pt>
                <c:pt idx="17">
                  <c:v>4136.25335</c:v>
                </c:pt>
                <c:pt idx="18">
                  <c:v>4136.25335</c:v>
                </c:pt>
                <c:pt idx="19">
                  <c:v>4138.1229800000001</c:v>
                </c:pt>
                <c:pt idx="20">
                  <c:v>4119.1733700000004</c:v>
                </c:pt>
                <c:pt idx="21">
                  <c:v>4137.6421899999996</c:v>
                </c:pt>
                <c:pt idx="22">
                  <c:v>4130.6212699999996</c:v>
                </c:pt>
                <c:pt idx="23">
                  <c:v>4124.0810199999996</c:v>
                </c:pt>
                <c:pt idx="24">
                  <c:v>4124.0810199999996</c:v>
                </c:pt>
                <c:pt idx="25">
                  <c:v>4124.0810199999996</c:v>
                </c:pt>
                <c:pt idx="26">
                  <c:v>4136.2842099999998</c:v>
                </c:pt>
                <c:pt idx="27">
                  <c:v>4109.8970099999997</c:v>
                </c:pt>
                <c:pt idx="28">
                  <c:v>4158.7707700000001</c:v>
                </c:pt>
                <c:pt idx="29">
                  <c:v>4198.0509499999998</c:v>
                </c:pt>
                <c:pt idx="30">
                  <c:v>4191.9797900000003</c:v>
                </c:pt>
                <c:pt idx="31">
                  <c:v>4191.9797900000003</c:v>
                </c:pt>
                <c:pt idx="32">
                  <c:v>4191.9797900000003</c:v>
                </c:pt>
                <c:pt idx="33">
                  <c:v>4192.6306999999997</c:v>
                </c:pt>
                <c:pt idx="34">
                  <c:v>4145.5751899999996</c:v>
                </c:pt>
                <c:pt idx="35">
                  <c:v>4115.2385700000004</c:v>
                </c:pt>
                <c:pt idx="36">
                  <c:v>4151.2798700000003</c:v>
                </c:pt>
                <c:pt idx="37">
                  <c:v>4205.4525299999996</c:v>
                </c:pt>
                <c:pt idx="38">
                  <c:v>4205.4525299999996</c:v>
                </c:pt>
                <c:pt idx="39">
                  <c:v>4205.4525299999996</c:v>
                </c:pt>
                <c:pt idx="40">
                  <c:v>4205.4525299999996</c:v>
                </c:pt>
                <c:pt idx="41">
                  <c:v>4205.5206900000003</c:v>
                </c:pt>
                <c:pt idx="42">
                  <c:v>4179.82546</c:v>
                </c:pt>
                <c:pt idx="43">
                  <c:v>4221.0202200000003</c:v>
                </c:pt>
                <c:pt idx="44">
                  <c:v>4282.3655699999999</c:v>
                </c:pt>
                <c:pt idx="45">
                  <c:v>4282.3655699999999</c:v>
                </c:pt>
                <c:pt idx="46">
                  <c:v>4282.3655699999999</c:v>
                </c:pt>
                <c:pt idx="47">
                  <c:v>4273.7941899999996</c:v>
                </c:pt>
                <c:pt idx="48">
                  <c:v>4283.8483900000001</c:v>
                </c:pt>
                <c:pt idx="49">
                  <c:v>4267.5184600000002</c:v>
                </c:pt>
                <c:pt idx="50">
                  <c:v>4293.9277700000002</c:v>
                </c:pt>
                <c:pt idx="51">
                  <c:v>4298.8573100000003</c:v>
                </c:pt>
                <c:pt idx="52">
                  <c:v>4298.8573100000003</c:v>
                </c:pt>
                <c:pt idx="53">
                  <c:v>4298.8573100000003</c:v>
                </c:pt>
                <c:pt idx="54">
                  <c:v>4338.93444</c:v>
                </c:pt>
                <c:pt idx="55">
                  <c:v>4369.0063899999996</c:v>
                </c:pt>
                <c:pt idx="56">
                  <c:v>4372.5894399999997</c:v>
                </c:pt>
                <c:pt idx="57">
                  <c:v>4425.8442599999998</c:v>
                </c:pt>
                <c:pt idx="58">
                  <c:v>4409.5943600000001</c:v>
                </c:pt>
                <c:pt idx="59">
                  <c:v>4409.5943600000001</c:v>
                </c:pt>
                <c:pt idx="60">
                  <c:v>4409.5943600000001</c:v>
                </c:pt>
                <c:pt idx="61">
                  <c:v>4409.5943600000001</c:v>
                </c:pt>
                <c:pt idx="62">
                  <c:v>4388.7097599999997</c:v>
                </c:pt>
                <c:pt idx="63">
                  <c:v>4365.6898300000003</c:v>
                </c:pt>
                <c:pt idx="64">
                  <c:v>4381.89048</c:v>
                </c:pt>
                <c:pt idx="65">
                  <c:v>4348.3306700000003</c:v>
                </c:pt>
                <c:pt idx="66">
                  <c:v>4348.3306700000003</c:v>
                </c:pt>
                <c:pt idx="67">
                  <c:v>4348.3306700000003</c:v>
                </c:pt>
                <c:pt idx="68">
                  <c:v>4328.82161</c:v>
                </c:pt>
                <c:pt idx="69">
                  <c:v>4378.4053199999998</c:v>
                </c:pt>
                <c:pt idx="70">
                  <c:v>4376.8637099999996</c:v>
                </c:pt>
                <c:pt idx="71">
                  <c:v>4396.4434199999996</c:v>
                </c:pt>
                <c:pt idx="72">
                  <c:v>4450.3813099999998</c:v>
                </c:pt>
                <c:pt idx="73">
                  <c:v>4450.3813099999998</c:v>
                </c:pt>
                <c:pt idx="74">
                  <c:v>4450.3813099999998</c:v>
                </c:pt>
                <c:pt idx="75">
                  <c:v>4455.5938800000004</c:v>
                </c:pt>
                <c:pt idx="76">
                  <c:v>4455.5938800000004</c:v>
                </c:pt>
                <c:pt idx="77">
                  <c:v>4446.8247700000002</c:v>
                </c:pt>
                <c:pt idx="78">
                  <c:v>4411.5907299999999</c:v>
                </c:pt>
                <c:pt idx="79">
                  <c:v>4398.9526599999999</c:v>
                </c:pt>
                <c:pt idx="80">
                  <c:v>4398.9526599999999</c:v>
                </c:pt>
                <c:pt idx="81">
                  <c:v>4398.9526599999999</c:v>
                </c:pt>
                <c:pt idx="82">
                  <c:v>4409.5258000000003</c:v>
                </c:pt>
                <c:pt idx="83">
                  <c:v>4439.2563300000002</c:v>
                </c:pt>
                <c:pt idx="84">
                  <c:v>4472.1603299999997</c:v>
                </c:pt>
                <c:pt idx="85">
                  <c:v>4510.0418</c:v>
                </c:pt>
                <c:pt idx="86">
                  <c:v>4505.4203399999997</c:v>
                </c:pt>
                <c:pt idx="87">
                  <c:v>4505.4203399999997</c:v>
                </c:pt>
                <c:pt idx="88">
                  <c:v>4505.4203399999997</c:v>
                </c:pt>
                <c:pt idx="89">
                  <c:v>4522.7930999999999</c:v>
                </c:pt>
                <c:pt idx="90">
                  <c:v>4554.9769500000002</c:v>
                </c:pt>
                <c:pt idx="91">
                  <c:v>4565.7167099999997</c:v>
                </c:pt>
                <c:pt idx="92">
                  <c:v>4534.8675499999999</c:v>
                </c:pt>
                <c:pt idx="93">
                  <c:v>4536.3385399999997</c:v>
                </c:pt>
                <c:pt idx="94">
                  <c:v>4536.3385399999997</c:v>
                </c:pt>
                <c:pt idx="95">
                  <c:v>4536.3385399999997</c:v>
                </c:pt>
                <c:pt idx="96">
                  <c:v>4554.6424399999996</c:v>
                </c:pt>
                <c:pt idx="97">
                  <c:v>4567.4637000000002</c:v>
                </c:pt>
                <c:pt idx="98">
                  <c:v>4566.7517200000002</c:v>
                </c:pt>
                <c:pt idx="99">
                  <c:v>4537.4118600000002</c:v>
                </c:pt>
                <c:pt idx="100">
                  <c:v>4582.2313299999996</c:v>
                </c:pt>
                <c:pt idx="101">
                  <c:v>4582.2313299999996</c:v>
                </c:pt>
                <c:pt idx="102">
                  <c:v>4582.2313299999996</c:v>
                </c:pt>
                <c:pt idx="103">
                  <c:v>4588.9611400000003</c:v>
                </c:pt>
                <c:pt idx="104">
                  <c:v>4576.7291500000001</c:v>
                </c:pt>
                <c:pt idx="105">
                  <c:v>4513.3938600000001</c:v>
                </c:pt>
                <c:pt idx="106">
                  <c:v>4501.8856699999997</c:v>
                </c:pt>
                <c:pt idx="107">
                  <c:v>4478.0338400000001</c:v>
                </c:pt>
                <c:pt idx="108">
                  <c:v>4478.0338400000001</c:v>
                </c:pt>
                <c:pt idx="109">
                  <c:v>4478.0338400000001</c:v>
                </c:pt>
                <c:pt idx="110">
                  <c:v>4518.4433600000002</c:v>
                </c:pt>
                <c:pt idx="111">
                  <c:v>4499.3772600000002</c:v>
                </c:pt>
                <c:pt idx="112">
                  <c:v>4467.7140900000004</c:v>
                </c:pt>
                <c:pt idx="113">
                  <c:v>4468.8347700000004</c:v>
                </c:pt>
                <c:pt idx="114">
                  <c:v>4464.0545599999996</c:v>
                </c:pt>
                <c:pt idx="115">
                  <c:v>4464.0545599999996</c:v>
                </c:pt>
                <c:pt idx="116">
                  <c:v>4464.0545599999996</c:v>
                </c:pt>
                <c:pt idx="117">
                  <c:v>4489.7183299999997</c:v>
                </c:pt>
                <c:pt idx="118">
                  <c:v>4437.85905</c:v>
                </c:pt>
                <c:pt idx="119">
                  <c:v>4404.3334699999996</c:v>
                </c:pt>
                <c:pt idx="120">
                  <c:v>4370.36006</c:v>
                </c:pt>
                <c:pt idx="121">
                  <c:v>4369.7115000000003</c:v>
                </c:pt>
                <c:pt idx="122">
                  <c:v>4369.7115000000003</c:v>
                </c:pt>
                <c:pt idx="123">
                  <c:v>4369.7115000000003</c:v>
                </c:pt>
                <c:pt idx="124">
                  <c:v>4399.7691000000004</c:v>
                </c:pt>
                <c:pt idx="125">
                  <c:v>4387.5487000000003</c:v>
                </c:pt>
                <c:pt idx="126">
                  <c:v>4436.0117399999999</c:v>
                </c:pt>
                <c:pt idx="127">
                  <c:v>4376.31495</c:v>
                </c:pt>
                <c:pt idx="128">
                  <c:v>4405.7057299999997</c:v>
                </c:pt>
                <c:pt idx="129">
                  <c:v>4405.7057299999997</c:v>
                </c:pt>
                <c:pt idx="130">
                  <c:v>4405.7057299999997</c:v>
                </c:pt>
                <c:pt idx="131">
                  <c:v>4433.3056500000002</c:v>
                </c:pt>
                <c:pt idx="132">
                  <c:v>4497.6316699999998</c:v>
                </c:pt>
                <c:pt idx="133">
                  <c:v>4514.8652599999996</c:v>
                </c:pt>
                <c:pt idx="134">
                  <c:v>4507.6617900000001</c:v>
                </c:pt>
                <c:pt idx="135">
                  <c:v>4515.7673999999997</c:v>
                </c:pt>
                <c:pt idx="136">
                  <c:v>4515.7673999999997</c:v>
                </c:pt>
                <c:pt idx="137">
                  <c:v>4515.7673999999997</c:v>
                </c:pt>
                <c:pt idx="138">
                  <c:v>4515.7673999999997</c:v>
                </c:pt>
                <c:pt idx="139">
                  <c:v>4496.8272800000004</c:v>
                </c:pt>
                <c:pt idx="140">
                  <c:v>4465.4847600000003</c:v>
                </c:pt>
                <c:pt idx="141">
                  <c:v>4451.1379800000004</c:v>
                </c:pt>
                <c:pt idx="142">
                  <c:v>4457.4893099999999</c:v>
                </c:pt>
                <c:pt idx="143">
                  <c:v>4457.4893099999999</c:v>
                </c:pt>
                <c:pt idx="144">
                  <c:v>4457.4893099999999</c:v>
                </c:pt>
                <c:pt idx="145">
                  <c:v>4487.4638599999998</c:v>
                </c:pt>
                <c:pt idx="146">
                  <c:v>4461.9049199999999</c:v>
                </c:pt>
                <c:pt idx="147">
                  <c:v>4467.44193</c:v>
                </c:pt>
                <c:pt idx="148">
                  <c:v>4505.0962799999998</c:v>
                </c:pt>
                <c:pt idx="149">
                  <c:v>4450.31628</c:v>
                </c:pt>
                <c:pt idx="150">
                  <c:v>4450.31628</c:v>
                </c:pt>
                <c:pt idx="151">
                  <c:v>4450.31628</c:v>
                </c:pt>
                <c:pt idx="152">
                  <c:v>4453.5338000000002</c:v>
                </c:pt>
                <c:pt idx="153">
                  <c:v>4443.9475000000002</c:v>
                </c:pt>
                <c:pt idx="154">
                  <c:v>4402.2035400000004</c:v>
                </c:pt>
                <c:pt idx="155">
                  <c:v>4330.0048500000003</c:v>
                </c:pt>
                <c:pt idx="156">
                  <c:v>4320.0571300000001</c:v>
                </c:pt>
                <c:pt idx="157">
                  <c:v>4320.0571300000001</c:v>
                </c:pt>
                <c:pt idx="158">
                  <c:v>4320.0571300000001</c:v>
                </c:pt>
                <c:pt idx="159">
                  <c:v>4337.4449800000002</c:v>
                </c:pt>
                <c:pt idx="160">
                  <c:v>4273.5283099999997</c:v>
                </c:pt>
                <c:pt idx="161">
                  <c:v>4274.5094099999997</c:v>
                </c:pt>
                <c:pt idx="162">
                  <c:v>4299.7019899999996</c:v>
                </c:pt>
                <c:pt idx="163">
                  <c:v>4288.0541199999998</c:v>
                </c:pt>
                <c:pt idx="164">
                  <c:v>4288.0541199999998</c:v>
                </c:pt>
                <c:pt idx="165">
                  <c:v>4288.0541199999998</c:v>
                </c:pt>
                <c:pt idx="166">
                  <c:v>4288.3906999999999</c:v>
                </c:pt>
                <c:pt idx="167">
                  <c:v>4229.4530299999997</c:v>
                </c:pt>
                <c:pt idx="168">
                  <c:v>4263.7511400000003</c:v>
                </c:pt>
                <c:pt idx="169">
                  <c:v>4258.1858099999999</c:v>
                </c:pt>
                <c:pt idx="170">
                  <c:v>4308.5022600000002</c:v>
                </c:pt>
                <c:pt idx="171">
                  <c:v>4308.5022600000002</c:v>
                </c:pt>
                <c:pt idx="172">
                  <c:v>4308.5022600000002</c:v>
                </c:pt>
                <c:pt idx="173">
                  <c:v>4335.6575199999997</c:v>
                </c:pt>
                <c:pt idx="174">
                  <c:v>4358.2378600000002</c:v>
                </c:pt>
                <c:pt idx="175">
                  <c:v>4376.9451799999997</c:v>
                </c:pt>
                <c:pt idx="176">
                  <c:v>4349.6057799999999</c:v>
                </c:pt>
                <c:pt idx="177">
                  <c:v>4327.7830299999996</c:v>
                </c:pt>
                <c:pt idx="178">
                  <c:v>4327.7830299999996</c:v>
                </c:pt>
                <c:pt idx="179">
                  <c:v>4327.7830299999996</c:v>
                </c:pt>
                <c:pt idx="180">
                  <c:v>4373.6348099999996</c:v>
                </c:pt>
                <c:pt idx="181">
                  <c:v>4373.1959900000002</c:v>
                </c:pt>
                <c:pt idx="182">
                  <c:v>4314.6006500000003</c:v>
                </c:pt>
                <c:pt idx="183">
                  <c:v>4277.9974300000003</c:v>
                </c:pt>
                <c:pt idx="184">
                  <c:v>4224.1594800000003</c:v>
                </c:pt>
                <c:pt idx="185">
                  <c:v>4224.1594800000003</c:v>
                </c:pt>
                <c:pt idx="186">
                  <c:v>4224.1594800000003</c:v>
                </c:pt>
                <c:pt idx="187">
                  <c:v>4217.0433899999998</c:v>
                </c:pt>
                <c:pt idx="188">
                  <c:v>4247.6768400000001</c:v>
                </c:pt>
                <c:pt idx="189">
                  <c:v>4186.7652500000004</c:v>
                </c:pt>
                <c:pt idx="190">
                  <c:v>4137.2308400000002</c:v>
                </c:pt>
                <c:pt idx="191">
                  <c:v>4117.3738300000005</c:v>
                </c:pt>
                <c:pt idx="192">
                  <c:v>4117.3738300000005</c:v>
                </c:pt>
                <c:pt idx="193">
                  <c:v>4117.3738300000005</c:v>
                </c:pt>
                <c:pt idx="194">
                  <c:v>4166.8151399999997</c:v>
                </c:pt>
                <c:pt idx="195">
                  <c:v>4193.8009599999996</c:v>
                </c:pt>
                <c:pt idx="196">
                  <c:v>4237.8556500000004</c:v>
                </c:pt>
                <c:pt idx="197">
                  <c:v>4317.7754800000002</c:v>
                </c:pt>
                <c:pt idx="198">
                  <c:v>4358.33518</c:v>
                </c:pt>
                <c:pt idx="199">
                  <c:v>4358.33518</c:v>
                </c:pt>
                <c:pt idx="200">
                  <c:v>4358.33518</c:v>
                </c:pt>
                <c:pt idx="201">
                  <c:v>4365.9780199999996</c:v>
                </c:pt>
                <c:pt idx="202">
                  <c:v>4378.37914</c:v>
                </c:pt>
                <c:pt idx="203">
                  <c:v>4382.7837799999998</c:v>
                </c:pt>
                <c:pt idx="204">
                  <c:v>4347.3493200000003</c:v>
                </c:pt>
                <c:pt idx="205">
                  <c:v>4415.2446900000004</c:v>
                </c:pt>
                <c:pt idx="206">
                  <c:v>4415.2446900000004</c:v>
                </c:pt>
                <c:pt idx="207">
                  <c:v>4415.2446900000004</c:v>
                </c:pt>
                <c:pt idx="208">
                  <c:v>4411.5548900000003</c:v>
                </c:pt>
                <c:pt idx="209">
                  <c:v>4495.7015899999997</c:v>
                </c:pt>
                <c:pt idx="210">
                  <c:v>4502.8788299999997</c:v>
                </c:pt>
                <c:pt idx="211">
                  <c:v>4508.2434999999996</c:v>
                </c:pt>
                <c:pt idx="212">
                  <c:v>4514.0178599999999</c:v>
                </c:pt>
                <c:pt idx="213">
                  <c:v>4514.0178599999999</c:v>
                </c:pt>
                <c:pt idx="214">
                  <c:v>4514.0178599999999</c:v>
                </c:pt>
                <c:pt idx="215">
                  <c:v>4547.3774899999999</c:v>
                </c:pt>
                <c:pt idx="216">
                  <c:v>4538.1916600000004</c:v>
                </c:pt>
                <c:pt idx="217">
                  <c:v>4556.6192199999996</c:v>
                </c:pt>
                <c:pt idx="218">
                  <c:v>4556.6192199999996</c:v>
                </c:pt>
                <c:pt idx="219">
                  <c:v>4559.3352100000002</c:v>
                </c:pt>
                <c:pt idx="220">
                  <c:v>4559.3352100000002</c:v>
                </c:pt>
                <c:pt idx="221">
                  <c:v>4559.3352100000002</c:v>
                </c:pt>
                <c:pt idx="222">
                  <c:v>4550.4280500000004</c:v>
                </c:pt>
                <c:pt idx="223">
                  <c:v>4554.8905599999998</c:v>
                </c:pt>
                <c:pt idx="224">
                  <c:v>4550.5823200000004</c:v>
                </c:pt>
                <c:pt idx="225">
                  <c:v>4567.79864</c:v>
                </c:pt>
                <c:pt idx="226">
                  <c:v>4594.6315800000002</c:v>
                </c:pt>
                <c:pt idx="227">
                  <c:v>4594.6315800000002</c:v>
                </c:pt>
                <c:pt idx="228">
                  <c:v>4594.6315800000002</c:v>
                </c:pt>
                <c:pt idx="229">
                  <c:v>4569.7815600000004</c:v>
                </c:pt>
                <c:pt idx="230">
                  <c:v>4567.1829699999998</c:v>
                </c:pt>
                <c:pt idx="231">
                  <c:v>4549.3373799999999</c:v>
                </c:pt>
                <c:pt idx="232">
                  <c:v>4585.58619</c:v>
                </c:pt>
                <c:pt idx="233">
                  <c:v>4604.3722500000003</c:v>
                </c:pt>
                <c:pt idx="234">
                  <c:v>4604.3722500000003</c:v>
                </c:pt>
                <c:pt idx="235">
                  <c:v>4604.3722500000003</c:v>
                </c:pt>
                <c:pt idx="236">
                  <c:v>4622.4407700000002</c:v>
                </c:pt>
                <c:pt idx="237">
                  <c:v>4643.7017699999997</c:v>
                </c:pt>
                <c:pt idx="238">
                  <c:v>4707.0913600000003</c:v>
                </c:pt>
                <c:pt idx="239">
                  <c:v>4719.5519199999999</c:v>
                </c:pt>
                <c:pt idx="240">
                  <c:v>4719.1906499999996</c:v>
                </c:pt>
                <c:pt idx="241">
                  <c:v>4719.1906499999996</c:v>
                </c:pt>
                <c:pt idx="242">
                  <c:v>4719.1906499999996</c:v>
                </c:pt>
                <c:pt idx="243">
                  <c:v>4740.5560100000002</c:v>
                </c:pt>
                <c:pt idx="244">
                  <c:v>4768.3653700000004</c:v>
                </c:pt>
                <c:pt idx="245">
                  <c:v>4698.3519500000002</c:v>
                </c:pt>
                <c:pt idx="246">
                  <c:v>4746.7456400000001</c:v>
                </c:pt>
                <c:pt idx="247">
                  <c:v>4754.6314499999999</c:v>
                </c:pt>
                <c:pt idx="248">
                  <c:v>4754.6314499999999</c:v>
                </c:pt>
                <c:pt idx="249">
                  <c:v>4754.6314499999999</c:v>
                </c:pt>
                <c:pt idx="250">
                  <c:v>4754.6314499999999</c:v>
                </c:pt>
                <c:pt idx="251">
                  <c:v>4774.7506000000003</c:v>
                </c:pt>
                <c:pt idx="252">
                  <c:v>4781.5788000000002</c:v>
                </c:pt>
                <c:pt idx="253">
                  <c:v>4783.3473800000002</c:v>
                </c:pt>
                <c:pt idx="254">
                  <c:v>4769.8294100000003</c:v>
                </c:pt>
                <c:pt idx="255">
                  <c:v>4769.8294100000003</c:v>
                </c:pt>
                <c:pt idx="256">
                  <c:v>4769.8294100000003</c:v>
                </c:pt>
                <c:pt idx="257">
                  <c:v>4769.8294100000003</c:v>
                </c:pt>
                <c:pt idx="258">
                  <c:v>4742.8294900000001</c:v>
                </c:pt>
                <c:pt idx="259">
                  <c:v>4704.8110900000001</c:v>
                </c:pt>
                <c:pt idx="260">
                  <c:v>4688.6760100000001</c:v>
                </c:pt>
                <c:pt idx="261">
                  <c:v>4697.2449399999996</c:v>
                </c:pt>
                <c:pt idx="262">
                  <c:v>4697.2449399999996</c:v>
                </c:pt>
                <c:pt idx="263">
                  <c:v>4697.2449399999996</c:v>
                </c:pt>
                <c:pt idx="264">
                  <c:v>4763.5372799999996</c:v>
                </c:pt>
                <c:pt idx="265">
                  <c:v>4756.4965400000001</c:v>
                </c:pt>
                <c:pt idx="266">
                  <c:v>4783.4491200000002</c:v>
                </c:pt>
                <c:pt idx="267">
                  <c:v>4780.2424700000001</c:v>
                </c:pt>
                <c:pt idx="268">
                  <c:v>4783.8310700000002</c:v>
                </c:pt>
                <c:pt idx="269">
                  <c:v>4783.8310700000002</c:v>
                </c:pt>
                <c:pt idx="270">
                  <c:v>4783.8310700000002</c:v>
                </c:pt>
                <c:pt idx="271">
                  <c:v>4783.8310700000002</c:v>
                </c:pt>
                <c:pt idx="272">
                  <c:v>4765.9760200000001</c:v>
                </c:pt>
                <c:pt idx="273">
                  <c:v>4739.2081399999997</c:v>
                </c:pt>
                <c:pt idx="274">
                  <c:v>4780.9376499999998</c:v>
                </c:pt>
                <c:pt idx="275">
                  <c:v>4839.81142</c:v>
                </c:pt>
                <c:pt idx="276">
                  <c:v>4839.81142</c:v>
                </c:pt>
                <c:pt idx="277">
                  <c:v>4839.81142</c:v>
                </c:pt>
                <c:pt idx="278">
                  <c:v>4850.4256699999996</c:v>
                </c:pt>
                <c:pt idx="279">
                  <c:v>4864.5967199999996</c:v>
                </c:pt>
                <c:pt idx="280">
                  <c:v>4868.5539200000003</c:v>
                </c:pt>
                <c:pt idx="281">
                  <c:v>4894.1555799999996</c:v>
                </c:pt>
                <c:pt idx="282">
                  <c:v>4890.9705100000001</c:v>
                </c:pt>
                <c:pt idx="283">
                  <c:v>4890.9705100000001</c:v>
                </c:pt>
                <c:pt idx="284">
                  <c:v>4890.9705100000001</c:v>
                </c:pt>
                <c:pt idx="285">
                  <c:v>4927.9288200000001</c:v>
                </c:pt>
                <c:pt idx="286">
                  <c:v>4924.9738900000002</c:v>
                </c:pt>
                <c:pt idx="287">
                  <c:v>4845.6471799999999</c:v>
                </c:pt>
                <c:pt idx="288">
                  <c:v>4906.1940400000003</c:v>
                </c:pt>
                <c:pt idx="289">
                  <c:v>4958.6138899999996</c:v>
                </c:pt>
                <c:pt idx="290">
                  <c:v>4958.6138899999996</c:v>
                </c:pt>
                <c:pt idx="291">
                  <c:v>4958.6138899999996</c:v>
                </c:pt>
                <c:pt idx="292">
                  <c:v>4942.8058799999999</c:v>
                </c:pt>
                <c:pt idx="293">
                  <c:v>4954.2305100000003</c:v>
                </c:pt>
                <c:pt idx="294">
                  <c:v>4995.0558499999997</c:v>
                </c:pt>
                <c:pt idx="295">
                  <c:v>4997.9053700000004</c:v>
                </c:pt>
                <c:pt idx="296">
                  <c:v>5026.6085800000001</c:v>
                </c:pt>
                <c:pt idx="297">
                  <c:v>5026.6085800000001</c:v>
                </c:pt>
                <c:pt idx="298">
                  <c:v>5026.6085800000001</c:v>
                </c:pt>
                <c:pt idx="299">
                  <c:v>5021.8444799999997</c:v>
                </c:pt>
                <c:pt idx="300">
                  <c:v>4953.16795</c:v>
                </c:pt>
                <c:pt idx="301">
                  <c:v>5000.6200699999999</c:v>
                </c:pt>
                <c:pt idx="302">
                  <c:v>5029.7347099999997</c:v>
                </c:pt>
                <c:pt idx="303">
                  <c:v>5005.5684499999998</c:v>
                </c:pt>
                <c:pt idx="304">
                  <c:v>5005.5684499999998</c:v>
                </c:pt>
                <c:pt idx="305">
                  <c:v>5005.5684499999998</c:v>
                </c:pt>
                <c:pt idx="306">
                  <c:v>5005.5684499999998</c:v>
                </c:pt>
                <c:pt idx="307">
                  <c:v>4975.51127</c:v>
                </c:pt>
                <c:pt idx="308">
                  <c:v>4981.7969999999996</c:v>
                </c:pt>
                <c:pt idx="309">
                  <c:v>5087.0324300000002</c:v>
                </c:pt>
                <c:pt idx="310">
                  <c:v>5088.7999499999996</c:v>
                </c:pt>
                <c:pt idx="311">
                  <c:v>5088.7999499999996</c:v>
                </c:pt>
                <c:pt idx="312">
                  <c:v>5088.7999499999996</c:v>
                </c:pt>
                <c:pt idx="313">
                  <c:v>5069.5305099999996</c:v>
                </c:pt>
                <c:pt idx="314">
                  <c:v>5078.1825200000003</c:v>
                </c:pt>
                <c:pt idx="315">
                  <c:v>5069.7565100000002</c:v>
                </c:pt>
                <c:pt idx="316">
                  <c:v>5096.2695000000003</c:v>
                </c:pt>
                <c:pt idx="317">
                  <c:v>5137.0838000000003</c:v>
                </c:pt>
                <c:pt idx="318">
                  <c:v>5137.0838000000003</c:v>
                </c:pt>
                <c:pt idx="319">
                  <c:v>5137.0838000000003</c:v>
                </c:pt>
                <c:pt idx="320">
                  <c:v>5130.9491500000004</c:v>
                </c:pt>
                <c:pt idx="321">
                  <c:v>5078.6540000000005</c:v>
                </c:pt>
                <c:pt idx="322">
                  <c:v>5104.7571600000001</c:v>
                </c:pt>
                <c:pt idx="323">
                  <c:v>5157.3592799999997</c:v>
                </c:pt>
                <c:pt idx="324">
                  <c:v>5123.6910900000003</c:v>
                </c:pt>
                <c:pt idx="325">
                  <c:v>5123.6910900000003</c:v>
                </c:pt>
                <c:pt idx="326">
                  <c:v>5123.6910900000003</c:v>
                </c:pt>
                <c:pt idx="327">
                  <c:v>5117.9367599999996</c:v>
                </c:pt>
                <c:pt idx="328">
                  <c:v>5175.2676199999996</c:v>
                </c:pt>
                <c:pt idx="329">
                  <c:v>5165.31185</c:v>
                </c:pt>
                <c:pt idx="330">
                  <c:v>5150.4799199999998</c:v>
                </c:pt>
                <c:pt idx="331">
                  <c:v>5117.0882199999996</c:v>
                </c:pt>
                <c:pt idx="332">
                  <c:v>5117.0882199999996</c:v>
                </c:pt>
                <c:pt idx="333">
                  <c:v>5117.0882199999996</c:v>
                </c:pt>
                <c:pt idx="334">
                  <c:v>5149.4174700000003</c:v>
                </c:pt>
                <c:pt idx="335">
                  <c:v>5178.5092599999998</c:v>
                </c:pt>
                <c:pt idx="336">
                  <c:v>5224.6232399999999</c:v>
                </c:pt>
                <c:pt idx="337">
                  <c:v>5241.5328</c:v>
                </c:pt>
                <c:pt idx="338">
                  <c:v>5234.1800599999997</c:v>
                </c:pt>
                <c:pt idx="339">
                  <c:v>5234.1800599999997</c:v>
                </c:pt>
                <c:pt idx="340">
                  <c:v>5234.1800599999997</c:v>
                </c:pt>
                <c:pt idx="341">
                  <c:v>5218.1866200000004</c:v>
                </c:pt>
                <c:pt idx="342">
                  <c:v>5203.5842000000002</c:v>
                </c:pt>
                <c:pt idx="343">
                  <c:v>5248.4931299999998</c:v>
                </c:pt>
                <c:pt idx="344">
                  <c:v>5254.3544000000002</c:v>
                </c:pt>
                <c:pt idx="345">
                  <c:v>5254.3544000000002</c:v>
                </c:pt>
                <c:pt idx="346">
                  <c:v>5254.3544000000002</c:v>
                </c:pt>
                <c:pt idx="347">
                  <c:v>5254.3544000000002</c:v>
                </c:pt>
                <c:pt idx="348">
                  <c:v>5243.7729499999996</c:v>
                </c:pt>
                <c:pt idx="349">
                  <c:v>5205.8110900000001</c:v>
                </c:pt>
                <c:pt idx="350">
                  <c:v>5211.4860900000003</c:v>
                </c:pt>
                <c:pt idx="351">
                  <c:v>5147.2089800000003</c:v>
                </c:pt>
                <c:pt idx="352">
                  <c:v>5204.3351400000001</c:v>
                </c:pt>
                <c:pt idx="353">
                  <c:v>5204.3351400000001</c:v>
                </c:pt>
                <c:pt idx="354">
                  <c:v>5204.3351400000001</c:v>
                </c:pt>
                <c:pt idx="355">
                  <c:v>5202.3919299999998</c:v>
                </c:pt>
                <c:pt idx="356">
                  <c:v>5209.9108399999996</c:v>
                </c:pt>
                <c:pt idx="357">
                  <c:v>5160.6397900000002</c:v>
                </c:pt>
                <c:pt idx="358">
                  <c:v>5199.0567700000001</c:v>
                </c:pt>
                <c:pt idx="359">
                  <c:v>5123.4068200000002</c:v>
                </c:pt>
                <c:pt idx="360">
                  <c:v>5123.4068200000002</c:v>
                </c:pt>
                <c:pt idx="361">
                  <c:v>5123.4068200000002</c:v>
                </c:pt>
                <c:pt idx="362">
                  <c:v>5061.8155299999999</c:v>
                </c:pt>
                <c:pt idx="363">
                  <c:v>5051.4139500000001</c:v>
                </c:pt>
                <c:pt idx="364">
                  <c:v>5022.2080400000004</c:v>
                </c:pt>
                <c:pt idx="365">
                  <c:v>5011.1227500000005</c:v>
                </c:pt>
                <c:pt idx="366">
                  <c:v>4967.2349000000004</c:v>
                </c:pt>
                <c:pt idx="367">
                  <c:v>4967.2349000000004</c:v>
                </c:pt>
                <c:pt idx="368">
                  <c:v>4967.2349000000004</c:v>
                </c:pt>
                <c:pt idx="369">
                  <c:v>5010.6046399999996</c:v>
                </c:pt>
                <c:pt idx="370">
                  <c:v>5070.55123</c:v>
                </c:pt>
                <c:pt idx="371">
                  <c:v>5071.6284699999997</c:v>
                </c:pt>
                <c:pt idx="372">
                  <c:v>5048.4157100000002</c:v>
                </c:pt>
                <c:pt idx="373">
                  <c:v>5099.96245</c:v>
                </c:pt>
                <c:pt idx="374">
                  <c:v>5099.96245</c:v>
                </c:pt>
                <c:pt idx="375">
                  <c:v>5099.96245</c:v>
                </c:pt>
                <c:pt idx="376">
                  <c:v>5116.1675599999999</c:v>
                </c:pt>
                <c:pt idx="377">
                  <c:v>5035.6916799999999</c:v>
                </c:pt>
                <c:pt idx="378">
                  <c:v>5018.3850000000002</c:v>
                </c:pt>
                <c:pt idx="379">
                  <c:v>5064.1952700000002</c:v>
                </c:pt>
                <c:pt idx="380">
                  <c:v>5127.7866299999996</c:v>
                </c:pt>
                <c:pt idx="381">
                  <c:v>5127.7866299999996</c:v>
                </c:pt>
                <c:pt idx="382">
                  <c:v>5127.7866299999996</c:v>
                </c:pt>
                <c:pt idx="383">
                  <c:v>5180.7406899999996</c:v>
                </c:pt>
                <c:pt idx="384">
                  <c:v>5187.6978600000002</c:v>
                </c:pt>
                <c:pt idx="385">
                  <c:v>5187.6707399999996</c:v>
                </c:pt>
                <c:pt idx="386">
                  <c:v>5214.0814300000002</c:v>
                </c:pt>
                <c:pt idx="387">
                  <c:v>5222.6753699999999</c:v>
                </c:pt>
                <c:pt idx="388">
                  <c:v>5222.6753699999999</c:v>
                </c:pt>
                <c:pt idx="389">
                  <c:v>5222.6753699999999</c:v>
                </c:pt>
                <c:pt idx="390">
                  <c:v>5221.4156400000002</c:v>
                </c:pt>
                <c:pt idx="391">
                  <c:v>5246.6805199999999</c:v>
                </c:pt>
                <c:pt idx="392">
                  <c:v>5308.14959</c:v>
                </c:pt>
                <c:pt idx="393">
                  <c:v>5297.0984500000004</c:v>
                </c:pt>
                <c:pt idx="394">
                  <c:v>5303.2696599999999</c:v>
                </c:pt>
                <c:pt idx="395">
                  <c:v>5303.2696599999999</c:v>
                </c:pt>
                <c:pt idx="396">
                  <c:v>5303.2696599999999</c:v>
                </c:pt>
                <c:pt idx="397">
                  <c:v>5308.1322700000001</c:v>
                </c:pt>
                <c:pt idx="398">
                  <c:v>5321.4120199999998</c:v>
                </c:pt>
                <c:pt idx="399">
                  <c:v>5307.00522</c:v>
                </c:pt>
                <c:pt idx="400">
                  <c:v>5267.8380699999998</c:v>
                </c:pt>
                <c:pt idx="401">
                  <c:v>5304.7175999999999</c:v>
                </c:pt>
                <c:pt idx="402">
                  <c:v>5304.7175999999999</c:v>
                </c:pt>
                <c:pt idx="403">
                  <c:v>5304.7175999999999</c:v>
                </c:pt>
                <c:pt idx="404">
                  <c:v>5304.7175999999999</c:v>
                </c:pt>
                <c:pt idx="405">
                  <c:v>5306.0444699999998</c:v>
                </c:pt>
                <c:pt idx="406">
                  <c:v>5266.9493599999996</c:v>
                </c:pt>
                <c:pt idx="407">
                  <c:v>5235.4772599999997</c:v>
                </c:pt>
                <c:pt idx="408">
                  <c:v>5277.5073499999999</c:v>
                </c:pt>
                <c:pt idx="409">
                  <c:v>5277.5073499999999</c:v>
                </c:pt>
                <c:pt idx="410">
                  <c:v>5277.5073499999999</c:v>
                </c:pt>
                <c:pt idx="411">
                  <c:v>5283.3968699999996</c:v>
                </c:pt>
                <c:pt idx="412">
                  <c:v>5291.3354099999997</c:v>
                </c:pt>
                <c:pt idx="413">
                  <c:v>5354.0286500000002</c:v>
                </c:pt>
                <c:pt idx="414">
                  <c:v>5352.9622399999998</c:v>
                </c:pt>
                <c:pt idx="415">
                  <c:v>5346.9880700000003</c:v>
                </c:pt>
                <c:pt idx="416">
                  <c:v>5346.9880700000003</c:v>
                </c:pt>
                <c:pt idx="417">
                  <c:v>5346.9880700000003</c:v>
                </c:pt>
                <c:pt idx="418">
                  <c:v>5360.7884899999999</c:v>
                </c:pt>
                <c:pt idx="419">
                  <c:v>5375.3161799999998</c:v>
                </c:pt>
                <c:pt idx="420">
                  <c:v>5421.02585</c:v>
                </c:pt>
                <c:pt idx="421">
                  <c:v>5433.7431999999999</c:v>
                </c:pt>
                <c:pt idx="422">
                  <c:v>5431.6016499999996</c:v>
                </c:pt>
                <c:pt idx="423">
                  <c:v>5431.6016499999996</c:v>
                </c:pt>
                <c:pt idx="424">
                  <c:v>5431.6016499999996</c:v>
                </c:pt>
                <c:pt idx="425">
                  <c:v>5473.23315</c:v>
                </c:pt>
                <c:pt idx="426">
                  <c:v>5487.0264900000002</c:v>
                </c:pt>
                <c:pt idx="427">
                  <c:v>5487.0264900000002</c:v>
                </c:pt>
                <c:pt idx="428">
                  <c:v>5473.1687899999997</c:v>
                </c:pt>
                <c:pt idx="429">
                  <c:v>5464.6213399999997</c:v>
                </c:pt>
                <c:pt idx="430">
                  <c:v>5464.6213399999997</c:v>
                </c:pt>
                <c:pt idx="431">
                  <c:v>5464.6213399999997</c:v>
                </c:pt>
                <c:pt idx="432">
                  <c:v>5447.8726500000002</c:v>
                </c:pt>
                <c:pt idx="433">
                  <c:v>5469.2974299999996</c:v>
                </c:pt>
                <c:pt idx="434">
                  <c:v>5477.90362</c:v>
                </c:pt>
                <c:pt idx="435">
                  <c:v>5482.8717800000004</c:v>
                </c:pt>
                <c:pt idx="436">
                  <c:v>5460.4826199999998</c:v>
                </c:pt>
                <c:pt idx="437">
                  <c:v>5460.4826199999998</c:v>
                </c:pt>
                <c:pt idx="438">
                  <c:v>5460.4826199999998</c:v>
                </c:pt>
                <c:pt idx="439">
                  <c:v>5475.08835</c:v>
                </c:pt>
                <c:pt idx="440">
                  <c:v>5509.0111100000004</c:v>
                </c:pt>
                <c:pt idx="441">
                  <c:v>5537.0191299999997</c:v>
                </c:pt>
                <c:pt idx="442">
                  <c:v>5537.0191299999997</c:v>
                </c:pt>
                <c:pt idx="443">
                  <c:v>5567.1903899999998</c:v>
                </c:pt>
                <c:pt idx="444">
                  <c:v>5567.1903899999998</c:v>
                </c:pt>
                <c:pt idx="445">
                  <c:v>5567.1903899999998</c:v>
                </c:pt>
                <c:pt idx="446">
                  <c:v>5572.8501999999999</c:v>
                </c:pt>
                <c:pt idx="447">
                  <c:v>5576.9844999999996</c:v>
                </c:pt>
                <c:pt idx="448">
                  <c:v>5633.9122100000004</c:v>
                </c:pt>
                <c:pt idx="449">
                  <c:v>5584.5443299999997</c:v>
                </c:pt>
                <c:pt idx="450">
                  <c:v>5615.3487599999999</c:v>
                </c:pt>
                <c:pt idx="451">
                  <c:v>5615.3487599999999</c:v>
                </c:pt>
                <c:pt idx="452">
                  <c:v>5615.3487599999999</c:v>
                </c:pt>
                <c:pt idx="453">
                  <c:v>5631.2160400000002</c:v>
                </c:pt>
                <c:pt idx="454">
                  <c:v>5667.19769</c:v>
                </c:pt>
                <c:pt idx="455">
                  <c:v>5588.2716899999996</c:v>
                </c:pt>
                <c:pt idx="456">
                  <c:v>5544.5932400000002</c:v>
                </c:pt>
                <c:pt idx="457">
                  <c:v>5505.0030900000002</c:v>
                </c:pt>
                <c:pt idx="458">
                  <c:v>5505.0030900000002</c:v>
                </c:pt>
                <c:pt idx="459">
                  <c:v>5505.0030900000002</c:v>
                </c:pt>
                <c:pt idx="460">
                  <c:v>5564.4128899999996</c:v>
                </c:pt>
                <c:pt idx="461">
                  <c:v>5555.7436699999998</c:v>
                </c:pt>
                <c:pt idx="462">
                  <c:v>5427.1276799999996</c:v>
                </c:pt>
                <c:pt idx="463">
                  <c:v>5399.2224800000004</c:v>
                </c:pt>
                <c:pt idx="464">
                  <c:v>5459.0973999999997</c:v>
                </c:pt>
                <c:pt idx="465">
                  <c:v>5459.0973999999997</c:v>
                </c:pt>
                <c:pt idx="466">
                  <c:v>5459.0973999999997</c:v>
                </c:pt>
                <c:pt idx="467">
                  <c:v>5463.5384700000004</c:v>
                </c:pt>
                <c:pt idx="468">
                  <c:v>5436.4440999999997</c:v>
                </c:pt>
                <c:pt idx="469">
                  <c:v>5522.3018400000001</c:v>
                </c:pt>
                <c:pt idx="470">
                  <c:v>5446.6843200000003</c:v>
                </c:pt>
                <c:pt idx="471">
                  <c:v>5346.5632599999999</c:v>
                </c:pt>
                <c:pt idx="472">
                  <c:v>5346.5632599999999</c:v>
                </c:pt>
                <c:pt idx="473">
                  <c:v>5346.5632599999999</c:v>
                </c:pt>
                <c:pt idx="474">
                  <c:v>5186.3304099999996</c:v>
                </c:pt>
                <c:pt idx="475">
                  <c:v>5240.0261499999997</c:v>
                </c:pt>
                <c:pt idx="476">
                  <c:v>5199.4999699999998</c:v>
                </c:pt>
                <c:pt idx="477">
                  <c:v>5319.3081199999997</c:v>
                </c:pt>
                <c:pt idx="478">
                  <c:v>5344.1643599999998</c:v>
                </c:pt>
                <c:pt idx="479">
                  <c:v>5344.1643599999998</c:v>
                </c:pt>
                <c:pt idx="480">
                  <c:v>5344.1643599999998</c:v>
                </c:pt>
                <c:pt idx="481">
                  <c:v>5344.3851999999997</c:v>
                </c:pt>
                <c:pt idx="482">
                  <c:v>5434.4328299999997</c:v>
                </c:pt>
                <c:pt idx="483">
                  <c:v>5455.2120000000004</c:v>
                </c:pt>
                <c:pt idx="484">
                  <c:v>5543.2182300000004</c:v>
                </c:pt>
                <c:pt idx="485">
                  <c:v>5554.2510599999996</c:v>
                </c:pt>
                <c:pt idx="486">
                  <c:v>5554.2510599999996</c:v>
                </c:pt>
                <c:pt idx="487">
                  <c:v>5554.2510599999996</c:v>
                </c:pt>
                <c:pt idx="488">
                  <c:v>5608.2472600000001</c:v>
                </c:pt>
                <c:pt idx="489">
                  <c:v>5597.12482</c:v>
                </c:pt>
                <c:pt idx="490">
                  <c:v>5620.8527199999999</c:v>
                </c:pt>
                <c:pt idx="491">
                  <c:v>5570.6445700000004</c:v>
                </c:pt>
                <c:pt idx="492">
                  <c:v>5634.6058499999999</c:v>
                </c:pt>
                <c:pt idx="493">
                  <c:v>5634.6058499999999</c:v>
                </c:pt>
                <c:pt idx="494">
                  <c:v>5634.6058499999999</c:v>
                </c:pt>
                <c:pt idx="495">
                  <c:v>5616.8358500000004</c:v>
                </c:pt>
                <c:pt idx="496">
                  <c:v>5625.8019599999998</c:v>
                </c:pt>
                <c:pt idx="497">
                  <c:v>5592.1772099999998</c:v>
                </c:pt>
                <c:pt idx="498">
                  <c:v>5591.9637199999997</c:v>
                </c:pt>
                <c:pt idx="499">
                  <c:v>5648.3972400000002</c:v>
                </c:pt>
                <c:pt idx="500">
                  <c:v>5648.3972400000002</c:v>
                </c:pt>
                <c:pt idx="501">
                  <c:v>5648.3972400000002</c:v>
                </c:pt>
                <c:pt idx="502">
                  <c:v>5648.3972400000002</c:v>
                </c:pt>
                <c:pt idx="503">
                  <c:v>5528.9333999999999</c:v>
                </c:pt>
                <c:pt idx="504">
                  <c:v>5520.0678200000002</c:v>
                </c:pt>
                <c:pt idx="505">
                  <c:v>5503.4085699999996</c:v>
                </c:pt>
                <c:pt idx="506">
                  <c:v>5408.4221399999997</c:v>
                </c:pt>
                <c:pt idx="507">
                  <c:v>5408.4221399999997</c:v>
                </c:pt>
                <c:pt idx="508">
                  <c:v>5408.4221399999997</c:v>
                </c:pt>
                <c:pt idx="509">
                  <c:v>5471.0514499999999</c:v>
                </c:pt>
                <c:pt idx="510">
                  <c:v>5495.5194099999999</c:v>
                </c:pt>
                <c:pt idx="511">
                  <c:v>5554.1324199999999</c:v>
                </c:pt>
                <c:pt idx="512">
                  <c:v>5595.7634900000003</c:v>
                </c:pt>
                <c:pt idx="513">
                  <c:v>5626.0186000000003</c:v>
                </c:pt>
                <c:pt idx="514">
                  <c:v>5626.0186000000003</c:v>
                </c:pt>
                <c:pt idx="515">
                  <c:v>5626.0186000000003</c:v>
                </c:pt>
                <c:pt idx="516">
                  <c:v>5633.0877799999998</c:v>
                </c:pt>
                <c:pt idx="517">
                  <c:v>5634.5804399999997</c:v>
                </c:pt>
                <c:pt idx="518">
                  <c:v>5618.2590300000002</c:v>
                </c:pt>
                <c:pt idx="519">
                  <c:v>5713.6410900000001</c:v>
                </c:pt>
                <c:pt idx="520">
                  <c:v>5702.5476200000003</c:v>
                </c:pt>
                <c:pt idx="521">
                  <c:v>5702.5476200000003</c:v>
                </c:pt>
                <c:pt idx="522">
                  <c:v>5702.5476200000003</c:v>
                </c:pt>
                <c:pt idx="523">
                  <c:v>5718.5664900000002</c:v>
                </c:pt>
                <c:pt idx="524">
                  <c:v>5732.9273499999999</c:v>
                </c:pt>
                <c:pt idx="525">
                  <c:v>5722.2605999999996</c:v>
                </c:pt>
                <c:pt idx="526">
                  <c:v>5745.3660900000004</c:v>
                </c:pt>
                <c:pt idx="527">
                  <c:v>5738.1717799999997</c:v>
                </c:pt>
                <c:pt idx="528">
                  <c:v>5738.1717799999997</c:v>
                </c:pt>
                <c:pt idx="529">
                  <c:v>5738.1717799999997</c:v>
                </c:pt>
                <c:pt idx="530">
                  <c:v>5762.48488</c:v>
                </c:pt>
                <c:pt idx="531">
                  <c:v>5708.7514799999999</c:v>
                </c:pt>
                <c:pt idx="532">
                  <c:v>5709.5394399999996</c:v>
                </c:pt>
                <c:pt idx="533">
                  <c:v>5699.94175</c:v>
                </c:pt>
                <c:pt idx="534">
                  <c:v>5751.0681999999997</c:v>
                </c:pt>
                <c:pt idx="535">
                  <c:v>5751.0681999999997</c:v>
                </c:pt>
                <c:pt idx="536">
                  <c:v>5751.0681999999997</c:v>
                </c:pt>
                <c:pt idx="537">
                  <c:v>5695.9434199999996</c:v>
                </c:pt>
                <c:pt idx="538">
                  <c:v>5751.1328899999999</c:v>
                </c:pt>
                <c:pt idx="539">
                  <c:v>5792.0414799999999</c:v>
                </c:pt>
                <c:pt idx="540">
                  <c:v>5780.0512900000003</c:v>
                </c:pt>
                <c:pt idx="541">
                  <c:v>5815.03341</c:v>
                </c:pt>
                <c:pt idx="542">
                  <c:v>5815.03341</c:v>
                </c:pt>
                <c:pt idx="543">
                  <c:v>5815.03341</c:v>
                </c:pt>
                <c:pt idx="544">
                  <c:v>5859.8501500000002</c:v>
                </c:pt>
                <c:pt idx="545">
                  <c:v>5815.2599399999999</c:v>
                </c:pt>
                <c:pt idx="546">
                  <c:v>5842.4745199999998</c:v>
                </c:pt>
                <c:pt idx="547">
                  <c:v>5841.4724100000003</c:v>
                </c:pt>
                <c:pt idx="548">
                  <c:v>5864.6679100000001</c:v>
                </c:pt>
                <c:pt idx="549">
                  <c:v>5864.6679100000001</c:v>
                </c:pt>
                <c:pt idx="550">
                  <c:v>5864.6679100000001</c:v>
                </c:pt>
                <c:pt idx="551">
                  <c:v>5853.9822299999996</c:v>
                </c:pt>
                <c:pt idx="552">
                  <c:v>5851.2023600000002</c:v>
                </c:pt>
                <c:pt idx="553">
                  <c:v>5797.4225900000001</c:v>
                </c:pt>
                <c:pt idx="554">
                  <c:v>5809.8592200000003</c:v>
                </c:pt>
                <c:pt idx="555">
                  <c:v>5808.1170099999999</c:v>
                </c:pt>
                <c:pt idx="556">
                  <c:v>5808.1170099999999</c:v>
                </c:pt>
                <c:pt idx="557">
                  <c:v>5808.1170099999999</c:v>
                </c:pt>
                <c:pt idx="558">
                  <c:v>5823.51775</c:v>
                </c:pt>
                <c:pt idx="559">
                  <c:v>5832.91705</c:v>
                </c:pt>
                <c:pt idx="560">
                  <c:v>5813.6697000000004</c:v>
                </c:pt>
                <c:pt idx="561">
                  <c:v>5705.4479199999996</c:v>
                </c:pt>
                <c:pt idx="562">
                  <c:v>5728.8013600000004</c:v>
                </c:pt>
                <c:pt idx="563">
                  <c:v>5728.8013600000004</c:v>
                </c:pt>
                <c:pt idx="564">
                  <c:v>5728.8013600000004</c:v>
                </c:pt>
                <c:pt idx="565">
                  <c:v>5712.6883399999997</c:v>
                </c:pt>
                <c:pt idx="566">
                  <c:v>5782.7558099999997</c:v>
                </c:pt>
                <c:pt idx="567">
                  <c:v>5929.0442400000002</c:v>
                </c:pt>
                <c:pt idx="568">
                  <c:v>5973.1031599999997</c:v>
                </c:pt>
                <c:pt idx="569">
                  <c:v>5995.5373399999999</c:v>
                </c:pt>
                <c:pt idx="570">
                  <c:v>5995.5373399999999</c:v>
                </c:pt>
                <c:pt idx="571">
                  <c:v>5995.5373399999999</c:v>
                </c:pt>
                <c:pt idx="572">
                  <c:v>6001.34699</c:v>
                </c:pt>
                <c:pt idx="573">
                  <c:v>5983.9898599999997</c:v>
                </c:pt>
                <c:pt idx="574">
                  <c:v>5985.3780100000004</c:v>
                </c:pt>
                <c:pt idx="575">
                  <c:v>5949.1709199999996</c:v>
                </c:pt>
                <c:pt idx="576">
                  <c:v>5870.6164099999996</c:v>
                </c:pt>
                <c:pt idx="577">
                  <c:v>5870.6164099999996</c:v>
                </c:pt>
                <c:pt idx="578">
                  <c:v>5870.6164099999996</c:v>
                </c:pt>
                <c:pt idx="579">
                  <c:v>5893.62345</c:v>
                </c:pt>
                <c:pt idx="580">
                  <c:v>5916.9773500000001</c:v>
                </c:pt>
                <c:pt idx="581">
                  <c:v>5917.1110500000004</c:v>
                </c:pt>
                <c:pt idx="582">
                  <c:v>5948.7072200000002</c:v>
                </c:pt>
                <c:pt idx="583">
                  <c:v>5969.3430799999996</c:v>
                </c:pt>
                <c:pt idx="584">
                  <c:v>5969.3430799999996</c:v>
                </c:pt>
                <c:pt idx="585">
                  <c:v>5969.3430799999996</c:v>
                </c:pt>
                <c:pt idx="586">
                  <c:v>5987.3663500000002</c:v>
                </c:pt>
                <c:pt idx="587">
                  <c:v>6021.6325900000002</c:v>
                </c:pt>
                <c:pt idx="588">
                  <c:v>5998.7380499999999</c:v>
                </c:pt>
                <c:pt idx="589">
                  <c:v>5998.7380499999999</c:v>
                </c:pt>
                <c:pt idx="590">
                  <c:v>6032.3844099999997</c:v>
                </c:pt>
                <c:pt idx="591">
                  <c:v>6032.3844099999997</c:v>
                </c:pt>
                <c:pt idx="592">
                  <c:v>6032.3844099999997</c:v>
                </c:pt>
                <c:pt idx="593">
                  <c:v>6047.1458400000001</c:v>
                </c:pt>
                <c:pt idx="594">
                  <c:v>6049.8817499999996</c:v>
                </c:pt>
                <c:pt idx="595">
                  <c:v>6086.4872599999999</c:v>
                </c:pt>
                <c:pt idx="596">
                  <c:v>6075.10707</c:v>
                </c:pt>
                <c:pt idx="597">
                  <c:v>6090.2704700000004</c:v>
                </c:pt>
                <c:pt idx="598">
                  <c:v>6090.2704700000004</c:v>
                </c:pt>
                <c:pt idx="599">
                  <c:v>6090.2704700000004</c:v>
                </c:pt>
                <c:pt idx="600">
                  <c:v>6052.8485600000004</c:v>
                </c:pt>
                <c:pt idx="601">
                  <c:v>6034.9122799999996</c:v>
                </c:pt>
                <c:pt idx="602">
                  <c:v>6084.1894899999998</c:v>
                </c:pt>
                <c:pt idx="603">
                  <c:v>6051.2473</c:v>
                </c:pt>
                <c:pt idx="604">
                  <c:v>6051.09202</c:v>
                </c:pt>
                <c:pt idx="605">
                  <c:v>6051.09202</c:v>
                </c:pt>
                <c:pt idx="606">
                  <c:v>6051.09202</c:v>
                </c:pt>
                <c:pt idx="607">
                  <c:v>6074.0834699999996</c:v>
                </c:pt>
                <c:pt idx="608">
                  <c:v>6050.6105399999997</c:v>
                </c:pt>
                <c:pt idx="609">
                  <c:v>5872.15985</c:v>
                </c:pt>
                <c:pt idx="610">
                  <c:v>5867.0769899999996</c:v>
                </c:pt>
                <c:pt idx="611">
                  <c:v>5930.8501399999996</c:v>
                </c:pt>
                <c:pt idx="612">
                  <c:v>5930.8501399999996</c:v>
                </c:pt>
                <c:pt idx="613">
                  <c:v>5930.8501399999996</c:v>
                </c:pt>
                <c:pt idx="614">
                  <c:v>5974.0730700000004</c:v>
                </c:pt>
                <c:pt idx="615">
                  <c:v>6040.0355799999998</c:v>
                </c:pt>
                <c:pt idx="616">
                  <c:v>6040.0355799999998</c:v>
                </c:pt>
                <c:pt idx="617">
                  <c:v>6037.5908600000002</c:v>
                </c:pt>
                <c:pt idx="618">
                  <c:v>5970.8376399999997</c:v>
                </c:pt>
                <c:pt idx="619">
                  <c:v>5970.8376399999997</c:v>
                </c:pt>
                <c:pt idx="620">
                  <c:v>5970.8376399999997</c:v>
                </c:pt>
                <c:pt idx="621">
                  <c:v>5906.9355999999998</c:v>
                </c:pt>
                <c:pt idx="622">
                  <c:v>5881.6276500000004</c:v>
                </c:pt>
                <c:pt idx="623">
                  <c:v>5881.6276500000004</c:v>
                </c:pt>
                <c:pt idx="624">
                  <c:v>5868.5513199999996</c:v>
                </c:pt>
                <c:pt idx="625">
                  <c:v>5942.4724999999999</c:v>
                </c:pt>
                <c:pt idx="626">
                  <c:v>5942.4724999999999</c:v>
                </c:pt>
                <c:pt idx="627">
                  <c:v>5942.4724999999999</c:v>
                </c:pt>
                <c:pt idx="628">
                  <c:v>5975.3755300000003</c:v>
                </c:pt>
                <c:pt idx="629">
                  <c:v>5909.0307499999999</c:v>
                </c:pt>
                <c:pt idx="630">
                  <c:v>5918.2478300000002</c:v>
                </c:pt>
                <c:pt idx="631">
                  <c:v>5918.2478300000002</c:v>
                </c:pt>
                <c:pt idx="632">
                  <c:v>5827.0444299999999</c:v>
                </c:pt>
                <c:pt idx="633">
                  <c:v>5827.0444299999999</c:v>
                </c:pt>
                <c:pt idx="634">
                  <c:v>5827.0444299999999</c:v>
                </c:pt>
                <c:pt idx="635">
                  <c:v>5836.2178700000004</c:v>
                </c:pt>
                <c:pt idx="636">
                  <c:v>5842.9107400000003</c:v>
                </c:pt>
                <c:pt idx="637">
                  <c:v>5949.9111199999998</c:v>
                </c:pt>
                <c:pt idx="638">
                  <c:v>5937.3404899999996</c:v>
                </c:pt>
                <c:pt idx="639">
                  <c:v>5996.6647499999999</c:v>
                </c:pt>
                <c:pt idx="640">
                  <c:v>5996.6647499999999</c:v>
                </c:pt>
                <c:pt idx="641">
                  <c:v>5996.6647499999999</c:v>
                </c:pt>
                <c:pt idx="642">
                  <c:v>5996.6647499999999</c:v>
                </c:pt>
                <c:pt idx="643">
                  <c:v>6049.24208</c:v>
                </c:pt>
                <c:pt idx="644">
                  <c:v>6086.3696300000001</c:v>
                </c:pt>
                <c:pt idx="645">
                  <c:v>6118.7063500000004</c:v>
                </c:pt>
                <c:pt idx="646">
                  <c:v>6101.2429300000003</c:v>
                </c:pt>
                <c:pt idx="647">
                  <c:v>6101.2429300000003</c:v>
                </c:pt>
                <c:pt idx="648">
                  <c:v>6101.2429300000003</c:v>
                </c:pt>
                <c:pt idx="649">
                  <c:v>6012.2769200000002</c:v>
                </c:pt>
                <c:pt idx="650">
                  <c:v>6067.69949</c:v>
                </c:pt>
                <c:pt idx="651">
                  <c:v>6039.3114999999998</c:v>
                </c:pt>
                <c:pt idx="652">
                  <c:v>6071.17454</c:v>
                </c:pt>
                <c:pt idx="653">
                  <c:v>6040.5259299999998</c:v>
                </c:pt>
                <c:pt idx="654">
                  <c:v>6040.5259299999998</c:v>
                </c:pt>
                <c:pt idx="655">
                  <c:v>6040.5259299999998</c:v>
                </c:pt>
                <c:pt idx="656">
                  <c:v>5994.56736</c:v>
                </c:pt>
                <c:pt idx="657">
                  <c:v>6037.8771900000002</c:v>
                </c:pt>
                <c:pt idx="658">
                  <c:v>6061.4807499999997</c:v>
                </c:pt>
                <c:pt idx="659">
                  <c:v>6083.5681299999997</c:v>
                </c:pt>
                <c:pt idx="660">
                  <c:v>6025.9924899999996</c:v>
                </c:pt>
                <c:pt idx="661">
                  <c:v>6025.9924899999996</c:v>
                </c:pt>
                <c:pt idx="662">
                  <c:v>6025.9924899999996</c:v>
                </c:pt>
                <c:pt idx="663">
                  <c:v>6066.44254</c:v>
                </c:pt>
                <c:pt idx="664">
                  <c:v>6068.50378</c:v>
                </c:pt>
                <c:pt idx="665">
                  <c:v>6051.9678100000001</c:v>
                </c:pt>
                <c:pt idx="666">
                  <c:v>6115.0715700000001</c:v>
                </c:pt>
                <c:pt idx="667">
                  <c:v>6114.6314700000003</c:v>
                </c:pt>
                <c:pt idx="668">
                  <c:v>6114.6314700000003</c:v>
                </c:pt>
                <c:pt idx="669">
                  <c:v>6114.6314700000003</c:v>
                </c:pt>
                <c:pt idx="670">
                  <c:v>6114.6314700000003</c:v>
                </c:pt>
                <c:pt idx="671">
                  <c:v>6129.58403</c:v>
                </c:pt>
                <c:pt idx="672">
                  <c:v>6144.1520399999999</c:v>
                </c:pt>
                <c:pt idx="673">
                  <c:v>6117.5207399999999</c:v>
                </c:pt>
                <c:pt idx="674">
                  <c:v>6013.1278599999996</c:v>
                </c:pt>
                <c:pt idx="675">
                  <c:v>6013.1278599999996</c:v>
                </c:pt>
                <c:pt idx="676">
                  <c:v>6013.1278599999996</c:v>
                </c:pt>
                <c:pt idx="677">
                  <c:v>5983.2468500000004</c:v>
                </c:pt>
                <c:pt idx="678">
                  <c:v>5955.2524299999995</c:v>
                </c:pt>
                <c:pt idx="679">
                  <c:v>5956.0586899999998</c:v>
                </c:pt>
                <c:pt idx="680">
                  <c:v>5861.5735800000002</c:v>
                </c:pt>
                <c:pt idx="681">
                  <c:v>5954.5048299999999</c:v>
                </c:pt>
                <c:pt idx="682">
                  <c:v>5954.5048299999999</c:v>
                </c:pt>
                <c:pt idx="683">
                  <c:v>5954.5048299999999</c:v>
                </c:pt>
                <c:pt idx="684">
                  <c:v>5849.7194200000004</c:v>
                </c:pt>
                <c:pt idx="685">
                  <c:v>5778.1491900000001</c:v>
                </c:pt>
                <c:pt idx="686">
                  <c:v>5842.6254900000004</c:v>
                </c:pt>
                <c:pt idx="687">
                  <c:v>5738.5187100000003</c:v>
                </c:pt>
                <c:pt idx="688">
                  <c:v>5770.1956099999998</c:v>
                </c:pt>
                <c:pt idx="689">
                  <c:v>5770.1956099999998</c:v>
                </c:pt>
                <c:pt idx="690">
                  <c:v>5770.1956099999998</c:v>
                </c:pt>
                <c:pt idx="691">
                  <c:v>5614.5635499999999</c:v>
                </c:pt>
                <c:pt idx="692">
                  <c:v>5572.0699199999999</c:v>
                </c:pt>
                <c:pt idx="693">
                  <c:v>5599.30026</c:v>
                </c:pt>
                <c:pt idx="694">
                  <c:v>5521.5192999999999</c:v>
                </c:pt>
                <c:pt idx="695">
                  <c:v>5638.9401699999999</c:v>
                </c:pt>
                <c:pt idx="696">
                  <c:v>5638.9401699999999</c:v>
                </c:pt>
                <c:pt idx="697">
                  <c:v>5638.9401699999999</c:v>
                </c:pt>
                <c:pt idx="698">
                  <c:v>5675.1173200000003</c:v>
                </c:pt>
                <c:pt idx="699">
                  <c:v>5614.66201</c:v>
                </c:pt>
                <c:pt idx="700">
                  <c:v>5675.2871699999996</c:v>
                </c:pt>
                <c:pt idx="701">
                  <c:v>5662.8905299999997</c:v>
                </c:pt>
                <c:pt idx="702">
                  <c:v>5667.5642699999999</c:v>
                </c:pt>
                <c:pt idx="703">
                  <c:v>5667.5642699999999</c:v>
                </c:pt>
                <c:pt idx="704">
                  <c:v>5667.5642699999999</c:v>
                </c:pt>
                <c:pt idx="705">
                  <c:v>5767.5671000000002</c:v>
                </c:pt>
                <c:pt idx="706">
                  <c:v>5776.6512899999998</c:v>
                </c:pt>
                <c:pt idx="707">
                  <c:v>5712.2034299999996</c:v>
                </c:pt>
                <c:pt idx="708">
                  <c:v>5693.3126499999998</c:v>
                </c:pt>
                <c:pt idx="709">
                  <c:v>5580.9435800000001</c:v>
                </c:pt>
                <c:pt idx="710">
                  <c:v>5580.9435800000001</c:v>
                </c:pt>
                <c:pt idx="711">
                  <c:v>5580.9435800000001</c:v>
                </c:pt>
                <c:pt idx="712">
                  <c:v>5611.8526099999999</c:v>
                </c:pt>
                <c:pt idx="713">
                  <c:v>5633.0696900000003</c:v>
                </c:pt>
                <c:pt idx="714">
                  <c:v>5670.9736199999998</c:v>
                </c:pt>
                <c:pt idx="715">
                  <c:v>5396.5168000000003</c:v>
                </c:pt>
                <c:pt idx="716">
                  <c:v>5074.0756300000003</c:v>
                </c:pt>
                <c:pt idx="717">
                  <c:v>5074.0756300000003</c:v>
                </c:pt>
                <c:pt idx="718">
                  <c:v>5074.0756300000003</c:v>
                </c:pt>
                <c:pt idx="719">
                  <c:v>5062.2455200000004</c:v>
                </c:pt>
                <c:pt idx="720">
                  <c:v>4982.7703099999999</c:v>
                </c:pt>
                <c:pt idx="721">
                  <c:v>5456.9006900000004</c:v>
                </c:pt>
                <c:pt idx="722">
                  <c:v>5268.0543799999996</c:v>
                </c:pt>
                <c:pt idx="723">
                  <c:v>5363.3594800000001</c:v>
                </c:pt>
                <c:pt idx="724">
                  <c:v>5363.3594800000001</c:v>
                </c:pt>
                <c:pt idx="725">
                  <c:v>5363.3594800000001</c:v>
                </c:pt>
                <c:pt idx="726">
                  <c:v>5405.9711900000002</c:v>
                </c:pt>
                <c:pt idx="727">
                  <c:v>5396.6346800000001</c:v>
                </c:pt>
                <c:pt idx="728">
                  <c:v>5275.7010600000003</c:v>
                </c:pt>
                <c:pt idx="729">
                  <c:v>5282.7010200000004</c:v>
                </c:pt>
                <c:pt idx="730">
                  <c:v>5282.7010200000004</c:v>
                </c:pt>
                <c:pt idx="731">
                  <c:v>5282.7010200000004</c:v>
                </c:pt>
                <c:pt idx="732">
                  <c:v>5282.7010200000004</c:v>
                </c:pt>
                <c:pt idx="733">
                  <c:v>5158.2026800000003</c:v>
                </c:pt>
                <c:pt idx="734">
                  <c:v>5287.7630099999997</c:v>
                </c:pt>
                <c:pt idx="735">
                  <c:v>5375.8638300000002</c:v>
                </c:pt>
                <c:pt idx="736">
                  <c:v>5484.7738099999997</c:v>
                </c:pt>
                <c:pt idx="737">
                  <c:v>5525.2051199999996</c:v>
                </c:pt>
                <c:pt idx="738">
                  <c:v>5525.2051199999996</c:v>
                </c:pt>
                <c:pt idx="739">
                  <c:v>5525.2051199999996</c:v>
                </c:pt>
                <c:pt idx="740">
                  <c:v>5528.7457400000003</c:v>
                </c:pt>
                <c:pt idx="741">
                  <c:v>5560.82701</c:v>
                </c:pt>
                <c:pt idx="742">
                  <c:v>5569.0646699999998</c:v>
                </c:pt>
                <c:pt idx="743">
                  <c:v>5604.1413300000004</c:v>
                </c:pt>
                <c:pt idx="744">
                  <c:v>5686.6748299999999</c:v>
                </c:pt>
                <c:pt idx="745">
                  <c:v>5686.6748299999999</c:v>
                </c:pt>
                <c:pt idx="746">
                  <c:v>5686.6748299999999</c:v>
                </c:pt>
                <c:pt idx="747">
                  <c:v>5650.3816699999998</c:v>
                </c:pt>
                <c:pt idx="748">
                  <c:v>5606.9067999999997</c:v>
                </c:pt>
                <c:pt idx="749">
                  <c:v>5631.28431</c:v>
                </c:pt>
                <c:pt idx="750">
                  <c:v>5663.9393099999998</c:v>
                </c:pt>
                <c:pt idx="751">
                  <c:v>5659.9122500000003</c:v>
                </c:pt>
                <c:pt idx="752">
                  <c:v>5659.9122500000003</c:v>
                </c:pt>
                <c:pt idx="753">
                  <c:v>5659.9122500000003</c:v>
                </c:pt>
                <c:pt idx="754">
                  <c:v>5844.1866900000005</c:v>
                </c:pt>
                <c:pt idx="755">
                  <c:v>5886.5528100000001</c:v>
                </c:pt>
                <c:pt idx="756">
                  <c:v>5892.5844900000002</c:v>
                </c:pt>
                <c:pt idx="757">
                  <c:v>5916.9260800000002</c:v>
                </c:pt>
                <c:pt idx="758">
                  <c:v>5958.3755300000003</c:v>
                </c:pt>
                <c:pt idx="759">
                  <c:v>5958.3755300000003</c:v>
                </c:pt>
                <c:pt idx="760">
                  <c:v>5958.3755300000003</c:v>
                </c:pt>
                <c:pt idx="761">
                  <c:v>5963.6043499999996</c:v>
                </c:pt>
                <c:pt idx="762">
                  <c:v>5940.4637499999999</c:v>
                </c:pt>
                <c:pt idx="763">
                  <c:v>5844.6121300000004</c:v>
                </c:pt>
                <c:pt idx="764">
                  <c:v>5842.0083100000002</c:v>
                </c:pt>
                <c:pt idx="765">
                  <c:v>5802.8150800000003</c:v>
                </c:pt>
                <c:pt idx="766">
                  <c:v>5802.8150800000003</c:v>
                </c:pt>
                <c:pt idx="767">
                  <c:v>5802.8150800000003</c:v>
                </c:pt>
                <c:pt idx="768">
                  <c:v>5802.8150800000003</c:v>
                </c:pt>
                <c:pt idx="769">
                  <c:v>5921.5403500000002</c:v>
                </c:pt>
                <c:pt idx="770">
                  <c:v>5888.5525799999996</c:v>
                </c:pt>
                <c:pt idx="771">
                  <c:v>5912.1727199999996</c:v>
                </c:pt>
                <c:pt idx="772">
                  <c:v>5911.6867199999997</c:v>
                </c:pt>
                <c:pt idx="773">
                  <c:v>5911.6867199999997</c:v>
                </c:pt>
                <c:pt idx="774">
                  <c:v>5911.6867199999997</c:v>
                </c:pt>
                <c:pt idx="775">
                  <c:v>5935.9409599999999</c:v>
                </c:pt>
                <c:pt idx="776">
                  <c:v>5970.3682399999998</c:v>
                </c:pt>
                <c:pt idx="777">
                  <c:v>5970.8132400000004</c:v>
                </c:pt>
                <c:pt idx="778">
                  <c:v>5939.30332</c:v>
                </c:pt>
                <c:pt idx="779">
                  <c:v>6000.3551299999999</c:v>
                </c:pt>
                <c:pt idx="780">
                  <c:v>6000.3551299999999</c:v>
                </c:pt>
                <c:pt idx="781">
                  <c:v>6000.3551299999999</c:v>
                </c:pt>
                <c:pt idx="782">
                  <c:v>6005.88346</c:v>
                </c:pt>
                <c:pt idx="783">
                  <c:v>6038.8057900000003</c:v>
                </c:pt>
                <c:pt idx="784">
                  <c:v>6022.2412100000001</c:v>
                </c:pt>
                <c:pt idx="785">
                  <c:v>6045.2556699999996</c:v>
                </c:pt>
                <c:pt idx="786">
                  <c:v>5976.96587</c:v>
                </c:pt>
                <c:pt idx="787">
                  <c:v>5976.96587</c:v>
                </c:pt>
                <c:pt idx="788">
                  <c:v>5976.96587</c:v>
                </c:pt>
                <c:pt idx="789">
                  <c:v>6033.1062899999997</c:v>
                </c:pt>
                <c:pt idx="790">
                  <c:v>5982.7169899999999</c:v>
                </c:pt>
                <c:pt idx="791">
                  <c:v>5980.8654999999999</c:v>
                </c:pt>
                <c:pt idx="792">
                  <c:v>5980.8654999999999</c:v>
                </c:pt>
                <c:pt idx="793">
                  <c:v>5967.8395</c:v>
                </c:pt>
                <c:pt idx="794">
                  <c:v>5967.8395</c:v>
                </c:pt>
                <c:pt idx="795">
                  <c:v>5967.8395</c:v>
                </c:pt>
                <c:pt idx="796">
                  <c:v>6025.1740399999999</c:v>
                </c:pt>
                <c:pt idx="797">
                  <c:v>6092.1810500000001</c:v>
                </c:pt>
                <c:pt idx="798">
                  <c:v>6092.1613699999998</c:v>
                </c:pt>
                <c:pt idx="799">
                  <c:v>6141.0192800000004</c:v>
                </c:pt>
                <c:pt idx="800">
                  <c:v>6173.0735699999996</c:v>
                </c:pt>
                <c:pt idx="801">
                  <c:v>6173.0735699999996</c:v>
                </c:pt>
                <c:pt idx="802">
                  <c:v>6173.0735699999996</c:v>
                </c:pt>
                <c:pt idx="803">
                  <c:v>6204.9539500000001</c:v>
                </c:pt>
                <c:pt idx="804">
                  <c:v>6198.00695</c:v>
                </c:pt>
                <c:pt idx="805">
                  <c:v>6227.4196899999997</c:v>
                </c:pt>
                <c:pt idx="806">
                  <c:v>6279.3509700000004</c:v>
                </c:pt>
                <c:pt idx="807">
                  <c:v>6279.3509700000004</c:v>
                </c:pt>
                <c:pt idx="808">
                  <c:v>6279.3509700000004</c:v>
                </c:pt>
                <c:pt idx="809">
                  <c:v>6279.3509700000004</c:v>
                </c:pt>
                <c:pt idx="810">
                  <c:v>6229.9774600000001</c:v>
                </c:pt>
                <c:pt idx="811">
                  <c:v>6225.5234099999998</c:v>
                </c:pt>
                <c:pt idx="812">
                  <c:v>6263.2643799999996</c:v>
                </c:pt>
                <c:pt idx="813">
                  <c:v>6280.4583000000002</c:v>
                </c:pt>
                <c:pt idx="814">
                  <c:v>6259.7464399999999</c:v>
                </c:pt>
                <c:pt idx="815">
                  <c:v>6259.7464399999999</c:v>
                </c:pt>
                <c:pt idx="816">
                  <c:v>6259.7464399999999</c:v>
                </c:pt>
                <c:pt idx="817">
                  <c:v>6268.5590099999999</c:v>
                </c:pt>
                <c:pt idx="818">
                  <c:v>6243.7557100000004</c:v>
                </c:pt>
                <c:pt idx="819">
                  <c:v>6263.69524</c:v>
                </c:pt>
                <c:pt idx="820">
                  <c:v>6297.3619099999996</c:v>
                </c:pt>
                <c:pt idx="821">
                  <c:v>6296.7890399999997</c:v>
                </c:pt>
                <c:pt idx="822">
                  <c:v>6296.7890399999997</c:v>
                </c:pt>
                <c:pt idx="823">
                  <c:v>6296.7890399999997</c:v>
                </c:pt>
                <c:pt idx="824">
                  <c:v>6305.5951800000003</c:v>
                </c:pt>
                <c:pt idx="825">
                  <c:v>6309.6236799999997</c:v>
                </c:pt>
                <c:pt idx="826">
                  <c:v>6358.9137899999996</c:v>
                </c:pt>
                <c:pt idx="827">
                  <c:v>6363.3492999999999</c:v>
                </c:pt>
                <c:pt idx="828">
                  <c:v>6388.6445000000003</c:v>
                </c:pt>
                <c:pt idx="829">
                  <c:v>6388.6445000000003</c:v>
                </c:pt>
                <c:pt idx="830">
                  <c:v>6388.6445000000003</c:v>
                </c:pt>
                <c:pt idx="831">
                  <c:v>6389.7664800000002</c:v>
                </c:pt>
                <c:pt idx="832">
                  <c:v>6370.8612999999996</c:v>
                </c:pt>
                <c:pt idx="833">
                  <c:v>6362.89876</c:v>
                </c:pt>
                <c:pt idx="834">
                  <c:v>6339.3945700000004</c:v>
                </c:pt>
                <c:pt idx="835">
                  <c:v>6238.0065699999996</c:v>
                </c:pt>
                <c:pt idx="836">
                  <c:v>6238.0065699999996</c:v>
                </c:pt>
                <c:pt idx="837">
                  <c:v>6238.0065699999996</c:v>
                </c:pt>
                <c:pt idx="838">
                  <c:v>6329.9395000000004</c:v>
                </c:pt>
                <c:pt idx="839">
                  <c:v>6299.1939499999999</c:v>
                </c:pt>
                <c:pt idx="840">
                  <c:v>6345.0595400000002</c:v>
                </c:pt>
                <c:pt idx="841">
                  <c:v>6339.99773</c:v>
                </c:pt>
                <c:pt idx="842">
                  <c:v>6389.4453100000001</c:v>
                </c:pt>
                <c:pt idx="843">
                  <c:v>6389.4453100000001</c:v>
                </c:pt>
                <c:pt idx="844">
                  <c:v>6389.4453100000001</c:v>
                </c:pt>
                <c:pt idx="845">
                  <c:v>6373.4533700000002</c:v>
                </c:pt>
                <c:pt idx="846">
                  <c:v>6445.7622000000001</c:v>
                </c:pt>
                <c:pt idx="847">
                  <c:v>6466.5846899999997</c:v>
                </c:pt>
                <c:pt idx="848">
                  <c:v>6468.5351899999996</c:v>
                </c:pt>
                <c:pt idx="849">
                  <c:v>6449.7965800000002</c:v>
                </c:pt>
                <c:pt idx="850">
                  <c:v>6449.7965800000002</c:v>
                </c:pt>
                <c:pt idx="851">
                  <c:v>6449.7965800000002</c:v>
                </c:pt>
                <c:pt idx="852">
                  <c:v>6449.1491500000002</c:v>
                </c:pt>
                <c:pt idx="853">
                  <c:v>6411.3745900000004</c:v>
                </c:pt>
                <c:pt idx="854">
                  <c:v>6395.7811899999997</c:v>
                </c:pt>
                <c:pt idx="855">
                  <c:v>6370.1726699999999</c:v>
                </c:pt>
                <c:pt idx="856">
                  <c:v>6466.9129700000003</c:v>
                </c:pt>
                <c:pt idx="857">
                  <c:v>6466.9129700000003</c:v>
                </c:pt>
                <c:pt idx="858">
                  <c:v>6466.9129700000003</c:v>
                </c:pt>
                <c:pt idx="859">
                  <c:v>6439.31988</c:v>
                </c:pt>
                <c:pt idx="860">
                  <c:v>6465.9352799999997</c:v>
                </c:pt>
                <c:pt idx="861">
                  <c:v>6481.40319</c:v>
                </c:pt>
                <c:pt idx="862">
                  <c:v>6501.8594199999998</c:v>
                </c:pt>
                <c:pt idx="863">
                  <c:v>6460.2626700000001</c:v>
                </c:pt>
                <c:pt idx="864">
                  <c:v>6460.2626700000001</c:v>
                </c:pt>
                <c:pt idx="865">
                  <c:v>6460.2626700000001</c:v>
                </c:pt>
                <c:pt idx="866">
                  <c:v>6460.2626700000001</c:v>
                </c:pt>
                <c:pt idx="867">
                  <c:v>6415.5413399999998</c:v>
                </c:pt>
                <c:pt idx="868">
                  <c:v>6448.2608499999997</c:v>
                </c:pt>
                <c:pt idx="869">
                  <c:v>6502.0829199999998</c:v>
                </c:pt>
                <c:pt idx="870">
                  <c:v>6481.4955300000001</c:v>
                </c:pt>
                <c:pt idx="871">
                  <c:v>6481.4955300000001</c:v>
                </c:pt>
                <c:pt idx="872">
                  <c:v>6481.4955300000001</c:v>
                </c:pt>
                <c:pt idx="873">
                  <c:v>6495.1548300000004</c:v>
                </c:pt>
                <c:pt idx="874">
                  <c:v>6512.6107499999998</c:v>
                </c:pt>
                <c:pt idx="875">
                  <c:v>6532.0433400000002</c:v>
                </c:pt>
                <c:pt idx="876">
                  <c:v>6587.4708700000001</c:v>
                </c:pt>
                <c:pt idx="877">
                  <c:v>6584.2850200000003</c:v>
                </c:pt>
                <c:pt idx="878">
                  <c:v>6584.2850200000003</c:v>
                </c:pt>
                <c:pt idx="879">
                  <c:v>6584.2850200000003</c:v>
                </c:pt>
                <c:pt idx="880">
                  <c:v>6615.2767599999997</c:v>
                </c:pt>
                <c:pt idx="881">
                  <c:v>6606.75594</c:v>
                </c:pt>
                <c:pt idx="882">
                  <c:v>6600.3470900000002</c:v>
                </c:pt>
                <c:pt idx="883">
                  <c:v>6631.9628899999998</c:v>
                </c:pt>
                <c:pt idx="884">
                  <c:v>6664.3648000000003</c:v>
                </c:pt>
                <c:pt idx="885">
                  <c:v>6664.3648000000003</c:v>
                </c:pt>
                <c:pt idx="886">
                  <c:v>6664.3648000000003</c:v>
                </c:pt>
                <c:pt idx="887">
                  <c:v>6693.7533400000002</c:v>
                </c:pt>
                <c:pt idx="888">
                  <c:v>6656.9198800000004</c:v>
                </c:pt>
                <c:pt idx="889">
                  <c:v>6637.9736700000003</c:v>
                </c:pt>
                <c:pt idx="890">
                  <c:v>6604.7172399999999</c:v>
                </c:pt>
                <c:pt idx="891">
                  <c:v>6643.6975400000001</c:v>
                </c:pt>
                <c:pt idx="892">
                  <c:v>6643.6975400000001</c:v>
                </c:pt>
                <c:pt idx="893">
                  <c:v>6643.6975400000001</c:v>
                </c:pt>
                <c:pt idx="894">
                  <c:v>6661.2073300000002</c:v>
                </c:pt>
                <c:pt idx="895">
                  <c:v>6688.4590399999997</c:v>
                </c:pt>
                <c:pt idx="896">
                  <c:v>6711.2039100000002</c:v>
                </c:pt>
                <c:pt idx="897">
                  <c:v>6715.3463000000002</c:v>
                </c:pt>
                <c:pt idx="898">
                  <c:v>6715.7892599999996</c:v>
                </c:pt>
                <c:pt idx="899">
                  <c:v>6715.7892599999996</c:v>
                </c:pt>
                <c:pt idx="900">
                  <c:v>6715.7892599999996</c:v>
                </c:pt>
                <c:pt idx="901">
                  <c:v>6740.2813599999999</c:v>
                </c:pt>
                <c:pt idx="902">
                  <c:v>6714.5879199999999</c:v>
                </c:pt>
                <c:pt idx="903">
                  <c:v>6753.7170699999997</c:v>
                </c:pt>
                <c:pt idx="904">
                  <c:v>6735.1107899999997</c:v>
                </c:pt>
                <c:pt idx="905">
                  <c:v>6552.51325</c:v>
                </c:pt>
                <c:pt idx="906">
                  <c:v>6552.51325</c:v>
                </c:pt>
                <c:pt idx="907">
                  <c:v>6552.51325</c:v>
                </c:pt>
                <c:pt idx="908">
                  <c:v>6654.7190899999996</c:v>
                </c:pt>
                <c:pt idx="909">
                  <c:v>6644.3083999999999</c:v>
                </c:pt>
                <c:pt idx="910">
                  <c:v>6671.0582800000002</c:v>
                </c:pt>
                <c:pt idx="911">
                  <c:v>6629.0742300000002</c:v>
                </c:pt>
                <c:pt idx="912">
                  <c:v>6664.01098</c:v>
                </c:pt>
                <c:pt idx="913">
                  <c:v>6664.01098</c:v>
                </c:pt>
                <c:pt idx="914">
                  <c:v>6664.01098</c:v>
                </c:pt>
                <c:pt idx="915">
                  <c:v>6735.1265100000001</c:v>
                </c:pt>
                <c:pt idx="916">
                  <c:v>6735.3514999999998</c:v>
                </c:pt>
                <c:pt idx="917">
                  <c:v>6699.4023999999999</c:v>
                </c:pt>
                <c:pt idx="918">
                  <c:v>6738.4377100000002</c:v>
                </c:pt>
                <c:pt idx="919">
                  <c:v>6791.6938099999998</c:v>
                </c:pt>
                <c:pt idx="920">
                  <c:v>6791.6938099999998</c:v>
                </c:pt>
                <c:pt idx="921">
                  <c:v>6791.6938099999998</c:v>
                </c:pt>
                <c:pt idx="922">
                  <c:v>6875.1568900000002</c:v>
                </c:pt>
                <c:pt idx="923">
                  <c:v>6890.8883699999997</c:v>
                </c:pt>
                <c:pt idx="924">
                  <c:v>6890.5870500000001</c:v>
                </c:pt>
                <c:pt idx="925">
                  <c:v>6822.34033</c:v>
                </c:pt>
                <c:pt idx="926">
                  <c:v>6840.1987399999998</c:v>
                </c:pt>
                <c:pt idx="927">
                  <c:v>6840.1987399999998</c:v>
                </c:pt>
                <c:pt idx="928">
                  <c:v>6840.1987399999998</c:v>
                </c:pt>
                <c:pt idx="929">
                  <c:v>6851.96666</c:v>
                </c:pt>
                <c:pt idx="930">
                  <c:v>6771.5474899999999</c:v>
                </c:pt>
                <c:pt idx="931">
                  <c:v>6796.2894299999998</c:v>
                </c:pt>
                <c:pt idx="932">
                  <c:v>6720.3201499999996</c:v>
                </c:pt>
                <c:pt idx="933">
                  <c:v>6728.8011100000003</c:v>
                </c:pt>
                <c:pt idx="934">
                  <c:v>6728.8011100000003</c:v>
                </c:pt>
                <c:pt idx="935">
                  <c:v>6728.8011100000003</c:v>
                </c:pt>
                <c:pt idx="936">
                  <c:v>6832.4301599999999</c:v>
                </c:pt>
                <c:pt idx="937">
                  <c:v>6846.6142300000001</c:v>
                </c:pt>
                <c:pt idx="938">
                  <c:v>6850.9164799999999</c:v>
                </c:pt>
                <c:pt idx="939">
                  <c:v>6737.4887200000003</c:v>
                </c:pt>
                <c:pt idx="940">
                  <c:v>6734.11067</c:v>
                </c:pt>
                <c:pt idx="941">
                  <c:v>6734.11067</c:v>
                </c:pt>
                <c:pt idx="942">
                  <c:v>6734.11067</c:v>
                </c:pt>
                <c:pt idx="943">
                  <c:v>6672.4116299999996</c:v>
                </c:pt>
                <c:pt idx="944">
                  <c:v>6617.32006</c:v>
                </c:pt>
                <c:pt idx="945">
                  <c:v>6642.1585100000002</c:v>
                </c:pt>
                <c:pt idx="946">
                  <c:v>6538.7626700000001</c:v>
                </c:pt>
                <c:pt idx="947">
                  <c:v>6602.9863299999997</c:v>
                </c:pt>
                <c:pt idx="948">
                  <c:v>6602.9863299999997</c:v>
                </c:pt>
                <c:pt idx="949">
                  <c:v>6602.9863299999997</c:v>
                </c:pt>
                <c:pt idx="950">
                  <c:v>6705.1170899999997</c:v>
                </c:pt>
                <c:pt idx="951">
                  <c:v>6765.8759700000001</c:v>
                </c:pt>
                <c:pt idx="952">
                  <c:v>6812.6130899999998</c:v>
                </c:pt>
                <c:pt idx="953">
                  <c:v>6812.6130899999998</c:v>
                </c:pt>
                <c:pt idx="954">
                  <c:v>6849.0873700000002</c:v>
                </c:pt>
                <c:pt idx="955">
                  <c:v>6849.0873700000002</c:v>
                </c:pt>
                <c:pt idx="956">
                  <c:v>6849.0873700000002</c:v>
                </c:pt>
                <c:pt idx="957">
                  <c:v>6812.6258500000004</c:v>
                </c:pt>
                <c:pt idx="958">
                  <c:v>6829.3705799999998</c:v>
                </c:pt>
                <c:pt idx="959">
                  <c:v>6849.7227199999998</c:v>
                </c:pt>
                <c:pt idx="960">
                  <c:v>6857.1196900000004</c:v>
                </c:pt>
                <c:pt idx="961">
                  <c:v>6870.4042099999997</c:v>
                </c:pt>
                <c:pt idx="962">
                  <c:v>6870.4042099999997</c:v>
                </c:pt>
                <c:pt idx="963">
                  <c:v>6870.4042099999997</c:v>
                </c:pt>
                <c:pt idx="964">
                  <c:v>6846.5061699999997</c:v>
                </c:pt>
                <c:pt idx="965">
                  <c:v>6840.5096199999998</c:v>
                </c:pt>
                <c:pt idx="966">
                  <c:v>6886.6829900000002</c:v>
                </c:pt>
                <c:pt idx="967">
                  <c:v>6900.9951899999996</c:v>
                </c:pt>
                <c:pt idx="968">
                  <c:v>6827.4064600000002</c:v>
                </c:pt>
                <c:pt idx="969">
                  <c:v>6827.4064600000002</c:v>
                </c:pt>
                <c:pt idx="970">
                  <c:v>6827.4064600000002</c:v>
                </c:pt>
                <c:pt idx="971">
                  <c:v>6816.5083000000004</c:v>
                </c:pt>
                <c:pt idx="972">
                  <c:v>6800.2572200000004</c:v>
                </c:pt>
                <c:pt idx="973">
                  <c:v>6721.4295499999998</c:v>
                </c:pt>
                <c:pt idx="974">
                  <c:v>6774.7575699999998</c:v>
                </c:pt>
                <c:pt idx="975">
                  <c:v>6834.4961899999998</c:v>
                </c:pt>
                <c:pt idx="976">
                  <c:v>6834.4961899999998</c:v>
                </c:pt>
                <c:pt idx="977">
                  <c:v>6834.4961899999998</c:v>
                </c:pt>
                <c:pt idx="978">
                  <c:v>6878.4894800000002</c:v>
                </c:pt>
                <c:pt idx="979">
                  <c:v>6909.7920700000004</c:v>
                </c:pt>
                <c:pt idx="980">
                  <c:v>6932.04918</c:v>
                </c:pt>
                <c:pt idx="981">
                  <c:v>6932.04918</c:v>
                </c:pt>
                <c:pt idx="982">
                  <c:v>6929.9361200000003</c:v>
                </c:pt>
                <c:pt idx="983">
                  <c:v>6929.9361200000003</c:v>
                </c:pt>
                <c:pt idx="984">
                  <c:v>6929.9361200000003</c:v>
                </c:pt>
                <c:pt idx="985">
                  <c:v>6905.7440500000002</c:v>
                </c:pt>
                <c:pt idx="986">
                  <c:v>6896.2417400000004</c:v>
                </c:pt>
                <c:pt idx="987">
                  <c:v>6845.5047100000002</c:v>
                </c:pt>
                <c:pt idx="988">
                  <c:v>6845.5047100000002</c:v>
                </c:pt>
                <c:pt idx="989">
                  <c:v>6858.4723100000001</c:v>
                </c:pt>
                <c:pt idx="990">
                  <c:v>6858.4723100000001</c:v>
                </c:pt>
                <c:pt idx="991">
                  <c:v>6858.4723100000001</c:v>
                </c:pt>
                <c:pt idx="992">
                  <c:v>6902.0508499999996</c:v>
                </c:pt>
                <c:pt idx="993">
                  <c:v>6944.8192200000003</c:v>
                </c:pt>
                <c:pt idx="994">
                  <c:v>6920.9292599999999</c:v>
                </c:pt>
                <c:pt idx="995">
                  <c:v>6921.4570899999999</c:v>
                </c:pt>
                <c:pt idx="996">
                  <c:v>6966.2839199999999</c:v>
                </c:pt>
                <c:pt idx="997">
                  <c:v>6966.2839199999999</c:v>
                </c:pt>
                <c:pt idx="998">
                  <c:v>6966.2839199999999</c:v>
                </c:pt>
                <c:pt idx="999">
                  <c:v>6977.2650299999996</c:v>
                </c:pt>
                <c:pt idx="1000">
                  <c:v>6963.7350999999999</c:v>
                </c:pt>
                <c:pt idx="1001">
                  <c:v>6926.5961500000003</c:v>
                </c:pt>
                <c:pt idx="1002">
                  <c:v>6944.4718800000001</c:v>
                </c:pt>
                <c:pt idx="1003">
                  <c:v>6940.0095099999999</c:v>
                </c:pt>
                <c:pt idx="1004">
                  <c:v>6940.0095099999999</c:v>
                </c:pt>
                <c:pt idx="1005">
                  <c:v>6940.0095099999999</c:v>
                </c:pt>
                <c:pt idx="1006">
                  <c:v>6940.0095099999999</c:v>
                </c:pt>
                <c:pt idx="1007">
                  <c:v>6796.8608100000001</c:v>
                </c:pt>
                <c:pt idx="1008">
                  <c:v>6875.6152700000002</c:v>
                </c:pt>
                <c:pt idx="1009">
                  <c:v>6913.3520399999998</c:v>
                </c:pt>
                <c:pt idx="1010">
                  <c:v>6915.6106499999996</c:v>
                </c:pt>
                <c:pt idx="1011">
                  <c:v>6915.6106499999996</c:v>
                </c:pt>
                <c:pt idx="1012">
                  <c:v>6915.6106499999996</c:v>
                </c:pt>
                <c:pt idx="1013">
                  <c:v>6950.2322000000004</c:v>
                </c:pt>
                <c:pt idx="1014">
                  <c:v>6978.5969299999997</c:v>
                </c:pt>
                <c:pt idx="1015">
                  <c:v>6978.0293899999997</c:v>
                </c:pt>
                <c:pt idx="1016">
                  <c:v>6969.0068899999997</c:v>
                </c:pt>
                <c:pt idx="1017">
                  <c:v>6939.02952</c:v>
                </c:pt>
                <c:pt idx="1018">
                  <c:v>6939.02952</c:v>
                </c:pt>
                <c:pt idx="1019">
                  <c:v>6939.02952</c:v>
                </c:pt>
                <c:pt idx="1020">
                  <c:v>6976.4441800000004</c:v>
                </c:pt>
                <c:pt idx="1021">
                  <c:v>6917.8117000000002</c:v>
                </c:pt>
                <c:pt idx="1022">
                  <c:v>6882.7211100000004</c:v>
                </c:pt>
                <c:pt idx="1023">
                  <c:v>6798.39948</c:v>
                </c:pt>
                <c:pt idx="1024">
                  <c:v>6932.2976699999999</c:v>
                </c:pt>
                <c:pt idx="1025">
                  <c:v>6932.2976699999999</c:v>
                </c:pt>
                <c:pt idx="1026">
                  <c:v>6932.2976699999999</c:v>
                </c:pt>
                <c:pt idx="1027">
                  <c:v>6964.8198499999999</c:v>
                </c:pt>
                <c:pt idx="1028">
                  <c:v>6941.8125099999997</c:v>
                </c:pt>
                <c:pt idx="1029">
                  <c:v>6941.4710100000002</c:v>
                </c:pt>
                <c:pt idx="1030">
                  <c:v>6832.7614700000004</c:v>
                </c:pt>
                <c:pt idx="1031">
                  <c:v>6836.17209</c:v>
                </c:pt>
                <c:pt idx="1032">
                  <c:v>6836.17209</c:v>
                </c:pt>
                <c:pt idx="1033">
                  <c:v>6836.17209</c:v>
                </c:pt>
                <c:pt idx="1034">
                  <c:v>6836.17209</c:v>
                </c:pt>
                <c:pt idx="1035">
                  <c:v>6843.2232599999998</c:v>
                </c:pt>
                <c:pt idx="1036">
                  <c:v>6881.3145599999998</c:v>
                </c:pt>
                <c:pt idx="1037">
                  <c:v>6861.8937400000004</c:v>
                </c:pt>
                <c:pt idx="1038">
                  <c:v>6909.5066200000001</c:v>
                </c:pt>
                <c:pt idx="1039">
                  <c:v>6909.5066200000001</c:v>
                </c:pt>
                <c:pt idx="1040">
                  <c:v>6909.5066200000001</c:v>
                </c:pt>
                <c:pt idx="1041">
                  <c:v>6837.7545200000004</c:v>
                </c:pt>
                <c:pt idx="1042">
                  <c:v>6890.0723099999996</c:v>
                </c:pt>
                <c:pt idx="1043">
                  <c:v>6946.1266900000001</c:v>
                </c:pt>
                <c:pt idx="1044">
                  <c:v>6908.8646799999997</c:v>
                </c:pt>
                <c:pt idx="1045">
                  <c:v>6878.8784999999998</c:v>
                </c:pt>
                <c:pt idx="1046">
                  <c:v>6878.8784999999998</c:v>
                </c:pt>
                <c:pt idx="1047">
                  <c:v>6878.8784999999998</c:v>
                </c:pt>
                <c:pt idx="1048">
                  <c:v>6881.6200799999997</c:v>
                </c:pt>
                <c:pt idx="1049">
                  <c:v>6816.6270299999996</c:v>
                </c:pt>
                <c:pt idx="1050">
                  <c:v>6869.5024400000002</c:v>
                </c:pt>
                <c:pt idx="1051">
                  <c:v>6830.7080699999997</c:v>
                </c:pt>
                <c:pt idx="1052">
                  <c:v>6740.0234300000002</c:v>
                </c:pt>
                <c:pt idx="1053">
                  <c:v>6740.0234300000002</c:v>
                </c:pt>
                <c:pt idx="1054">
                  <c:v>6740.0234300000002</c:v>
                </c:pt>
                <c:pt idx="1055">
                  <c:v>6795.9918699999998</c:v>
                </c:pt>
                <c:pt idx="1056">
                  <c:v>6781.4819299999999</c:v>
                </c:pt>
                <c:pt idx="1057">
                  <c:v>6775.8043200000002</c:v>
                </c:pt>
                <c:pt idx="1058">
                  <c:v>6672.6180400000003</c:v>
                </c:pt>
                <c:pt idx="1059">
                  <c:v>6632.1915300000001</c:v>
                </c:pt>
                <c:pt idx="1060">
                  <c:v>6632.1915300000001</c:v>
                </c:pt>
                <c:pt idx="1061">
                  <c:v>6632.1915300000001</c:v>
                </c:pt>
                <c:pt idx="1062">
                  <c:v>6699.3833299999997</c:v>
                </c:pt>
                <c:pt idx="1063">
                  <c:v>6716.0925100000004</c:v>
                </c:pt>
                <c:pt idx="1064">
                  <c:v>6624.6951600000002</c:v>
                </c:pt>
                <c:pt idx="1065">
                  <c:v>6606.4945399999997</c:v>
                </c:pt>
                <c:pt idx="1066">
                  <c:v>6506.4789099999998</c:v>
                </c:pt>
                <c:pt idx="1067">
                  <c:v>6506.4789099999998</c:v>
                </c:pt>
                <c:pt idx="1068">
                  <c:v>6506.4789099999998</c:v>
                </c:pt>
                <c:pt idx="1069">
                  <c:v>6581.0002100000002</c:v>
                </c:pt>
                <c:pt idx="1070">
                  <c:v>6556.3711400000002</c:v>
                </c:pt>
                <c:pt idx="1071">
                  <c:v>6591.9005900000002</c:v>
                </c:pt>
                <c:pt idx="1072">
                  <c:v>6477.1646300000002</c:v>
                </c:pt>
                <c:pt idx="1073">
                  <c:v>6368.8530700000001</c:v>
                </c:pt>
                <c:pt idx="1074">
                  <c:v>6368.8530700000001</c:v>
                </c:pt>
                <c:pt idx="1075">
                  <c:v>6368.8530700000001</c:v>
                </c:pt>
                <c:pt idx="1076">
                  <c:v>6343.7248300000001</c:v>
                </c:pt>
                <c:pt idx="1077">
                  <c:v>6528.5173800000002</c:v>
                </c:pt>
                <c:pt idx="1078">
                  <c:v>6575.3159299999998</c:v>
                </c:pt>
                <c:pt idx="1079">
                  <c:v>6582.6867599999996</c:v>
                </c:pt>
                <c:pt idx="1080">
                  <c:v>6582.6867599999996</c:v>
                </c:pt>
                <c:pt idx="1081">
                  <c:v>6582.6867599999996</c:v>
                </c:pt>
                <c:pt idx="1082">
                  <c:v>6582.6867599999996</c:v>
                </c:pt>
                <c:pt idx="1083">
                  <c:v>6611.8304099999996</c:v>
                </c:pt>
                <c:pt idx="1084">
                  <c:v>6616.8508300000003</c:v>
                </c:pt>
                <c:pt idx="1085">
                  <c:v>6782.81167</c:v>
                </c:pt>
                <c:pt idx="1086">
                  <c:v>6824.6572699999997</c:v>
                </c:pt>
                <c:pt idx="1087">
                  <c:v>6816.89192</c:v>
                </c:pt>
                <c:pt idx="1088">
                  <c:v>6816.89192</c:v>
                </c:pt>
                <c:pt idx="1089">
                  <c:v>6816.89192</c:v>
                </c:pt>
                <c:pt idx="1090">
                  <c:v>6886.2352300000002</c:v>
                </c:pt>
                <c:pt idx="1091">
                  <c:v>6967.3786899999996</c:v>
                </c:pt>
                <c:pt idx="1092">
                  <c:v>7022.9523300000001</c:v>
                </c:pt>
                <c:pt idx="1093">
                  <c:v>7041.2766899999997</c:v>
                </c:pt>
                <c:pt idx="1094">
                  <c:v>7041.2766899999997</c:v>
                </c:pt>
              </c:numCache>
            </c:numRef>
          </c:val>
          <c:smooth val="0"/>
          <c:extLst>
            <c:ext xmlns:c16="http://schemas.microsoft.com/office/drawing/2014/chart" uri="{C3380CC4-5D6E-409C-BE32-E72D297353CC}">
              <c16:uniqueId val="{00000001-C6BC-4F92-9E02-9776B503C40E}"/>
            </c:ext>
          </c:extLst>
        </c:ser>
        <c:dLbls>
          <c:showLegendKey val="0"/>
          <c:showVal val="0"/>
          <c:showCatName val="0"/>
          <c:showSerName val="0"/>
          <c:showPercent val="0"/>
          <c:showBubbleSize val="0"/>
        </c:dLbls>
        <c:marker val="1"/>
        <c:smooth val="0"/>
        <c:axId val="2085424671"/>
        <c:axId val="2060063199"/>
      </c:lineChart>
      <c:dateAx>
        <c:axId val="2085423231"/>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71215679"/>
        <c:crosses val="autoZero"/>
        <c:auto val="0"/>
        <c:lblOffset val="100"/>
        <c:baseTimeUnit val="days"/>
      </c:dateAx>
      <c:valAx>
        <c:axId val="20712156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C00000"/>
                </a:solidFill>
                <a:latin typeface="+mn-lt"/>
                <a:ea typeface="+mn-ea"/>
                <a:cs typeface="+mn-cs"/>
              </a:defRPr>
            </a:pPr>
            <a:endParaRPr lang="en-US"/>
          </a:p>
        </c:txPr>
        <c:crossAx val="2085423231"/>
        <c:crosses val="autoZero"/>
        <c:crossBetween val="midCat"/>
      </c:valAx>
      <c:valAx>
        <c:axId val="206006319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lumMod val="50000"/>
                  </a:schemeClr>
                </a:solidFill>
                <a:latin typeface="+mn-lt"/>
                <a:ea typeface="+mn-ea"/>
                <a:cs typeface="+mn-cs"/>
              </a:defRPr>
            </a:pPr>
            <a:endParaRPr lang="en-US"/>
          </a:p>
        </c:txPr>
        <c:crossAx val="2085424671"/>
        <c:crosses val="max"/>
        <c:crossBetween val="between"/>
      </c:valAx>
      <c:dateAx>
        <c:axId val="2085424671"/>
        <c:scaling>
          <c:orientation val="minMax"/>
        </c:scaling>
        <c:delete val="1"/>
        <c:axPos val="b"/>
        <c:numFmt formatCode="dd/mm/yy;@" sourceLinked="1"/>
        <c:majorTickMark val="out"/>
        <c:minorTickMark val="none"/>
        <c:tickLblPos val="nextTo"/>
        <c:crossAx val="2060063199"/>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a:solidFill>
                  <a:sysClr val="windowText" lastClr="000000"/>
                </a:solidFill>
              </a:rPr>
              <a:t>Verhältnis von Unternehmenswert zu EBIT</a:t>
            </a:r>
          </a:p>
        </c:rich>
      </c:tx>
      <c:overlay val="0"/>
      <c:spPr>
        <a:solidFill>
          <a:schemeClr val="bg1">
            <a:lumMod val="95000"/>
          </a:schemeClr>
        </a:solid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1300939320004256E-2"/>
          <c:y val="0.14344925634295713"/>
          <c:w val="0.92545359034359531"/>
          <c:h val="0.39767351997666961"/>
        </c:manualLayout>
      </c:layout>
      <c:barChart>
        <c:barDir val="col"/>
        <c:grouping val="clustered"/>
        <c:varyColors val="0"/>
        <c:ser>
          <c:idx val="0"/>
          <c:order val="0"/>
          <c:tx>
            <c:strRef>
              <c:f>'Report F6'!$R$10</c:f>
              <c:strCache>
                <c:ptCount val="1"/>
                <c:pt idx="0">
                  <c:v>LTM</c:v>
                </c:pt>
              </c:strCache>
            </c:strRef>
          </c:tx>
          <c:spPr>
            <a:solidFill>
              <a:schemeClr val="accent1">
                <a:lumMod val="40000"/>
                <a:lumOff val="60000"/>
              </a:schemeClr>
            </a:solidFill>
            <a:ln>
              <a:noFill/>
            </a:ln>
            <a:effectLst/>
          </c:spPr>
          <c:invertIfNegative val="0"/>
          <c:cat>
            <c:strRef>
              <c:f>'Report F6'!$S$8:$AC$8</c:f>
              <c:strCache>
                <c:ptCount val="11"/>
                <c:pt idx="0">
                  <c:v>Meta Platforms, Inc.</c:v>
                </c:pt>
                <c:pt idx="1">
                  <c:v>Alphabet Inc.</c:v>
                </c:pt>
                <c:pt idx="2">
                  <c:v>Reddit, Inc.</c:v>
                </c:pt>
                <c:pt idx="3">
                  <c:v>Bumble Inc.</c:v>
                </c:pt>
                <c:pt idx="4">
                  <c:v>Tencent Holdings</c:v>
                </c:pt>
                <c:pt idx="5">
                  <c:v>Amazon.com, Inc.</c:v>
                </c:pt>
                <c:pt idx="6">
                  <c:v>Yelp Inc.</c:v>
                </c:pt>
                <c:pt idx="7">
                  <c:v>Grindr Inc.</c:v>
                </c:pt>
                <c:pt idx="8">
                  <c:v>IAC Inc.</c:v>
                </c:pt>
                <c:pt idx="9">
                  <c:v>Taboola.com Ltd.</c:v>
                </c:pt>
                <c:pt idx="10">
                  <c:v>Leafbuyer Technologies</c:v>
                </c:pt>
              </c:strCache>
            </c:strRef>
          </c:cat>
          <c:val>
            <c:numRef>
              <c:f>'Report F6'!$S$10:$AC$10</c:f>
              <c:numCache>
                <c:formatCode>#,##0.0</c:formatCode>
                <c:ptCount val="11"/>
                <c:pt idx="0">
                  <c:v>20.67428</c:v>
                </c:pt>
                <c:pt idx="1">
                  <c:v>30.832920000000001</c:v>
                </c:pt>
                <c:pt idx="2">
                  <c:v>64.663349999999994</c:v>
                </c:pt>
                <c:pt idx="3">
                  <c:v>4.3354900000000001</c:v>
                </c:pt>
                <c:pt idx="4">
                  <c:v>15.624879999999999</c:v>
                </c:pt>
                <c:pt idx="5">
                  <c:v>34.510449999999999</c:v>
                </c:pt>
                <c:pt idx="6">
                  <c:v>7.0713400000000002</c:v>
                </c:pt>
                <c:pt idx="7">
                  <c:v>20.493590000000001</c:v>
                </c:pt>
                <c:pt idx="8">
                  <c:v>37.175080000000001</c:v>
                </c:pt>
                <c:pt idx="9">
                  <c:v>24.723320000000001</c:v>
                </c:pt>
                <c:pt idx="10">
                  <c:v>20.780180000000001</c:v>
                </c:pt>
              </c:numCache>
            </c:numRef>
          </c:val>
          <c:extLst>
            <c:ext xmlns:c16="http://schemas.microsoft.com/office/drawing/2014/chart" uri="{C3380CC4-5D6E-409C-BE32-E72D297353CC}">
              <c16:uniqueId val="{00000000-F083-427B-8B28-99F2220599D9}"/>
            </c:ext>
          </c:extLst>
        </c:ser>
        <c:ser>
          <c:idx val="1"/>
          <c:order val="1"/>
          <c:tx>
            <c:strRef>
              <c:f>'Report F6'!$R$11</c:f>
              <c:strCache>
                <c:ptCount val="1"/>
                <c:pt idx="0">
                  <c:v>Forward</c:v>
                </c:pt>
              </c:strCache>
            </c:strRef>
          </c:tx>
          <c:spPr>
            <a:solidFill>
              <a:schemeClr val="accent1">
                <a:lumMod val="75000"/>
              </a:schemeClr>
            </a:solidFill>
            <a:ln>
              <a:noFill/>
            </a:ln>
            <a:effectLst/>
          </c:spPr>
          <c:invertIfNegative val="0"/>
          <c:cat>
            <c:strRef>
              <c:f>'Report F6'!$S$8:$AC$8</c:f>
              <c:strCache>
                <c:ptCount val="11"/>
                <c:pt idx="0">
                  <c:v>Meta Platforms, Inc.</c:v>
                </c:pt>
                <c:pt idx="1">
                  <c:v>Alphabet Inc.</c:v>
                </c:pt>
                <c:pt idx="2">
                  <c:v>Reddit, Inc.</c:v>
                </c:pt>
                <c:pt idx="3">
                  <c:v>Bumble Inc.</c:v>
                </c:pt>
                <c:pt idx="4">
                  <c:v>Tencent Holdings</c:v>
                </c:pt>
                <c:pt idx="5">
                  <c:v>Amazon.com, Inc.</c:v>
                </c:pt>
                <c:pt idx="6">
                  <c:v>Yelp Inc.</c:v>
                </c:pt>
                <c:pt idx="7">
                  <c:v>Grindr Inc.</c:v>
                </c:pt>
                <c:pt idx="8">
                  <c:v>IAC Inc.</c:v>
                </c:pt>
                <c:pt idx="9">
                  <c:v>Taboola.com Ltd.</c:v>
                </c:pt>
                <c:pt idx="10">
                  <c:v>Leafbuyer Technologies</c:v>
                </c:pt>
              </c:strCache>
            </c:strRef>
          </c:cat>
          <c:val>
            <c:numRef>
              <c:f>'Report F6'!$S$11:$AC$11</c:f>
              <c:numCache>
                <c:formatCode>#,##0.0</c:formatCode>
                <c:ptCount val="11"/>
                <c:pt idx="0">
                  <c:v>19.702860000000001</c:v>
                </c:pt>
                <c:pt idx="1">
                  <c:v>25.0976</c:v>
                </c:pt>
                <c:pt idx="2">
                  <c:v>34.174669999999999</c:v>
                </c:pt>
                <c:pt idx="3">
                  <c:v>4.9126099999999999</c:v>
                </c:pt>
                <c:pt idx="4">
                  <c:v>14.901479999999999</c:v>
                </c:pt>
                <c:pt idx="5">
                  <c:v>27.876090000000001</c:v>
                </c:pt>
                <c:pt idx="6">
                  <c:v>8.5730299999999993</c:v>
                </c:pt>
                <c:pt idx="7">
                  <c:v>17.33625</c:v>
                </c:pt>
                <c:pt idx="8">
                  <c:v>28.548549999999999</c:v>
                </c:pt>
                <c:pt idx="9">
                  <c:v>11.116540000000001</c:v>
                </c:pt>
                <c:pt idx="10">
                  <c:v>0</c:v>
                </c:pt>
              </c:numCache>
            </c:numRef>
          </c:val>
          <c:extLst>
            <c:ext xmlns:c16="http://schemas.microsoft.com/office/drawing/2014/chart" uri="{C3380CC4-5D6E-409C-BE32-E72D297353CC}">
              <c16:uniqueId val="{00000001-F083-427B-8B28-99F2220599D9}"/>
            </c:ext>
          </c:extLst>
        </c:ser>
        <c:dLbls>
          <c:showLegendKey val="0"/>
          <c:showVal val="0"/>
          <c:showCatName val="0"/>
          <c:showSerName val="0"/>
          <c:showPercent val="0"/>
          <c:showBubbleSize val="0"/>
        </c:dLbls>
        <c:gapWidth val="219"/>
        <c:overlap val="-27"/>
        <c:axId val="1524925727"/>
        <c:axId val="1524926207"/>
      </c:barChart>
      <c:catAx>
        <c:axId val="152492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926207"/>
        <c:crosses val="autoZero"/>
        <c:auto val="1"/>
        <c:lblAlgn val="ctr"/>
        <c:lblOffset val="100"/>
        <c:noMultiLvlLbl val="0"/>
      </c:catAx>
      <c:valAx>
        <c:axId val="15249262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925727"/>
        <c:crosses val="autoZero"/>
        <c:crossBetween val="between"/>
      </c:valAx>
      <c:spPr>
        <a:noFill/>
        <a:ln>
          <a:noFill/>
        </a:ln>
        <a:effectLst/>
      </c:spPr>
    </c:plotArea>
    <c:legend>
      <c:legendPos val="b"/>
      <c:layout>
        <c:manualLayout>
          <c:xMode val="edge"/>
          <c:yMode val="edge"/>
          <c:x val="0.76676506749922158"/>
          <c:y val="4.2244823563721161E-2"/>
          <c:w val="0.14760199100947569"/>
          <c:h val="7.18250893481938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0015363281615E-2"/>
          <c:y val="9.9275579628679486E-2"/>
          <c:w val="0.79995086579315156"/>
          <c:h val="0.67951824695102447"/>
        </c:manualLayout>
      </c:layout>
      <c:lineChart>
        <c:grouping val="standard"/>
        <c:varyColors val="0"/>
        <c:ser>
          <c:idx val="0"/>
          <c:order val="0"/>
          <c:tx>
            <c:v>Aktie</c:v>
          </c:tx>
          <c:spPr>
            <a:ln w="12700" cap="rnd">
              <a:solidFill>
                <a:srgbClr val="C00000"/>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F7'!$AI$6:$AI$1100</c:f>
              <c:numCache>
                <c:formatCode>#,##0.00</c:formatCode>
                <c:ptCount val="1095"/>
                <c:pt idx="0">
                  <c:v>215.7</c:v>
                </c:pt>
                <c:pt idx="1">
                  <c:v>213.07</c:v>
                </c:pt>
                <c:pt idx="2">
                  <c:v>212.89</c:v>
                </c:pt>
                <c:pt idx="3">
                  <c:v>212.89</c:v>
                </c:pt>
                <c:pt idx="4">
                  <c:v>212.89</c:v>
                </c:pt>
                <c:pt idx="5">
                  <c:v>212.79</c:v>
                </c:pt>
                <c:pt idx="6">
                  <c:v>207.55</c:v>
                </c:pt>
                <c:pt idx="7">
                  <c:v>209.4</c:v>
                </c:pt>
                <c:pt idx="8">
                  <c:v>238.56</c:v>
                </c:pt>
                <c:pt idx="9">
                  <c:v>240.32</c:v>
                </c:pt>
                <c:pt idx="10">
                  <c:v>240.32</c:v>
                </c:pt>
                <c:pt idx="11">
                  <c:v>240.32</c:v>
                </c:pt>
                <c:pt idx="12">
                  <c:v>243.18</c:v>
                </c:pt>
                <c:pt idx="13">
                  <c:v>239.24</c:v>
                </c:pt>
                <c:pt idx="14">
                  <c:v>237.03</c:v>
                </c:pt>
                <c:pt idx="15">
                  <c:v>233.52</c:v>
                </c:pt>
                <c:pt idx="16">
                  <c:v>232.78</c:v>
                </c:pt>
                <c:pt idx="17">
                  <c:v>232.78</c:v>
                </c:pt>
                <c:pt idx="18">
                  <c:v>232.78</c:v>
                </c:pt>
                <c:pt idx="19">
                  <c:v>233.27</c:v>
                </c:pt>
                <c:pt idx="20">
                  <c:v>233.37</c:v>
                </c:pt>
                <c:pt idx="21">
                  <c:v>233.08</c:v>
                </c:pt>
                <c:pt idx="22">
                  <c:v>235.79</c:v>
                </c:pt>
                <c:pt idx="23">
                  <c:v>233.81</c:v>
                </c:pt>
                <c:pt idx="24">
                  <c:v>233.81</c:v>
                </c:pt>
                <c:pt idx="25">
                  <c:v>233.81</c:v>
                </c:pt>
                <c:pt idx="26">
                  <c:v>238.86</c:v>
                </c:pt>
                <c:pt idx="27">
                  <c:v>238.82</c:v>
                </c:pt>
                <c:pt idx="28">
                  <c:v>242.48500000000001</c:v>
                </c:pt>
                <c:pt idx="29">
                  <c:v>246.85</c:v>
                </c:pt>
                <c:pt idx="30">
                  <c:v>245.64</c:v>
                </c:pt>
                <c:pt idx="31">
                  <c:v>245.64</c:v>
                </c:pt>
                <c:pt idx="32">
                  <c:v>245.64</c:v>
                </c:pt>
                <c:pt idx="33">
                  <c:v>248.32</c:v>
                </c:pt>
                <c:pt idx="34">
                  <c:v>246.74</c:v>
                </c:pt>
                <c:pt idx="35">
                  <c:v>249.21</c:v>
                </c:pt>
                <c:pt idx="36">
                  <c:v>252.69</c:v>
                </c:pt>
                <c:pt idx="37">
                  <c:v>262.04000000000002</c:v>
                </c:pt>
                <c:pt idx="38">
                  <c:v>262.04000000000002</c:v>
                </c:pt>
                <c:pt idx="39">
                  <c:v>262.04000000000002</c:v>
                </c:pt>
                <c:pt idx="40">
                  <c:v>262.04000000000002</c:v>
                </c:pt>
                <c:pt idx="41">
                  <c:v>262.52</c:v>
                </c:pt>
                <c:pt idx="42">
                  <c:v>264.72000000000003</c:v>
                </c:pt>
                <c:pt idx="43">
                  <c:v>272.61</c:v>
                </c:pt>
                <c:pt idx="44">
                  <c:v>272.61</c:v>
                </c:pt>
                <c:pt idx="45">
                  <c:v>272.61</c:v>
                </c:pt>
                <c:pt idx="46">
                  <c:v>272.61</c:v>
                </c:pt>
                <c:pt idx="47">
                  <c:v>271.39</c:v>
                </c:pt>
                <c:pt idx="48">
                  <c:v>271.12</c:v>
                </c:pt>
                <c:pt idx="49">
                  <c:v>263.60000000000002</c:v>
                </c:pt>
                <c:pt idx="50">
                  <c:v>264.58</c:v>
                </c:pt>
                <c:pt idx="51">
                  <c:v>264.95</c:v>
                </c:pt>
                <c:pt idx="52">
                  <c:v>264.95</c:v>
                </c:pt>
                <c:pt idx="53">
                  <c:v>264.95</c:v>
                </c:pt>
                <c:pt idx="54">
                  <c:v>271.05</c:v>
                </c:pt>
                <c:pt idx="55">
                  <c:v>271.32</c:v>
                </c:pt>
                <c:pt idx="56">
                  <c:v>273.35000000000002</c:v>
                </c:pt>
                <c:pt idx="57">
                  <c:v>281.83</c:v>
                </c:pt>
                <c:pt idx="58">
                  <c:v>281</c:v>
                </c:pt>
                <c:pt idx="59">
                  <c:v>281</c:v>
                </c:pt>
                <c:pt idx="60">
                  <c:v>281</c:v>
                </c:pt>
                <c:pt idx="61">
                  <c:v>281</c:v>
                </c:pt>
                <c:pt idx="62">
                  <c:v>284.33</c:v>
                </c:pt>
                <c:pt idx="63">
                  <c:v>281.64</c:v>
                </c:pt>
                <c:pt idx="64">
                  <c:v>284.88</c:v>
                </c:pt>
                <c:pt idx="65">
                  <c:v>288.73</c:v>
                </c:pt>
                <c:pt idx="66">
                  <c:v>288.73</c:v>
                </c:pt>
                <c:pt idx="67">
                  <c:v>288.73</c:v>
                </c:pt>
                <c:pt idx="68">
                  <c:v>278.47000000000003</c:v>
                </c:pt>
                <c:pt idx="69">
                  <c:v>287.05</c:v>
                </c:pt>
                <c:pt idx="70">
                  <c:v>285.29000000000002</c:v>
                </c:pt>
                <c:pt idx="71">
                  <c:v>281.52999999999997</c:v>
                </c:pt>
                <c:pt idx="72">
                  <c:v>286.98</c:v>
                </c:pt>
                <c:pt idx="73">
                  <c:v>286.98</c:v>
                </c:pt>
                <c:pt idx="74">
                  <c:v>286.98</c:v>
                </c:pt>
                <c:pt idx="75">
                  <c:v>286.02</c:v>
                </c:pt>
                <c:pt idx="76">
                  <c:v>286.02</c:v>
                </c:pt>
                <c:pt idx="77">
                  <c:v>294.37</c:v>
                </c:pt>
                <c:pt idx="78">
                  <c:v>291.99</c:v>
                </c:pt>
                <c:pt idx="79">
                  <c:v>290.52999999999997</c:v>
                </c:pt>
                <c:pt idx="80">
                  <c:v>290.52999999999997</c:v>
                </c:pt>
                <c:pt idx="81">
                  <c:v>290.52999999999997</c:v>
                </c:pt>
                <c:pt idx="82">
                  <c:v>294.10000000000002</c:v>
                </c:pt>
                <c:pt idx="83">
                  <c:v>298.29000000000002</c:v>
                </c:pt>
                <c:pt idx="84">
                  <c:v>309.33999999999997</c:v>
                </c:pt>
                <c:pt idx="85">
                  <c:v>313.41000000000003</c:v>
                </c:pt>
                <c:pt idx="86">
                  <c:v>308.87</c:v>
                </c:pt>
                <c:pt idx="87">
                  <c:v>308.87</c:v>
                </c:pt>
                <c:pt idx="88">
                  <c:v>308.87</c:v>
                </c:pt>
                <c:pt idx="89">
                  <c:v>310.62</c:v>
                </c:pt>
                <c:pt idx="90">
                  <c:v>312.05</c:v>
                </c:pt>
                <c:pt idx="91">
                  <c:v>316.01</c:v>
                </c:pt>
                <c:pt idx="92">
                  <c:v>302.52</c:v>
                </c:pt>
                <c:pt idx="93">
                  <c:v>294.26</c:v>
                </c:pt>
                <c:pt idx="94">
                  <c:v>294.26</c:v>
                </c:pt>
                <c:pt idx="95">
                  <c:v>294.26</c:v>
                </c:pt>
                <c:pt idx="96">
                  <c:v>291.61</c:v>
                </c:pt>
                <c:pt idx="97">
                  <c:v>294.47000000000003</c:v>
                </c:pt>
                <c:pt idx="98">
                  <c:v>298.57</c:v>
                </c:pt>
                <c:pt idx="99">
                  <c:v>311.70999999999998</c:v>
                </c:pt>
                <c:pt idx="100">
                  <c:v>325.48</c:v>
                </c:pt>
                <c:pt idx="101">
                  <c:v>325.48</c:v>
                </c:pt>
                <c:pt idx="102">
                  <c:v>325.48</c:v>
                </c:pt>
                <c:pt idx="103">
                  <c:v>318.60000000000002</c:v>
                </c:pt>
                <c:pt idx="104">
                  <c:v>322.70999999999998</c:v>
                </c:pt>
                <c:pt idx="105">
                  <c:v>314.31</c:v>
                </c:pt>
                <c:pt idx="106">
                  <c:v>313.19</c:v>
                </c:pt>
                <c:pt idx="107">
                  <c:v>310.73</c:v>
                </c:pt>
                <c:pt idx="108">
                  <c:v>310.73</c:v>
                </c:pt>
                <c:pt idx="109">
                  <c:v>310.73</c:v>
                </c:pt>
                <c:pt idx="110">
                  <c:v>316.56</c:v>
                </c:pt>
                <c:pt idx="111">
                  <c:v>312.64</c:v>
                </c:pt>
                <c:pt idx="112">
                  <c:v>305.20999999999998</c:v>
                </c:pt>
                <c:pt idx="113">
                  <c:v>305.74</c:v>
                </c:pt>
                <c:pt idx="114">
                  <c:v>301.64</c:v>
                </c:pt>
                <c:pt idx="115">
                  <c:v>301.64</c:v>
                </c:pt>
                <c:pt idx="116">
                  <c:v>301.64</c:v>
                </c:pt>
                <c:pt idx="117">
                  <c:v>306.19</c:v>
                </c:pt>
                <c:pt idx="118">
                  <c:v>301.95</c:v>
                </c:pt>
                <c:pt idx="119">
                  <c:v>294.29000000000002</c:v>
                </c:pt>
                <c:pt idx="120">
                  <c:v>285.08999999999997</c:v>
                </c:pt>
                <c:pt idx="121">
                  <c:v>283.25</c:v>
                </c:pt>
                <c:pt idx="122">
                  <c:v>283.25</c:v>
                </c:pt>
                <c:pt idx="123">
                  <c:v>283.25</c:v>
                </c:pt>
                <c:pt idx="124">
                  <c:v>289.89999999999998</c:v>
                </c:pt>
                <c:pt idx="125">
                  <c:v>287.60000000000002</c:v>
                </c:pt>
                <c:pt idx="126">
                  <c:v>294.24</c:v>
                </c:pt>
                <c:pt idx="127">
                  <c:v>286.75</c:v>
                </c:pt>
                <c:pt idx="128">
                  <c:v>285.5</c:v>
                </c:pt>
                <c:pt idx="129">
                  <c:v>285.5</c:v>
                </c:pt>
                <c:pt idx="130">
                  <c:v>285.5</c:v>
                </c:pt>
                <c:pt idx="131">
                  <c:v>290.26</c:v>
                </c:pt>
                <c:pt idx="132">
                  <c:v>297.99</c:v>
                </c:pt>
                <c:pt idx="133">
                  <c:v>295.10000000000002</c:v>
                </c:pt>
                <c:pt idx="134">
                  <c:v>295.89</c:v>
                </c:pt>
                <c:pt idx="135">
                  <c:v>296.38</c:v>
                </c:pt>
                <c:pt idx="136">
                  <c:v>296.38</c:v>
                </c:pt>
                <c:pt idx="137">
                  <c:v>296.38</c:v>
                </c:pt>
                <c:pt idx="138">
                  <c:v>296.38</c:v>
                </c:pt>
                <c:pt idx="139">
                  <c:v>300.14999999999998</c:v>
                </c:pt>
                <c:pt idx="140">
                  <c:v>299.17</c:v>
                </c:pt>
                <c:pt idx="141">
                  <c:v>298.67</c:v>
                </c:pt>
                <c:pt idx="142">
                  <c:v>297.89</c:v>
                </c:pt>
                <c:pt idx="143">
                  <c:v>297.89</c:v>
                </c:pt>
                <c:pt idx="144">
                  <c:v>297.89</c:v>
                </c:pt>
                <c:pt idx="145">
                  <c:v>307.56</c:v>
                </c:pt>
                <c:pt idx="146">
                  <c:v>301.66000000000003</c:v>
                </c:pt>
                <c:pt idx="147">
                  <c:v>305.06</c:v>
                </c:pt>
                <c:pt idx="148">
                  <c:v>311.72000000000003</c:v>
                </c:pt>
                <c:pt idx="149">
                  <c:v>300.31</c:v>
                </c:pt>
                <c:pt idx="150">
                  <c:v>300.31</c:v>
                </c:pt>
                <c:pt idx="151">
                  <c:v>300.31</c:v>
                </c:pt>
                <c:pt idx="152">
                  <c:v>302.55</c:v>
                </c:pt>
                <c:pt idx="153">
                  <c:v>305.07</c:v>
                </c:pt>
                <c:pt idx="154">
                  <c:v>299.67</c:v>
                </c:pt>
                <c:pt idx="155">
                  <c:v>295.73</c:v>
                </c:pt>
                <c:pt idx="156">
                  <c:v>299.08</c:v>
                </c:pt>
                <c:pt idx="157">
                  <c:v>299.08</c:v>
                </c:pt>
                <c:pt idx="158">
                  <c:v>299.08</c:v>
                </c:pt>
                <c:pt idx="159">
                  <c:v>300.83</c:v>
                </c:pt>
                <c:pt idx="160">
                  <c:v>298.95999999999998</c:v>
                </c:pt>
                <c:pt idx="161">
                  <c:v>297.74</c:v>
                </c:pt>
                <c:pt idx="162">
                  <c:v>303.95999999999998</c:v>
                </c:pt>
                <c:pt idx="163">
                  <c:v>300.20999999999998</c:v>
                </c:pt>
                <c:pt idx="164">
                  <c:v>300.20999999999998</c:v>
                </c:pt>
                <c:pt idx="165">
                  <c:v>300.20999999999998</c:v>
                </c:pt>
                <c:pt idx="166">
                  <c:v>306.82</c:v>
                </c:pt>
                <c:pt idx="167">
                  <c:v>300.94</c:v>
                </c:pt>
                <c:pt idx="168">
                  <c:v>305.58</c:v>
                </c:pt>
                <c:pt idx="169">
                  <c:v>304.79000000000002</c:v>
                </c:pt>
                <c:pt idx="170">
                  <c:v>315.43</c:v>
                </c:pt>
                <c:pt idx="171">
                  <c:v>315.43</c:v>
                </c:pt>
                <c:pt idx="172">
                  <c:v>315.43</c:v>
                </c:pt>
                <c:pt idx="173">
                  <c:v>318.36</c:v>
                </c:pt>
                <c:pt idx="174">
                  <c:v>321.83999999999997</c:v>
                </c:pt>
                <c:pt idx="175">
                  <c:v>327.82</c:v>
                </c:pt>
                <c:pt idx="176">
                  <c:v>324.16000000000003</c:v>
                </c:pt>
                <c:pt idx="177">
                  <c:v>314.69</c:v>
                </c:pt>
                <c:pt idx="178">
                  <c:v>314.69</c:v>
                </c:pt>
                <c:pt idx="179">
                  <c:v>314.69</c:v>
                </c:pt>
                <c:pt idx="180">
                  <c:v>321.14999999999998</c:v>
                </c:pt>
                <c:pt idx="181">
                  <c:v>324</c:v>
                </c:pt>
                <c:pt idx="182">
                  <c:v>316.97000000000003</c:v>
                </c:pt>
                <c:pt idx="183">
                  <c:v>312.81</c:v>
                </c:pt>
                <c:pt idx="184">
                  <c:v>308.64999999999998</c:v>
                </c:pt>
                <c:pt idx="185">
                  <c:v>308.64999999999998</c:v>
                </c:pt>
                <c:pt idx="186">
                  <c:v>308.64999999999998</c:v>
                </c:pt>
                <c:pt idx="187">
                  <c:v>314.01</c:v>
                </c:pt>
                <c:pt idx="188">
                  <c:v>312.55</c:v>
                </c:pt>
                <c:pt idx="189">
                  <c:v>299.52999999999997</c:v>
                </c:pt>
                <c:pt idx="190">
                  <c:v>288.35000000000002</c:v>
                </c:pt>
                <c:pt idx="191">
                  <c:v>296.73</c:v>
                </c:pt>
                <c:pt idx="192">
                  <c:v>296.73</c:v>
                </c:pt>
                <c:pt idx="193">
                  <c:v>296.73</c:v>
                </c:pt>
                <c:pt idx="194">
                  <c:v>302.66000000000003</c:v>
                </c:pt>
                <c:pt idx="195">
                  <c:v>301.27</c:v>
                </c:pt>
                <c:pt idx="196">
                  <c:v>311.85000000000002</c:v>
                </c:pt>
                <c:pt idx="197">
                  <c:v>310.87</c:v>
                </c:pt>
                <c:pt idx="198">
                  <c:v>314.60000000000002</c:v>
                </c:pt>
                <c:pt idx="199">
                  <c:v>314.60000000000002</c:v>
                </c:pt>
                <c:pt idx="200">
                  <c:v>314.60000000000002</c:v>
                </c:pt>
                <c:pt idx="201">
                  <c:v>315.8</c:v>
                </c:pt>
                <c:pt idx="202">
                  <c:v>318.82</c:v>
                </c:pt>
                <c:pt idx="203">
                  <c:v>319.77999999999997</c:v>
                </c:pt>
                <c:pt idx="204">
                  <c:v>320.55</c:v>
                </c:pt>
                <c:pt idx="205">
                  <c:v>328.77</c:v>
                </c:pt>
                <c:pt idx="206">
                  <c:v>328.77</c:v>
                </c:pt>
                <c:pt idx="207">
                  <c:v>328.77</c:v>
                </c:pt>
                <c:pt idx="208">
                  <c:v>329.19</c:v>
                </c:pt>
                <c:pt idx="209">
                  <c:v>336.31</c:v>
                </c:pt>
                <c:pt idx="210">
                  <c:v>332.71</c:v>
                </c:pt>
                <c:pt idx="211">
                  <c:v>334.19</c:v>
                </c:pt>
                <c:pt idx="212">
                  <c:v>335.04</c:v>
                </c:pt>
                <c:pt idx="213">
                  <c:v>335.04</c:v>
                </c:pt>
                <c:pt idx="214">
                  <c:v>335.04</c:v>
                </c:pt>
                <c:pt idx="215">
                  <c:v>339.97</c:v>
                </c:pt>
                <c:pt idx="216">
                  <c:v>336.98</c:v>
                </c:pt>
                <c:pt idx="217">
                  <c:v>341.49</c:v>
                </c:pt>
                <c:pt idx="218">
                  <c:v>341.49</c:v>
                </c:pt>
                <c:pt idx="219">
                  <c:v>338.23</c:v>
                </c:pt>
                <c:pt idx="220">
                  <c:v>338.23</c:v>
                </c:pt>
                <c:pt idx="221">
                  <c:v>338.23</c:v>
                </c:pt>
                <c:pt idx="222">
                  <c:v>334.7</c:v>
                </c:pt>
                <c:pt idx="223">
                  <c:v>338.99</c:v>
                </c:pt>
                <c:pt idx="224">
                  <c:v>332.2</c:v>
                </c:pt>
                <c:pt idx="225">
                  <c:v>327.14999999999998</c:v>
                </c:pt>
                <c:pt idx="226">
                  <c:v>324.82</c:v>
                </c:pt>
                <c:pt idx="227">
                  <c:v>324.82</c:v>
                </c:pt>
                <c:pt idx="228">
                  <c:v>324.82</c:v>
                </c:pt>
                <c:pt idx="229">
                  <c:v>320.02</c:v>
                </c:pt>
                <c:pt idx="230">
                  <c:v>318.29000000000002</c:v>
                </c:pt>
                <c:pt idx="231">
                  <c:v>317.45</c:v>
                </c:pt>
                <c:pt idx="232">
                  <c:v>326.58999999999997</c:v>
                </c:pt>
                <c:pt idx="233">
                  <c:v>332.75</c:v>
                </c:pt>
                <c:pt idx="234">
                  <c:v>332.75</c:v>
                </c:pt>
                <c:pt idx="235">
                  <c:v>332.75</c:v>
                </c:pt>
                <c:pt idx="236">
                  <c:v>325.27999999999997</c:v>
                </c:pt>
                <c:pt idx="237">
                  <c:v>334.22</c:v>
                </c:pt>
                <c:pt idx="238">
                  <c:v>334.74</c:v>
                </c:pt>
                <c:pt idx="239">
                  <c:v>333.17</c:v>
                </c:pt>
                <c:pt idx="240">
                  <c:v>334.92</c:v>
                </c:pt>
                <c:pt idx="241">
                  <c:v>334.92</c:v>
                </c:pt>
                <c:pt idx="242">
                  <c:v>334.92</c:v>
                </c:pt>
                <c:pt idx="243">
                  <c:v>344.62</c:v>
                </c:pt>
                <c:pt idx="244">
                  <c:v>350.36</c:v>
                </c:pt>
                <c:pt idx="245">
                  <c:v>349.28</c:v>
                </c:pt>
                <c:pt idx="246">
                  <c:v>354.09</c:v>
                </c:pt>
                <c:pt idx="247">
                  <c:v>353.39</c:v>
                </c:pt>
                <c:pt idx="248">
                  <c:v>353.39</c:v>
                </c:pt>
                <c:pt idx="249">
                  <c:v>353.39</c:v>
                </c:pt>
                <c:pt idx="250">
                  <c:v>353.39</c:v>
                </c:pt>
                <c:pt idx="251">
                  <c:v>354.83</c:v>
                </c:pt>
                <c:pt idx="252">
                  <c:v>357.83</c:v>
                </c:pt>
                <c:pt idx="253">
                  <c:v>358.32</c:v>
                </c:pt>
                <c:pt idx="254">
                  <c:v>353.96</c:v>
                </c:pt>
                <c:pt idx="255">
                  <c:v>353.96</c:v>
                </c:pt>
                <c:pt idx="256">
                  <c:v>353.96</c:v>
                </c:pt>
                <c:pt idx="257">
                  <c:v>353.96</c:v>
                </c:pt>
                <c:pt idx="258">
                  <c:v>346.29</c:v>
                </c:pt>
                <c:pt idx="259">
                  <c:v>344.47</c:v>
                </c:pt>
                <c:pt idx="260">
                  <c:v>347.12</c:v>
                </c:pt>
                <c:pt idx="261">
                  <c:v>351.95</c:v>
                </c:pt>
                <c:pt idx="262">
                  <c:v>351.95</c:v>
                </c:pt>
                <c:pt idx="263">
                  <c:v>351.95</c:v>
                </c:pt>
                <c:pt idx="264">
                  <c:v>358.66</c:v>
                </c:pt>
                <c:pt idx="265">
                  <c:v>357.43</c:v>
                </c:pt>
                <c:pt idx="266">
                  <c:v>370.47</c:v>
                </c:pt>
                <c:pt idx="267">
                  <c:v>369.67</c:v>
                </c:pt>
                <c:pt idx="268">
                  <c:v>374.49</c:v>
                </c:pt>
                <c:pt idx="269">
                  <c:v>374.49</c:v>
                </c:pt>
                <c:pt idx="270">
                  <c:v>374.49</c:v>
                </c:pt>
                <c:pt idx="271">
                  <c:v>374.49</c:v>
                </c:pt>
                <c:pt idx="272">
                  <c:v>367.46</c:v>
                </c:pt>
                <c:pt idx="273">
                  <c:v>368.37</c:v>
                </c:pt>
                <c:pt idx="274">
                  <c:v>376.13</c:v>
                </c:pt>
                <c:pt idx="275">
                  <c:v>383.45</c:v>
                </c:pt>
                <c:pt idx="276">
                  <c:v>383.45</c:v>
                </c:pt>
                <c:pt idx="277">
                  <c:v>383.45</c:v>
                </c:pt>
                <c:pt idx="278">
                  <c:v>381.78</c:v>
                </c:pt>
                <c:pt idx="279">
                  <c:v>385.2</c:v>
                </c:pt>
                <c:pt idx="280">
                  <c:v>390.7</c:v>
                </c:pt>
                <c:pt idx="281">
                  <c:v>393.18</c:v>
                </c:pt>
                <c:pt idx="282">
                  <c:v>394.14</c:v>
                </c:pt>
                <c:pt idx="283">
                  <c:v>394.14</c:v>
                </c:pt>
                <c:pt idx="284">
                  <c:v>394.14</c:v>
                </c:pt>
                <c:pt idx="285">
                  <c:v>401.02</c:v>
                </c:pt>
                <c:pt idx="286">
                  <c:v>400.06</c:v>
                </c:pt>
                <c:pt idx="287">
                  <c:v>390.14</c:v>
                </c:pt>
                <c:pt idx="288">
                  <c:v>394.78</c:v>
                </c:pt>
                <c:pt idx="289">
                  <c:v>474.99</c:v>
                </c:pt>
                <c:pt idx="290">
                  <c:v>474.99</c:v>
                </c:pt>
                <c:pt idx="291">
                  <c:v>474.99</c:v>
                </c:pt>
                <c:pt idx="292">
                  <c:v>459.41</c:v>
                </c:pt>
                <c:pt idx="293">
                  <c:v>454.72</c:v>
                </c:pt>
                <c:pt idx="294">
                  <c:v>469.59</c:v>
                </c:pt>
                <c:pt idx="295">
                  <c:v>470</c:v>
                </c:pt>
                <c:pt idx="296">
                  <c:v>468.11</c:v>
                </c:pt>
                <c:pt idx="297">
                  <c:v>468.11</c:v>
                </c:pt>
                <c:pt idx="298">
                  <c:v>468.11</c:v>
                </c:pt>
                <c:pt idx="299">
                  <c:v>468.9</c:v>
                </c:pt>
                <c:pt idx="300">
                  <c:v>460.12</c:v>
                </c:pt>
                <c:pt idx="301">
                  <c:v>473.28</c:v>
                </c:pt>
                <c:pt idx="302">
                  <c:v>484.03</c:v>
                </c:pt>
                <c:pt idx="303">
                  <c:v>473.32</c:v>
                </c:pt>
                <c:pt idx="304">
                  <c:v>473.32</c:v>
                </c:pt>
                <c:pt idx="305">
                  <c:v>473.32</c:v>
                </c:pt>
                <c:pt idx="306">
                  <c:v>473.32</c:v>
                </c:pt>
                <c:pt idx="307">
                  <c:v>471.75</c:v>
                </c:pt>
                <c:pt idx="308">
                  <c:v>468.03</c:v>
                </c:pt>
                <c:pt idx="309">
                  <c:v>486.13</c:v>
                </c:pt>
                <c:pt idx="310">
                  <c:v>484.03</c:v>
                </c:pt>
                <c:pt idx="311">
                  <c:v>484.03</c:v>
                </c:pt>
                <c:pt idx="312">
                  <c:v>484.03</c:v>
                </c:pt>
                <c:pt idx="313">
                  <c:v>481.74</c:v>
                </c:pt>
                <c:pt idx="314">
                  <c:v>487.05</c:v>
                </c:pt>
                <c:pt idx="315">
                  <c:v>484.02</c:v>
                </c:pt>
                <c:pt idx="316">
                  <c:v>490.13</c:v>
                </c:pt>
                <c:pt idx="317">
                  <c:v>502.3</c:v>
                </c:pt>
                <c:pt idx="318">
                  <c:v>502.3</c:v>
                </c:pt>
                <c:pt idx="319">
                  <c:v>502.3</c:v>
                </c:pt>
                <c:pt idx="320">
                  <c:v>498.19</c:v>
                </c:pt>
                <c:pt idx="321">
                  <c:v>490.22</c:v>
                </c:pt>
                <c:pt idx="322">
                  <c:v>496.09</c:v>
                </c:pt>
                <c:pt idx="323">
                  <c:v>512.19000000000005</c:v>
                </c:pt>
                <c:pt idx="324">
                  <c:v>505.95</c:v>
                </c:pt>
                <c:pt idx="325">
                  <c:v>505.95</c:v>
                </c:pt>
                <c:pt idx="326">
                  <c:v>505.95</c:v>
                </c:pt>
                <c:pt idx="327">
                  <c:v>483.59</c:v>
                </c:pt>
                <c:pt idx="328">
                  <c:v>499.75</c:v>
                </c:pt>
                <c:pt idx="329">
                  <c:v>495.57</c:v>
                </c:pt>
                <c:pt idx="330">
                  <c:v>491.83</c:v>
                </c:pt>
                <c:pt idx="331">
                  <c:v>484.1</c:v>
                </c:pt>
                <c:pt idx="332">
                  <c:v>484.1</c:v>
                </c:pt>
                <c:pt idx="333">
                  <c:v>484.1</c:v>
                </c:pt>
                <c:pt idx="334">
                  <c:v>496.98</c:v>
                </c:pt>
                <c:pt idx="335">
                  <c:v>496.24</c:v>
                </c:pt>
                <c:pt idx="336">
                  <c:v>505.52</c:v>
                </c:pt>
                <c:pt idx="337">
                  <c:v>507.76</c:v>
                </c:pt>
                <c:pt idx="338">
                  <c:v>509.58</c:v>
                </c:pt>
                <c:pt idx="339">
                  <c:v>509.58</c:v>
                </c:pt>
                <c:pt idx="340">
                  <c:v>509.58</c:v>
                </c:pt>
                <c:pt idx="341">
                  <c:v>503.02</c:v>
                </c:pt>
                <c:pt idx="342">
                  <c:v>495.89</c:v>
                </c:pt>
                <c:pt idx="343">
                  <c:v>493.86</c:v>
                </c:pt>
                <c:pt idx="344">
                  <c:v>485.58</c:v>
                </c:pt>
                <c:pt idx="345">
                  <c:v>485.58</c:v>
                </c:pt>
                <c:pt idx="346">
                  <c:v>485.58</c:v>
                </c:pt>
                <c:pt idx="347">
                  <c:v>485.58</c:v>
                </c:pt>
                <c:pt idx="348">
                  <c:v>491.35</c:v>
                </c:pt>
                <c:pt idx="349">
                  <c:v>497.37</c:v>
                </c:pt>
                <c:pt idx="350">
                  <c:v>506.74</c:v>
                </c:pt>
                <c:pt idx="351">
                  <c:v>510.92</c:v>
                </c:pt>
                <c:pt idx="352">
                  <c:v>527.34</c:v>
                </c:pt>
                <c:pt idx="353">
                  <c:v>527.34</c:v>
                </c:pt>
                <c:pt idx="354">
                  <c:v>527.34</c:v>
                </c:pt>
                <c:pt idx="355">
                  <c:v>519.25</c:v>
                </c:pt>
                <c:pt idx="356">
                  <c:v>516.9</c:v>
                </c:pt>
                <c:pt idx="357">
                  <c:v>519.83000000000004</c:v>
                </c:pt>
                <c:pt idx="358">
                  <c:v>523.16</c:v>
                </c:pt>
                <c:pt idx="359">
                  <c:v>511.9</c:v>
                </c:pt>
                <c:pt idx="360">
                  <c:v>511.9</c:v>
                </c:pt>
                <c:pt idx="361">
                  <c:v>511.9</c:v>
                </c:pt>
                <c:pt idx="362">
                  <c:v>500.23</c:v>
                </c:pt>
                <c:pt idx="363">
                  <c:v>499.76</c:v>
                </c:pt>
                <c:pt idx="364">
                  <c:v>494.17</c:v>
                </c:pt>
                <c:pt idx="365">
                  <c:v>501.8</c:v>
                </c:pt>
                <c:pt idx="366">
                  <c:v>481.07</c:v>
                </c:pt>
                <c:pt idx="367">
                  <c:v>481.07</c:v>
                </c:pt>
                <c:pt idx="368">
                  <c:v>481.07</c:v>
                </c:pt>
                <c:pt idx="369">
                  <c:v>481.73</c:v>
                </c:pt>
                <c:pt idx="370">
                  <c:v>496.1</c:v>
                </c:pt>
                <c:pt idx="371">
                  <c:v>493.5</c:v>
                </c:pt>
                <c:pt idx="372">
                  <c:v>441.38</c:v>
                </c:pt>
                <c:pt idx="373">
                  <c:v>443.29</c:v>
                </c:pt>
                <c:pt idx="374">
                  <c:v>443.29</c:v>
                </c:pt>
                <c:pt idx="375">
                  <c:v>443.29</c:v>
                </c:pt>
                <c:pt idx="376">
                  <c:v>432.62</c:v>
                </c:pt>
                <c:pt idx="377">
                  <c:v>430.17</c:v>
                </c:pt>
                <c:pt idx="378">
                  <c:v>439.19</c:v>
                </c:pt>
                <c:pt idx="379">
                  <c:v>441.68</c:v>
                </c:pt>
                <c:pt idx="380">
                  <c:v>451.96</c:v>
                </c:pt>
                <c:pt idx="381">
                  <c:v>451.96</c:v>
                </c:pt>
                <c:pt idx="382">
                  <c:v>451.96</c:v>
                </c:pt>
                <c:pt idx="383">
                  <c:v>465.68</c:v>
                </c:pt>
                <c:pt idx="384">
                  <c:v>468.24</c:v>
                </c:pt>
                <c:pt idx="385">
                  <c:v>472.6</c:v>
                </c:pt>
                <c:pt idx="386">
                  <c:v>475.42</c:v>
                </c:pt>
                <c:pt idx="387">
                  <c:v>476.2</c:v>
                </c:pt>
                <c:pt idx="388">
                  <c:v>476.2</c:v>
                </c:pt>
                <c:pt idx="389">
                  <c:v>476.2</c:v>
                </c:pt>
                <c:pt idx="390">
                  <c:v>468.01</c:v>
                </c:pt>
                <c:pt idx="391">
                  <c:v>471.85</c:v>
                </c:pt>
                <c:pt idx="392">
                  <c:v>481.54</c:v>
                </c:pt>
                <c:pt idx="393">
                  <c:v>473.23</c:v>
                </c:pt>
                <c:pt idx="394">
                  <c:v>471.91</c:v>
                </c:pt>
                <c:pt idx="395">
                  <c:v>471.91</c:v>
                </c:pt>
                <c:pt idx="396">
                  <c:v>471.91</c:v>
                </c:pt>
                <c:pt idx="397">
                  <c:v>468.84</c:v>
                </c:pt>
                <c:pt idx="398">
                  <c:v>464.63</c:v>
                </c:pt>
                <c:pt idx="399">
                  <c:v>467.78</c:v>
                </c:pt>
                <c:pt idx="400">
                  <c:v>465.78</c:v>
                </c:pt>
                <c:pt idx="401">
                  <c:v>478.22</c:v>
                </c:pt>
                <c:pt idx="402">
                  <c:v>478.22</c:v>
                </c:pt>
                <c:pt idx="403">
                  <c:v>478.22</c:v>
                </c:pt>
                <c:pt idx="404">
                  <c:v>478.22</c:v>
                </c:pt>
                <c:pt idx="405">
                  <c:v>479.92</c:v>
                </c:pt>
                <c:pt idx="406">
                  <c:v>474.36</c:v>
                </c:pt>
                <c:pt idx="407">
                  <c:v>467.05</c:v>
                </c:pt>
                <c:pt idx="408">
                  <c:v>466.83</c:v>
                </c:pt>
                <c:pt idx="409">
                  <c:v>466.83</c:v>
                </c:pt>
                <c:pt idx="410">
                  <c:v>466.83</c:v>
                </c:pt>
                <c:pt idx="411">
                  <c:v>477.49</c:v>
                </c:pt>
                <c:pt idx="412">
                  <c:v>476.99</c:v>
                </c:pt>
                <c:pt idx="413">
                  <c:v>495.06</c:v>
                </c:pt>
                <c:pt idx="414">
                  <c:v>493.76</c:v>
                </c:pt>
                <c:pt idx="415">
                  <c:v>492.96</c:v>
                </c:pt>
                <c:pt idx="416">
                  <c:v>492.96</c:v>
                </c:pt>
                <c:pt idx="417">
                  <c:v>492.96</c:v>
                </c:pt>
                <c:pt idx="418">
                  <c:v>502.6</c:v>
                </c:pt>
                <c:pt idx="419">
                  <c:v>507.47</c:v>
                </c:pt>
                <c:pt idx="420">
                  <c:v>508.84</c:v>
                </c:pt>
                <c:pt idx="421">
                  <c:v>504.1</c:v>
                </c:pt>
                <c:pt idx="422">
                  <c:v>504.16</c:v>
                </c:pt>
                <c:pt idx="423">
                  <c:v>504.16</c:v>
                </c:pt>
                <c:pt idx="424">
                  <c:v>504.16</c:v>
                </c:pt>
                <c:pt idx="425">
                  <c:v>506.63</c:v>
                </c:pt>
                <c:pt idx="426">
                  <c:v>499.49</c:v>
                </c:pt>
                <c:pt idx="427">
                  <c:v>499.49</c:v>
                </c:pt>
                <c:pt idx="428">
                  <c:v>501.7</c:v>
                </c:pt>
                <c:pt idx="429">
                  <c:v>494.78</c:v>
                </c:pt>
                <c:pt idx="430">
                  <c:v>494.78</c:v>
                </c:pt>
                <c:pt idx="431">
                  <c:v>494.78</c:v>
                </c:pt>
                <c:pt idx="432">
                  <c:v>498.91</c:v>
                </c:pt>
                <c:pt idx="433">
                  <c:v>510.6</c:v>
                </c:pt>
                <c:pt idx="434">
                  <c:v>513.12</c:v>
                </c:pt>
                <c:pt idx="435">
                  <c:v>519.55999999999995</c:v>
                </c:pt>
                <c:pt idx="436">
                  <c:v>504.22</c:v>
                </c:pt>
                <c:pt idx="437">
                  <c:v>504.22</c:v>
                </c:pt>
                <c:pt idx="438">
                  <c:v>504.22</c:v>
                </c:pt>
                <c:pt idx="439">
                  <c:v>504.68</c:v>
                </c:pt>
                <c:pt idx="440">
                  <c:v>509.5</c:v>
                </c:pt>
                <c:pt idx="441">
                  <c:v>509.96</c:v>
                </c:pt>
                <c:pt idx="442">
                  <c:v>509.96</c:v>
                </c:pt>
                <c:pt idx="443">
                  <c:v>539.91</c:v>
                </c:pt>
                <c:pt idx="444">
                  <c:v>539.91</c:v>
                </c:pt>
                <c:pt idx="445">
                  <c:v>539.91</c:v>
                </c:pt>
                <c:pt idx="446">
                  <c:v>529.32000000000005</c:v>
                </c:pt>
                <c:pt idx="447">
                  <c:v>530</c:v>
                </c:pt>
                <c:pt idx="448">
                  <c:v>534.69000000000005</c:v>
                </c:pt>
                <c:pt idx="449">
                  <c:v>512.70000000000005</c:v>
                </c:pt>
                <c:pt idx="450">
                  <c:v>498.87</c:v>
                </c:pt>
                <c:pt idx="451">
                  <c:v>498.87</c:v>
                </c:pt>
                <c:pt idx="452">
                  <c:v>498.87</c:v>
                </c:pt>
                <c:pt idx="453">
                  <c:v>496.16</c:v>
                </c:pt>
                <c:pt idx="454">
                  <c:v>489.79</c:v>
                </c:pt>
                <c:pt idx="455">
                  <c:v>461.99</c:v>
                </c:pt>
                <c:pt idx="456">
                  <c:v>475.85</c:v>
                </c:pt>
                <c:pt idx="457">
                  <c:v>476.79</c:v>
                </c:pt>
                <c:pt idx="458">
                  <c:v>476.79</c:v>
                </c:pt>
                <c:pt idx="459">
                  <c:v>476.79</c:v>
                </c:pt>
                <c:pt idx="460">
                  <c:v>487.4</c:v>
                </c:pt>
                <c:pt idx="461">
                  <c:v>488.69</c:v>
                </c:pt>
                <c:pt idx="462">
                  <c:v>461.27</c:v>
                </c:pt>
                <c:pt idx="463">
                  <c:v>453.41</c:v>
                </c:pt>
                <c:pt idx="464">
                  <c:v>465.7</c:v>
                </c:pt>
                <c:pt idx="465">
                  <c:v>465.7</c:v>
                </c:pt>
                <c:pt idx="466">
                  <c:v>465.7</c:v>
                </c:pt>
                <c:pt idx="467">
                  <c:v>465.71</c:v>
                </c:pt>
                <c:pt idx="468">
                  <c:v>463.19</c:v>
                </c:pt>
                <c:pt idx="469">
                  <c:v>474.83</c:v>
                </c:pt>
                <c:pt idx="470">
                  <c:v>497.74</c:v>
                </c:pt>
                <c:pt idx="471">
                  <c:v>488.14</c:v>
                </c:pt>
                <c:pt idx="472">
                  <c:v>488.14</c:v>
                </c:pt>
                <c:pt idx="473">
                  <c:v>488.14</c:v>
                </c:pt>
                <c:pt idx="474">
                  <c:v>475.73</c:v>
                </c:pt>
                <c:pt idx="475">
                  <c:v>494.09</c:v>
                </c:pt>
                <c:pt idx="476">
                  <c:v>488.92</c:v>
                </c:pt>
                <c:pt idx="477">
                  <c:v>509.63</c:v>
                </c:pt>
                <c:pt idx="478">
                  <c:v>517.77</c:v>
                </c:pt>
                <c:pt idx="479">
                  <c:v>517.77</c:v>
                </c:pt>
                <c:pt idx="480">
                  <c:v>517.77</c:v>
                </c:pt>
                <c:pt idx="481">
                  <c:v>515.95000000000005</c:v>
                </c:pt>
                <c:pt idx="482">
                  <c:v>528.54</c:v>
                </c:pt>
                <c:pt idx="483">
                  <c:v>526.76</c:v>
                </c:pt>
                <c:pt idx="484">
                  <c:v>537.33000000000004</c:v>
                </c:pt>
                <c:pt idx="485">
                  <c:v>527.41999999999996</c:v>
                </c:pt>
                <c:pt idx="486">
                  <c:v>527.41999999999996</c:v>
                </c:pt>
                <c:pt idx="487">
                  <c:v>527.41999999999996</c:v>
                </c:pt>
                <c:pt idx="488">
                  <c:v>529.28</c:v>
                </c:pt>
                <c:pt idx="489">
                  <c:v>526.73</c:v>
                </c:pt>
                <c:pt idx="490">
                  <c:v>535.16</c:v>
                </c:pt>
                <c:pt idx="491">
                  <c:v>531.92999999999995</c:v>
                </c:pt>
                <c:pt idx="492">
                  <c:v>528</c:v>
                </c:pt>
                <c:pt idx="493">
                  <c:v>528</c:v>
                </c:pt>
                <c:pt idx="494">
                  <c:v>528</c:v>
                </c:pt>
                <c:pt idx="495">
                  <c:v>521.12</c:v>
                </c:pt>
                <c:pt idx="496">
                  <c:v>519.1</c:v>
                </c:pt>
                <c:pt idx="497">
                  <c:v>516.78</c:v>
                </c:pt>
                <c:pt idx="498">
                  <c:v>518.22</c:v>
                </c:pt>
                <c:pt idx="499">
                  <c:v>521.30999999999995</c:v>
                </c:pt>
                <c:pt idx="500">
                  <c:v>521.30999999999995</c:v>
                </c:pt>
                <c:pt idx="501">
                  <c:v>521.30999999999995</c:v>
                </c:pt>
                <c:pt idx="502">
                  <c:v>521.30999999999995</c:v>
                </c:pt>
                <c:pt idx="503">
                  <c:v>511.76</c:v>
                </c:pt>
                <c:pt idx="504">
                  <c:v>512.74</c:v>
                </c:pt>
                <c:pt idx="505">
                  <c:v>516.86</c:v>
                </c:pt>
                <c:pt idx="506">
                  <c:v>500.27</c:v>
                </c:pt>
                <c:pt idx="507">
                  <c:v>500.27</c:v>
                </c:pt>
                <c:pt idx="508">
                  <c:v>500.27</c:v>
                </c:pt>
                <c:pt idx="509">
                  <c:v>504.79</c:v>
                </c:pt>
                <c:pt idx="510">
                  <c:v>504.79</c:v>
                </c:pt>
                <c:pt idx="511">
                  <c:v>511.83</c:v>
                </c:pt>
                <c:pt idx="512">
                  <c:v>525.6</c:v>
                </c:pt>
                <c:pt idx="513">
                  <c:v>524.62</c:v>
                </c:pt>
                <c:pt idx="514">
                  <c:v>524.62</c:v>
                </c:pt>
                <c:pt idx="515">
                  <c:v>524.62</c:v>
                </c:pt>
                <c:pt idx="516">
                  <c:v>533.28</c:v>
                </c:pt>
                <c:pt idx="517">
                  <c:v>536.31500000000005</c:v>
                </c:pt>
                <c:pt idx="518">
                  <c:v>537.95000000000005</c:v>
                </c:pt>
                <c:pt idx="519">
                  <c:v>559.1</c:v>
                </c:pt>
                <c:pt idx="520">
                  <c:v>561.35</c:v>
                </c:pt>
                <c:pt idx="521">
                  <c:v>561.35</c:v>
                </c:pt>
                <c:pt idx="522">
                  <c:v>561.35</c:v>
                </c:pt>
                <c:pt idx="523">
                  <c:v>564.41</c:v>
                </c:pt>
                <c:pt idx="524">
                  <c:v>563.33000000000004</c:v>
                </c:pt>
                <c:pt idx="525">
                  <c:v>568.30999999999995</c:v>
                </c:pt>
                <c:pt idx="526">
                  <c:v>567.84</c:v>
                </c:pt>
                <c:pt idx="527">
                  <c:v>567.36</c:v>
                </c:pt>
                <c:pt idx="528">
                  <c:v>567.36</c:v>
                </c:pt>
                <c:pt idx="529">
                  <c:v>567.36</c:v>
                </c:pt>
                <c:pt idx="530">
                  <c:v>572.44000000000005</c:v>
                </c:pt>
                <c:pt idx="531">
                  <c:v>576.47</c:v>
                </c:pt>
                <c:pt idx="532">
                  <c:v>572.80999999999995</c:v>
                </c:pt>
                <c:pt idx="533">
                  <c:v>582.77</c:v>
                </c:pt>
                <c:pt idx="534">
                  <c:v>595.94000000000005</c:v>
                </c:pt>
                <c:pt idx="535">
                  <c:v>595.94000000000005</c:v>
                </c:pt>
                <c:pt idx="536">
                  <c:v>595.94000000000005</c:v>
                </c:pt>
                <c:pt idx="537">
                  <c:v>584.78</c:v>
                </c:pt>
                <c:pt idx="538">
                  <c:v>592.89</c:v>
                </c:pt>
                <c:pt idx="539">
                  <c:v>590.51</c:v>
                </c:pt>
                <c:pt idx="540">
                  <c:v>583.83000000000004</c:v>
                </c:pt>
                <c:pt idx="541">
                  <c:v>589.95000000000005</c:v>
                </c:pt>
                <c:pt idx="542">
                  <c:v>589.95000000000005</c:v>
                </c:pt>
                <c:pt idx="543">
                  <c:v>589.95000000000005</c:v>
                </c:pt>
                <c:pt idx="544">
                  <c:v>590.41999999999996</c:v>
                </c:pt>
                <c:pt idx="545">
                  <c:v>586.27</c:v>
                </c:pt>
                <c:pt idx="546">
                  <c:v>576.79</c:v>
                </c:pt>
                <c:pt idx="547">
                  <c:v>576.92999999999995</c:v>
                </c:pt>
                <c:pt idx="548">
                  <c:v>576.47</c:v>
                </c:pt>
                <c:pt idx="549">
                  <c:v>576.47</c:v>
                </c:pt>
                <c:pt idx="550">
                  <c:v>576.47</c:v>
                </c:pt>
                <c:pt idx="551">
                  <c:v>575.16</c:v>
                </c:pt>
                <c:pt idx="552">
                  <c:v>582.01</c:v>
                </c:pt>
                <c:pt idx="553">
                  <c:v>563.69000000000005</c:v>
                </c:pt>
                <c:pt idx="554">
                  <c:v>567.78</c:v>
                </c:pt>
                <c:pt idx="555">
                  <c:v>573.25</c:v>
                </c:pt>
                <c:pt idx="556">
                  <c:v>573.25</c:v>
                </c:pt>
                <c:pt idx="557">
                  <c:v>573.25</c:v>
                </c:pt>
                <c:pt idx="558">
                  <c:v>578.16</c:v>
                </c:pt>
                <c:pt idx="559">
                  <c:v>593.28</c:v>
                </c:pt>
                <c:pt idx="560">
                  <c:v>591.79999999999995</c:v>
                </c:pt>
                <c:pt idx="561">
                  <c:v>567.58000000000004</c:v>
                </c:pt>
                <c:pt idx="562">
                  <c:v>567.16</c:v>
                </c:pt>
                <c:pt idx="563">
                  <c:v>567.16</c:v>
                </c:pt>
                <c:pt idx="564">
                  <c:v>567.16</c:v>
                </c:pt>
                <c:pt idx="565">
                  <c:v>560.67999999999995</c:v>
                </c:pt>
                <c:pt idx="566">
                  <c:v>572.42999999999995</c:v>
                </c:pt>
                <c:pt idx="567">
                  <c:v>572.04999999999995</c:v>
                </c:pt>
                <c:pt idx="568">
                  <c:v>591.70000000000005</c:v>
                </c:pt>
                <c:pt idx="569">
                  <c:v>589.34</c:v>
                </c:pt>
                <c:pt idx="570">
                  <c:v>589.34</c:v>
                </c:pt>
                <c:pt idx="571">
                  <c:v>589.34</c:v>
                </c:pt>
                <c:pt idx="572">
                  <c:v>583.16999999999996</c:v>
                </c:pt>
                <c:pt idx="573">
                  <c:v>584.82000000000005</c:v>
                </c:pt>
                <c:pt idx="574">
                  <c:v>580</c:v>
                </c:pt>
                <c:pt idx="575">
                  <c:v>577.16</c:v>
                </c:pt>
                <c:pt idx="576">
                  <c:v>554.08000000000004</c:v>
                </c:pt>
                <c:pt idx="577">
                  <c:v>554.08000000000004</c:v>
                </c:pt>
                <c:pt idx="578">
                  <c:v>554.08000000000004</c:v>
                </c:pt>
                <c:pt idx="579">
                  <c:v>554.4</c:v>
                </c:pt>
                <c:pt idx="580">
                  <c:v>561.09</c:v>
                </c:pt>
                <c:pt idx="581">
                  <c:v>565.52</c:v>
                </c:pt>
                <c:pt idx="582">
                  <c:v>563.09</c:v>
                </c:pt>
                <c:pt idx="583">
                  <c:v>559.14</c:v>
                </c:pt>
                <c:pt idx="584">
                  <c:v>559.14</c:v>
                </c:pt>
                <c:pt idx="585">
                  <c:v>559.14</c:v>
                </c:pt>
                <c:pt idx="586">
                  <c:v>565.11</c:v>
                </c:pt>
                <c:pt idx="587">
                  <c:v>573.54</c:v>
                </c:pt>
                <c:pt idx="588">
                  <c:v>569.20000000000005</c:v>
                </c:pt>
                <c:pt idx="589">
                  <c:v>569.20000000000005</c:v>
                </c:pt>
                <c:pt idx="590">
                  <c:v>574.32000000000005</c:v>
                </c:pt>
                <c:pt idx="591">
                  <c:v>574.32000000000005</c:v>
                </c:pt>
                <c:pt idx="592">
                  <c:v>574.32000000000005</c:v>
                </c:pt>
                <c:pt idx="593">
                  <c:v>592.83000000000004</c:v>
                </c:pt>
                <c:pt idx="594">
                  <c:v>613.65</c:v>
                </c:pt>
                <c:pt idx="595">
                  <c:v>613.78</c:v>
                </c:pt>
                <c:pt idx="596">
                  <c:v>608.92999999999995</c:v>
                </c:pt>
                <c:pt idx="597">
                  <c:v>623.77</c:v>
                </c:pt>
                <c:pt idx="598">
                  <c:v>623.77</c:v>
                </c:pt>
                <c:pt idx="599">
                  <c:v>623.77</c:v>
                </c:pt>
                <c:pt idx="600">
                  <c:v>613.57000000000005</c:v>
                </c:pt>
                <c:pt idx="601">
                  <c:v>619.32000000000005</c:v>
                </c:pt>
                <c:pt idx="602">
                  <c:v>632.67999999999995</c:v>
                </c:pt>
                <c:pt idx="603">
                  <c:v>630.79</c:v>
                </c:pt>
                <c:pt idx="604">
                  <c:v>620.35</c:v>
                </c:pt>
                <c:pt idx="605">
                  <c:v>620.35</c:v>
                </c:pt>
                <c:pt idx="606">
                  <c:v>620.35</c:v>
                </c:pt>
                <c:pt idx="607">
                  <c:v>624.24</c:v>
                </c:pt>
                <c:pt idx="608">
                  <c:v>619.44000000000005</c:v>
                </c:pt>
                <c:pt idx="609">
                  <c:v>597.19000000000005</c:v>
                </c:pt>
                <c:pt idx="610">
                  <c:v>595.57000000000005</c:v>
                </c:pt>
                <c:pt idx="611">
                  <c:v>585.25</c:v>
                </c:pt>
                <c:pt idx="612">
                  <c:v>585.25</c:v>
                </c:pt>
                <c:pt idx="613">
                  <c:v>585.25</c:v>
                </c:pt>
                <c:pt idx="614">
                  <c:v>599.85</c:v>
                </c:pt>
                <c:pt idx="615">
                  <c:v>607.75</c:v>
                </c:pt>
                <c:pt idx="616">
                  <c:v>607.75</c:v>
                </c:pt>
                <c:pt idx="617">
                  <c:v>603.35</c:v>
                </c:pt>
                <c:pt idx="618">
                  <c:v>599.80999999999995</c:v>
                </c:pt>
                <c:pt idx="619">
                  <c:v>599.80999999999995</c:v>
                </c:pt>
                <c:pt idx="620">
                  <c:v>599.80999999999995</c:v>
                </c:pt>
                <c:pt idx="621">
                  <c:v>591.24</c:v>
                </c:pt>
                <c:pt idx="622">
                  <c:v>585.51</c:v>
                </c:pt>
                <c:pt idx="623">
                  <c:v>585.51</c:v>
                </c:pt>
                <c:pt idx="624">
                  <c:v>599.24</c:v>
                </c:pt>
                <c:pt idx="625">
                  <c:v>604.63</c:v>
                </c:pt>
                <c:pt idx="626">
                  <c:v>604.63</c:v>
                </c:pt>
                <c:pt idx="627">
                  <c:v>604.63</c:v>
                </c:pt>
                <c:pt idx="628">
                  <c:v>630.20000000000005</c:v>
                </c:pt>
                <c:pt idx="629">
                  <c:v>617.89</c:v>
                </c:pt>
                <c:pt idx="630">
                  <c:v>610.72</c:v>
                </c:pt>
                <c:pt idx="631">
                  <c:v>610.72</c:v>
                </c:pt>
                <c:pt idx="632">
                  <c:v>615.86</c:v>
                </c:pt>
                <c:pt idx="633">
                  <c:v>615.86</c:v>
                </c:pt>
                <c:pt idx="634">
                  <c:v>615.86</c:v>
                </c:pt>
                <c:pt idx="635">
                  <c:v>608.33000000000004</c:v>
                </c:pt>
                <c:pt idx="636">
                  <c:v>594.25</c:v>
                </c:pt>
                <c:pt idx="637">
                  <c:v>617.12</c:v>
                </c:pt>
                <c:pt idx="638">
                  <c:v>611.29999999999995</c:v>
                </c:pt>
                <c:pt idx="639">
                  <c:v>612.77</c:v>
                </c:pt>
                <c:pt idx="640">
                  <c:v>612.77</c:v>
                </c:pt>
                <c:pt idx="641">
                  <c:v>612.77</c:v>
                </c:pt>
                <c:pt idx="642">
                  <c:v>612.77</c:v>
                </c:pt>
                <c:pt idx="643">
                  <c:v>616.46</c:v>
                </c:pt>
                <c:pt idx="644">
                  <c:v>623.5</c:v>
                </c:pt>
                <c:pt idx="645">
                  <c:v>636.45000000000005</c:v>
                </c:pt>
                <c:pt idx="646">
                  <c:v>647.49</c:v>
                </c:pt>
                <c:pt idx="647">
                  <c:v>647.49</c:v>
                </c:pt>
                <c:pt idx="648">
                  <c:v>647.49</c:v>
                </c:pt>
                <c:pt idx="649">
                  <c:v>659.88</c:v>
                </c:pt>
                <c:pt idx="650">
                  <c:v>674.33</c:v>
                </c:pt>
                <c:pt idx="651">
                  <c:v>676.49</c:v>
                </c:pt>
                <c:pt idx="652">
                  <c:v>687</c:v>
                </c:pt>
                <c:pt idx="653">
                  <c:v>689.18</c:v>
                </c:pt>
                <c:pt idx="654">
                  <c:v>689.18</c:v>
                </c:pt>
                <c:pt idx="655">
                  <c:v>689.18</c:v>
                </c:pt>
                <c:pt idx="656">
                  <c:v>697.46</c:v>
                </c:pt>
                <c:pt idx="657">
                  <c:v>704.19</c:v>
                </c:pt>
                <c:pt idx="658">
                  <c:v>704.87</c:v>
                </c:pt>
                <c:pt idx="659">
                  <c:v>711.99</c:v>
                </c:pt>
                <c:pt idx="660">
                  <c:v>714.52</c:v>
                </c:pt>
                <c:pt idx="661">
                  <c:v>714.52</c:v>
                </c:pt>
                <c:pt idx="662">
                  <c:v>714.52</c:v>
                </c:pt>
                <c:pt idx="663">
                  <c:v>717.4</c:v>
                </c:pt>
                <c:pt idx="664">
                  <c:v>719.8</c:v>
                </c:pt>
                <c:pt idx="665">
                  <c:v>725.38</c:v>
                </c:pt>
                <c:pt idx="666">
                  <c:v>728.56</c:v>
                </c:pt>
                <c:pt idx="667">
                  <c:v>736.67</c:v>
                </c:pt>
                <c:pt idx="668">
                  <c:v>736.67</c:v>
                </c:pt>
                <c:pt idx="669">
                  <c:v>736.67</c:v>
                </c:pt>
                <c:pt idx="670">
                  <c:v>736.67</c:v>
                </c:pt>
                <c:pt idx="671">
                  <c:v>716.37</c:v>
                </c:pt>
                <c:pt idx="672">
                  <c:v>703.77</c:v>
                </c:pt>
                <c:pt idx="673">
                  <c:v>694.84</c:v>
                </c:pt>
                <c:pt idx="674">
                  <c:v>683.55</c:v>
                </c:pt>
                <c:pt idx="675">
                  <c:v>683.55</c:v>
                </c:pt>
                <c:pt idx="676">
                  <c:v>683.55</c:v>
                </c:pt>
                <c:pt idx="677">
                  <c:v>668.13</c:v>
                </c:pt>
                <c:pt idx="678">
                  <c:v>657.5</c:v>
                </c:pt>
                <c:pt idx="679">
                  <c:v>673.7</c:v>
                </c:pt>
                <c:pt idx="680">
                  <c:v>658.24</c:v>
                </c:pt>
                <c:pt idx="681">
                  <c:v>668.2</c:v>
                </c:pt>
                <c:pt idx="682">
                  <c:v>668.2</c:v>
                </c:pt>
                <c:pt idx="683">
                  <c:v>668.2</c:v>
                </c:pt>
                <c:pt idx="684">
                  <c:v>655.04999999999995</c:v>
                </c:pt>
                <c:pt idx="685">
                  <c:v>640</c:v>
                </c:pt>
                <c:pt idx="686">
                  <c:v>656.47</c:v>
                </c:pt>
                <c:pt idx="687">
                  <c:v>627.92999999999995</c:v>
                </c:pt>
                <c:pt idx="688">
                  <c:v>625.66</c:v>
                </c:pt>
                <c:pt idx="689">
                  <c:v>625.66</c:v>
                </c:pt>
                <c:pt idx="690">
                  <c:v>625.66</c:v>
                </c:pt>
                <c:pt idx="691">
                  <c:v>597.99</c:v>
                </c:pt>
                <c:pt idx="692">
                  <c:v>605.71</c:v>
                </c:pt>
                <c:pt idx="693">
                  <c:v>619.55999999999995</c:v>
                </c:pt>
                <c:pt idx="694">
                  <c:v>590.64</c:v>
                </c:pt>
                <c:pt idx="695">
                  <c:v>607.6</c:v>
                </c:pt>
                <c:pt idx="696">
                  <c:v>607.6</c:v>
                </c:pt>
                <c:pt idx="697">
                  <c:v>607.6</c:v>
                </c:pt>
                <c:pt idx="698">
                  <c:v>604.9</c:v>
                </c:pt>
                <c:pt idx="699">
                  <c:v>582.36</c:v>
                </c:pt>
                <c:pt idx="700">
                  <c:v>584.05999999999995</c:v>
                </c:pt>
                <c:pt idx="701">
                  <c:v>586</c:v>
                </c:pt>
                <c:pt idx="702">
                  <c:v>596.25</c:v>
                </c:pt>
                <c:pt idx="703">
                  <c:v>596.25</c:v>
                </c:pt>
                <c:pt idx="704">
                  <c:v>596.25</c:v>
                </c:pt>
                <c:pt idx="705">
                  <c:v>618.85</c:v>
                </c:pt>
                <c:pt idx="706">
                  <c:v>626.30999999999995</c:v>
                </c:pt>
                <c:pt idx="707">
                  <c:v>610.98</c:v>
                </c:pt>
                <c:pt idx="708">
                  <c:v>602.58000000000004</c:v>
                </c:pt>
                <c:pt idx="709">
                  <c:v>576.74</c:v>
                </c:pt>
                <c:pt idx="710">
                  <c:v>576.74</c:v>
                </c:pt>
                <c:pt idx="711">
                  <c:v>576.74</c:v>
                </c:pt>
                <c:pt idx="712">
                  <c:v>576.36</c:v>
                </c:pt>
                <c:pt idx="713">
                  <c:v>586</c:v>
                </c:pt>
                <c:pt idx="714">
                  <c:v>583.92999999999995</c:v>
                </c:pt>
                <c:pt idx="715">
                  <c:v>531.62</c:v>
                </c:pt>
                <c:pt idx="716">
                  <c:v>504.73</c:v>
                </c:pt>
                <c:pt idx="717">
                  <c:v>504.73</c:v>
                </c:pt>
                <c:pt idx="718">
                  <c:v>504.73</c:v>
                </c:pt>
                <c:pt idx="719">
                  <c:v>516.25</c:v>
                </c:pt>
                <c:pt idx="720">
                  <c:v>510.45</c:v>
                </c:pt>
                <c:pt idx="721">
                  <c:v>585.77</c:v>
                </c:pt>
                <c:pt idx="722">
                  <c:v>546.29</c:v>
                </c:pt>
                <c:pt idx="723">
                  <c:v>543.57000000000005</c:v>
                </c:pt>
                <c:pt idx="724">
                  <c:v>543.57000000000005</c:v>
                </c:pt>
                <c:pt idx="725">
                  <c:v>543.57000000000005</c:v>
                </c:pt>
                <c:pt idx="726">
                  <c:v>531.48</c:v>
                </c:pt>
                <c:pt idx="727">
                  <c:v>521.52</c:v>
                </c:pt>
                <c:pt idx="728">
                  <c:v>502.31</c:v>
                </c:pt>
                <c:pt idx="729">
                  <c:v>501.48</c:v>
                </c:pt>
                <c:pt idx="730">
                  <c:v>501.48</c:v>
                </c:pt>
                <c:pt idx="731">
                  <c:v>501.48</c:v>
                </c:pt>
                <c:pt idx="732">
                  <c:v>501.48</c:v>
                </c:pt>
                <c:pt idx="733">
                  <c:v>484.66</c:v>
                </c:pt>
                <c:pt idx="734">
                  <c:v>500.28</c:v>
                </c:pt>
                <c:pt idx="735">
                  <c:v>520.27</c:v>
                </c:pt>
                <c:pt idx="736">
                  <c:v>533.15</c:v>
                </c:pt>
                <c:pt idx="737">
                  <c:v>547.27</c:v>
                </c:pt>
                <c:pt idx="738">
                  <c:v>547.27</c:v>
                </c:pt>
                <c:pt idx="739">
                  <c:v>547.27</c:v>
                </c:pt>
                <c:pt idx="740">
                  <c:v>549.74</c:v>
                </c:pt>
                <c:pt idx="741">
                  <c:v>554.44000000000005</c:v>
                </c:pt>
                <c:pt idx="742">
                  <c:v>549</c:v>
                </c:pt>
                <c:pt idx="743">
                  <c:v>572.21</c:v>
                </c:pt>
                <c:pt idx="744">
                  <c:v>597.02</c:v>
                </c:pt>
                <c:pt idx="745">
                  <c:v>597.02</c:v>
                </c:pt>
                <c:pt idx="746">
                  <c:v>597.02</c:v>
                </c:pt>
                <c:pt idx="747">
                  <c:v>599.27</c:v>
                </c:pt>
                <c:pt idx="748">
                  <c:v>587.30999999999995</c:v>
                </c:pt>
                <c:pt idx="749">
                  <c:v>596.80999999999995</c:v>
                </c:pt>
                <c:pt idx="750">
                  <c:v>598.01</c:v>
                </c:pt>
                <c:pt idx="751">
                  <c:v>592.49</c:v>
                </c:pt>
                <c:pt idx="752">
                  <c:v>592.49</c:v>
                </c:pt>
                <c:pt idx="753">
                  <c:v>592.49</c:v>
                </c:pt>
                <c:pt idx="754">
                  <c:v>639.42999999999995</c:v>
                </c:pt>
                <c:pt idx="755">
                  <c:v>656.03</c:v>
                </c:pt>
                <c:pt idx="756">
                  <c:v>659.36</c:v>
                </c:pt>
                <c:pt idx="757">
                  <c:v>643.88</c:v>
                </c:pt>
                <c:pt idx="758">
                  <c:v>640.34</c:v>
                </c:pt>
                <c:pt idx="759">
                  <c:v>640.34</c:v>
                </c:pt>
                <c:pt idx="760">
                  <c:v>640.34</c:v>
                </c:pt>
                <c:pt idx="761">
                  <c:v>640.42999999999995</c:v>
                </c:pt>
                <c:pt idx="762">
                  <c:v>637.1</c:v>
                </c:pt>
                <c:pt idx="763">
                  <c:v>635.5</c:v>
                </c:pt>
                <c:pt idx="764">
                  <c:v>636.57000000000005</c:v>
                </c:pt>
                <c:pt idx="765">
                  <c:v>627.05999999999995</c:v>
                </c:pt>
                <c:pt idx="766">
                  <c:v>627.05999999999995</c:v>
                </c:pt>
                <c:pt idx="767">
                  <c:v>627.05999999999995</c:v>
                </c:pt>
                <c:pt idx="768">
                  <c:v>627.05999999999995</c:v>
                </c:pt>
                <c:pt idx="769">
                  <c:v>642.32000000000005</c:v>
                </c:pt>
                <c:pt idx="770">
                  <c:v>643.58000000000004</c:v>
                </c:pt>
                <c:pt idx="771">
                  <c:v>645.04999999999995</c:v>
                </c:pt>
                <c:pt idx="772">
                  <c:v>647.49</c:v>
                </c:pt>
                <c:pt idx="773">
                  <c:v>647.49</c:v>
                </c:pt>
                <c:pt idx="774">
                  <c:v>647.49</c:v>
                </c:pt>
                <c:pt idx="775">
                  <c:v>670.9</c:v>
                </c:pt>
                <c:pt idx="776">
                  <c:v>666.85</c:v>
                </c:pt>
                <c:pt idx="777">
                  <c:v>687.95</c:v>
                </c:pt>
                <c:pt idx="778">
                  <c:v>684.62</c:v>
                </c:pt>
                <c:pt idx="779">
                  <c:v>697.71</c:v>
                </c:pt>
                <c:pt idx="780">
                  <c:v>697.71</c:v>
                </c:pt>
                <c:pt idx="781">
                  <c:v>697.71</c:v>
                </c:pt>
                <c:pt idx="782">
                  <c:v>694.06</c:v>
                </c:pt>
                <c:pt idx="783">
                  <c:v>702.4</c:v>
                </c:pt>
                <c:pt idx="784">
                  <c:v>694.14</c:v>
                </c:pt>
                <c:pt idx="785">
                  <c:v>693.36</c:v>
                </c:pt>
                <c:pt idx="786">
                  <c:v>682.87</c:v>
                </c:pt>
                <c:pt idx="787">
                  <c:v>682.87</c:v>
                </c:pt>
                <c:pt idx="788">
                  <c:v>682.87</c:v>
                </c:pt>
                <c:pt idx="789">
                  <c:v>702.12</c:v>
                </c:pt>
                <c:pt idx="790">
                  <c:v>697.23</c:v>
                </c:pt>
                <c:pt idx="791">
                  <c:v>695.77</c:v>
                </c:pt>
                <c:pt idx="792">
                  <c:v>695.77</c:v>
                </c:pt>
                <c:pt idx="793">
                  <c:v>682.35</c:v>
                </c:pt>
                <c:pt idx="794">
                  <c:v>682.35</c:v>
                </c:pt>
                <c:pt idx="795">
                  <c:v>682.35</c:v>
                </c:pt>
                <c:pt idx="796">
                  <c:v>698.53</c:v>
                </c:pt>
                <c:pt idx="797">
                  <c:v>712.2</c:v>
                </c:pt>
                <c:pt idx="798">
                  <c:v>708.68</c:v>
                </c:pt>
                <c:pt idx="799">
                  <c:v>726.09</c:v>
                </c:pt>
                <c:pt idx="800">
                  <c:v>733.63</c:v>
                </c:pt>
                <c:pt idx="801">
                  <c:v>733.63</c:v>
                </c:pt>
                <c:pt idx="802">
                  <c:v>733.63</c:v>
                </c:pt>
                <c:pt idx="803">
                  <c:v>738.09</c:v>
                </c:pt>
                <c:pt idx="804">
                  <c:v>719.22</c:v>
                </c:pt>
                <c:pt idx="805">
                  <c:v>713.57</c:v>
                </c:pt>
                <c:pt idx="806">
                  <c:v>719.01</c:v>
                </c:pt>
                <c:pt idx="807">
                  <c:v>719.01</c:v>
                </c:pt>
                <c:pt idx="808">
                  <c:v>719.01</c:v>
                </c:pt>
                <c:pt idx="809">
                  <c:v>719.01</c:v>
                </c:pt>
                <c:pt idx="810">
                  <c:v>718.35</c:v>
                </c:pt>
                <c:pt idx="811">
                  <c:v>720.67</c:v>
                </c:pt>
                <c:pt idx="812">
                  <c:v>732.78</c:v>
                </c:pt>
                <c:pt idx="813">
                  <c:v>727.24</c:v>
                </c:pt>
                <c:pt idx="814">
                  <c:v>717.51</c:v>
                </c:pt>
                <c:pt idx="815">
                  <c:v>717.51</c:v>
                </c:pt>
                <c:pt idx="816">
                  <c:v>717.51</c:v>
                </c:pt>
                <c:pt idx="817">
                  <c:v>720.92</c:v>
                </c:pt>
                <c:pt idx="818">
                  <c:v>710.39</c:v>
                </c:pt>
                <c:pt idx="819">
                  <c:v>702.91</c:v>
                </c:pt>
                <c:pt idx="820">
                  <c:v>701.41</c:v>
                </c:pt>
                <c:pt idx="821">
                  <c:v>704.28</c:v>
                </c:pt>
                <c:pt idx="822">
                  <c:v>704.28</c:v>
                </c:pt>
                <c:pt idx="823">
                  <c:v>704.28</c:v>
                </c:pt>
                <c:pt idx="824">
                  <c:v>712.96500000000003</c:v>
                </c:pt>
                <c:pt idx="825">
                  <c:v>704.81</c:v>
                </c:pt>
                <c:pt idx="826">
                  <c:v>713.58</c:v>
                </c:pt>
                <c:pt idx="827">
                  <c:v>714.8</c:v>
                </c:pt>
                <c:pt idx="828">
                  <c:v>712.68</c:v>
                </c:pt>
                <c:pt idx="829">
                  <c:v>712.68</c:v>
                </c:pt>
                <c:pt idx="830">
                  <c:v>712.68</c:v>
                </c:pt>
                <c:pt idx="831">
                  <c:v>717.63</c:v>
                </c:pt>
                <c:pt idx="832">
                  <c:v>700</c:v>
                </c:pt>
                <c:pt idx="833">
                  <c:v>695.21</c:v>
                </c:pt>
                <c:pt idx="834">
                  <c:v>773.44</c:v>
                </c:pt>
                <c:pt idx="835">
                  <c:v>750.01</c:v>
                </c:pt>
                <c:pt idx="836">
                  <c:v>750.01</c:v>
                </c:pt>
                <c:pt idx="837">
                  <c:v>750.01</c:v>
                </c:pt>
                <c:pt idx="838">
                  <c:v>776.37</c:v>
                </c:pt>
                <c:pt idx="839">
                  <c:v>763.46</c:v>
                </c:pt>
                <c:pt idx="840">
                  <c:v>771.99</c:v>
                </c:pt>
                <c:pt idx="841">
                  <c:v>761.83</c:v>
                </c:pt>
                <c:pt idx="842">
                  <c:v>769.3</c:v>
                </c:pt>
                <c:pt idx="843">
                  <c:v>769.3</c:v>
                </c:pt>
                <c:pt idx="844">
                  <c:v>769.3</c:v>
                </c:pt>
                <c:pt idx="845">
                  <c:v>765.87</c:v>
                </c:pt>
                <c:pt idx="846">
                  <c:v>790</c:v>
                </c:pt>
                <c:pt idx="847">
                  <c:v>780.08</c:v>
                </c:pt>
                <c:pt idx="848">
                  <c:v>782.13</c:v>
                </c:pt>
                <c:pt idx="849">
                  <c:v>785.23</c:v>
                </c:pt>
                <c:pt idx="850">
                  <c:v>785.23</c:v>
                </c:pt>
                <c:pt idx="851">
                  <c:v>785.23</c:v>
                </c:pt>
                <c:pt idx="852">
                  <c:v>767.37</c:v>
                </c:pt>
                <c:pt idx="853">
                  <c:v>751.48</c:v>
                </c:pt>
                <c:pt idx="854">
                  <c:v>747.72</c:v>
                </c:pt>
                <c:pt idx="855">
                  <c:v>739.1</c:v>
                </c:pt>
                <c:pt idx="856">
                  <c:v>754.79</c:v>
                </c:pt>
                <c:pt idx="857">
                  <c:v>754.79</c:v>
                </c:pt>
                <c:pt idx="858">
                  <c:v>754.79</c:v>
                </c:pt>
                <c:pt idx="859">
                  <c:v>753.3</c:v>
                </c:pt>
                <c:pt idx="860">
                  <c:v>754.1</c:v>
                </c:pt>
                <c:pt idx="861">
                  <c:v>747.38</c:v>
                </c:pt>
                <c:pt idx="862">
                  <c:v>751.11</c:v>
                </c:pt>
                <c:pt idx="863">
                  <c:v>738.7</c:v>
                </c:pt>
                <c:pt idx="864">
                  <c:v>738.7</c:v>
                </c:pt>
                <c:pt idx="865">
                  <c:v>738.7</c:v>
                </c:pt>
                <c:pt idx="866">
                  <c:v>738.7</c:v>
                </c:pt>
                <c:pt idx="867">
                  <c:v>735.11</c:v>
                </c:pt>
                <c:pt idx="868">
                  <c:v>737.05</c:v>
                </c:pt>
                <c:pt idx="869">
                  <c:v>748.65</c:v>
                </c:pt>
                <c:pt idx="870">
                  <c:v>752.45</c:v>
                </c:pt>
                <c:pt idx="871">
                  <c:v>752.45</c:v>
                </c:pt>
                <c:pt idx="872">
                  <c:v>752.45</c:v>
                </c:pt>
                <c:pt idx="873">
                  <c:v>752.3</c:v>
                </c:pt>
                <c:pt idx="874">
                  <c:v>765.7</c:v>
                </c:pt>
                <c:pt idx="875">
                  <c:v>751.98</c:v>
                </c:pt>
                <c:pt idx="876">
                  <c:v>750.9</c:v>
                </c:pt>
                <c:pt idx="877">
                  <c:v>755.59</c:v>
                </c:pt>
                <c:pt idx="878">
                  <c:v>755.59</c:v>
                </c:pt>
                <c:pt idx="879">
                  <c:v>755.59</c:v>
                </c:pt>
                <c:pt idx="880">
                  <c:v>764.7</c:v>
                </c:pt>
                <c:pt idx="881">
                  <c:v>779</c:v>
                </c:pt>
                <c:pt idx="882">
                  <c:v>775.71500000000003</c:v>
                </c:pt>
                <c:pt idx="883">
                  <c:v>780.25</c:v>
                </c:pt>
                <c:pt idx="884">
                  <c:v>778.38</c:v>
                </c:pt>
                <c:pt idx="885">
                  <c:v>778.38</c:v>
                </c:pt>
                <c:pt idx="886">
                  <c:v>778.38</c:v>
                </c:pt>
                <c:pt idx="887">
                  <c:v>765.16</c:v>
                </c:pt>
                <c:pt idx="888">
                  <c:v>755.4</c:v>
                </c:pt>
                <c:pt idx="889">
                  <c:v>760.66</c:v>
                </c:pt>
                <c:pt idx="890">
                  <c:v>748.91</c:v>
                </c:pt>
                <c:pt idx="891">
                  <c:v>743.75</c:v>
                </c:pt>
                <c:pt idx="892">
                  <c:v>743.75</c:v>
                </c:pt>
                <c:pt idx="893">
                  <c:v>743.75</c:v>
                </c:pt>
                <c:pt idx="894">
                  <c:v>743.4</c:v>
                </c:pt>
                <c:pt idx="895">
                  <c:v>734.38</c:v>
                </c:pt>
                <c:pt idx="896">
                  <c:v>717.34</c:v>
                </c:pt>
                <c:pt idx="897">
                  <c:v>727.05</c:v>
                </c:pt>
                <c:pt idx="898">
                  <c:v>710.56</c:v>
                </c:pt>
                <c:pt idx="899">
                  <c:v>710.56</c:v>
                </c:pt>
                <c:pt idx="900">
                  <c:v>710.56</c:v>
                </c:pt>
                <c:pt idx="901">
                  <c:v>715.66</c:v>
                </c:pt>
                <c:pt idx="902">
                  <c:v>713.08</c:v>
                </c:pt>
                <c:pt idx="903">
                  <c:v>717.84</c:v>
                </c:pt>
                <c:pt idx="904">
                  <c:v>733.51</c:v>
                </c:pt>
                <c:pt idx="905">
                  <c:v>705.3</c:v>
                </c:pt>
                <c:pt idx="906">
                  <c:v>705.3</c:v>
                </c:pt>
                <c:pt idx="907">
                  <c:v>705.3</c:v>
                </c:pt>
                <c:pt idx="908">
                  <c:v>715.7</c:v>
                </c:pt>
                <c:pt idx="909">
                  <c:v>708.65</c:v>
                </c:pt>
                <c:pt idx="910">
                  <c:v>717.55</c:v>
                </c:pt>
                <c:pt idx="911">
                  <c:v>712.07</c:v>
                </c:pt>
                <c:pt idx="912">
                  <c:v>716.91499999999996</c:v>
                </c:pt>
                <c:pt idx="913">
                  <c:v>716.91499999999996</c:v>
                </c:pt>
                <c:pt idx="914">
                  <c:v>716.91499999999996</c:v>
                </c:pt>
                <c:pt idx="915">
                  <c:v>732.17</c:v>
                </c:pt>
                <c:pt idx="916">
                  <c:v>733.27</c:v>
                </c:pt>
                <c:pt idx="917">
                  <c:v>733.41</c:v>
                </c:pt>
                <c:pt idx="918">
                  <c:v>734</c:v>
                </c:pt>
                <c:pt idx="919">
                  <c:v>738.36</c:v>
                </c:pt>
                <c:pt idx="920">
                  <c:v>738.36</c:v>
                </c:pt>
                <c:pt idx="921">
                  <c:v>738.36</c:v>
                </c:pt>
                <c:pt idx="922">
                  <c:v>750.82</c:v>
                </c:pt>
                <c:pt idx="923">
                  <c:v>751.44</c:v>
                </c:pt>
                <c:pt idx="924">
                  <c:v>751.67</c:v>
                </c:pt>
                <c:pt idx="925">
                  <c:v>666.47</c:v>
                </c:pt>
                <c:pt idx="926">
                  <c:v>648.35</c:v>
                </c:pt>
                <c:pt idx="927">
                  <c:v>648.35</c:v>
                </c:pt>
                <c:pt idx="928">
                  <c:v>648.35</c:v>
                </c:pt>
                <c:pt idx="929">
                  <c:v>637.71</c:v>
                </c:pt>
                <c:pt idx="930">
                  <c:v>627.32000000000005</c:v>
                </c:pt>
                <c:pt idx="931">
                  <c:v>635.95000000000005</c:v>
                </c:pt>
                <c:pt idx="932">
                  <c:v>618.94000000000005</c:v>
                </c:pt>
                <c:pt idx="933">
                  <c:v>621.71</c:v>
                </c:pt>
                <c:pt idx="934">
                  <c:v>621.71</c:v>
                </c:pt>
                <c:pt idx="935">
                  <c:v>621.71</c:v>
                </c:pt>
                <c:pt idx="936">
                  <c:v>631.76</c:v>
                </c:pt>
                <c:pt idx="937">
                  <c:v>627.08000000000004</c:v>
                </c:pt>
                <c:pt idx="938">
                  <c:v>609.01</c:v>
                </c:pt>
                <c:pt idx="939">
                  <c:v>609.89</c:v>
                </c:pt>
                <c:pt idx="940">
                  <c:v>609.46</c:v>
                </c:pt>
                <c:pt idx="941">
                  <c:v>609.46</c:v>
                </c:pt>
                <c:pt idx="942">
                  <c:v>609.46</c:v>
                </c:pt>
                <c:pt idx="943">
                  <c:v>602.01</c:v>
                </c:pt>
                <c:pt idx="944">
                  <c:v>597.69000000000005</c:v>
                </c:pt>
                <c:pt idx="945">
                  <c:v>590.32000000000005</c:v>
                </c:pt>
                <c:pt idx="946">
                  <c:v>589.15</c:v>
                </c:pt>
                <c:pt idx="947">
                  <c:v>594.25</c:v>
                </c:pt>
                <c:pt idx="948">
                  <c:v>594.25</c:v>
                </c:pt>
                <c:pt idx="949">
                  <c:v>594.25</c:v>
                </c:pt>
                <c:pt idx="950">
                  <c:v>613.04999999999995</c:v>
                </c:pt>
                <c:pt idx="951">
                  <c:v>636.22</c:v>
                </c:pt>
                <c:pt idx="952">
                  <c:v>633.61</c:v>
                </c:pt>
                <c:pt idx="953">
                  <c:v>633.61</c:v>
                </c:pt>
                <c:pt idx="954">
                  <c:v>647.95000000000005</c:v>
                </c:pt>
                <c:pt idx="955">
                  <c:v>647.95000000000005</c:v>
                </c:pt>
                <c:pt idx="956">
                  <c:v>647.95000000000005</c:v>
                </c:pt>
                <c:pt idx="957">
                  <c:v>640.87</c:v>
                </c:pt>
                <c:pt idx="958">
                  <c:v>647.1</c:v>
                </c:pt>
                <c:pt idx="959">
                  <c:v>639.6</c:v>
                </c:pt>
                <c:pt idx="960">
                  <c:v>661.53</c:v>
                </c:pt>
                <c:pt idx="961">
                  <c:v>673.42</c:v>
                </c:pt>
                <c:pt idx="962">
                  <c:v>673.42</c:v>
                </c:pt>
                <c:pt idx="963">
                  <c:v>673.42</c:v>
                </c:pt>
                <c:pt idx="964">
                  <c:v>666.8</c:v>
                </c:pt>
                <c:pt idx="965">
                  <c:v>656.96</c:v>
                </c:pt>
                <c:pt idx="966">
                  <c:v>650.13</c:v>
                </c:pt>
                <c:pt idx="967">
                  <c:v>652.71</c:v>
                </c:pt>
                <c:pt idx="968">
                  <c:v>644.23</c:v>
                </c:pt>
                <c:pt idx="969">
                  <c:v>644.23</c:v>
                </c:pt>
                <c:pt idx="970">
                  <c:v>644.23</c:v>
                </c:pt>
                <c:pt idx="971">
                  <c:v>647.51</c:v>
                </c:pt>
                <c:pt idx="972">
                  <c:v>657.15</c:v>
                </c:pt>
                <c:pt idx="973">
                  <c:v>649.5</c:v>
                </c:pt>
                <c:pt idx="974">
                  <c:v>664.45</c:v>
                </c:pt>
                <c:pt idx="975">
                  <c:v>658.77</c:v>
                </c:pt>
                <c:pt idx="976">
                  <c:v>658.77</c:v>
                </c:pt>
                <c:pt idx="977">
                  <c:v>658.77</c:v>
                </c:pt>
                <c:pt idx="978">
                  <c:v>661.5</c:v>
                </c:pt>
                <c:pt idx="979">
                  <c:v>664.94</c:v>
                </c:pt>
                <c:pt idx="980">
                  <c:v>667.55</c:v>
                </c:pt>
                <c:pt idx="981">
                  <c:v>667.55</c:v>
                </c:pt>
                <c:pt idx="982">
                  <c:v>663.29</c:v>
                </c:pt>
                <c:pt idx="983">
                  <c:v>663.29</c:v>
                </c:pt>
                <c:pt idx="984">
                  <c:v>663.29</c:v>
                </c:pt>
                <c:pt idx="985">
                  <c:v>658.69</c:v>
                </c:pt>
                <c:pt idx="986">
                  <c:v>665.95</c:v>
                </c:pt>
                <c:pt idx="987">
                  <c:v>660.09</c:v>
                </c:pt>
                <c:pt idx="988">
                  <c:v>660.09</c:v>
                </c:pt>
                <c:pt idx="989">
                  <c:v>650.41</c:v>
                </c:pt>
                <c:pt idx="990">
                  <c:v>650.41</c:v>
                </c:pt>
                <c:pt idx="991">
                  <c:v>650.41</c:v>
                </c:pt>
                <c:pt idx="992">
                  <c:v>658.79</c:v>
                </c:pt>
                <c:pt idx="993">
                  <c:v>660.62</c:v>
                </c:pt>
                <c:pt idx="994">
                  <c:v>648.69000000000005</c:v>
                </c:pt>
                <c:pt idx="995">
                  <c:v>646.05999999999995</c:v>
                </c:pt>
                <c:pt idx="996">
                  <c:v>653.05999999999995</c:v>
                </c:pt>
                <c:pt idx="997">
                  <c:v>653.05999999999995</c:v>
                </c:pt>
                <c:pt idx="998">
                  <c:v>653.05999999999995</c:v>
                </c:pt>
                <c:pt idx="999">
                  <c:v>641.97</c:v>
                </c:pt>
                <c:pt idx="1000">
                  <c:v>631.09</c:v>
                </c:pt>
                <c:pt idx="1001">
                  <c:v>615.52</c:v>
                </c:pt>
                <c:pt idx="1002">
                  <c:v>620.79999999999995</c:v>
                </c:pt>
                <c:pt idx="1003">
                  <c:v>620.25</c:v>
                </c:pt>
                <c:pt idx="1004">
                  <c:v>620.25</c:v>
                </c:pt>
                <c:pt idx="1005">
                  <c:v>620.25</c:v>
                </c:pt>
                <c:pt idx="1006">
                  <c:v>620.25</c:v>
                </c:pt>
                <c:pt idx="1007">
                  <c:v>604.12</c:v>
                </c:pt>
                <c:pt idx="1008">
                  <c:v>612.96</c:v>
                </c:pt>
                <c:pt idx="1009">
                  <c:v>647.63</c:v>
                </c:pt>
                <c:pt idx="1010">
                  <c:v>658.76</c:v>
                </c:pt>
                <c:pt idx="1011">
                  <c:v>658.76</c:v>
                </c:pt>
                <c:pt idx="1012">
                  <c:v>658.76</c:v>
                </c:pt>
                <c:pt idx="1013">
                  <c:v>672.36</c:v>
                </c:pt>
                <c:pt idx="1014">
                  <c:v>672.97</c:v>
                </c:pt>
                <c:pt idx="1015">
                  <c:v>668.73</c:v>
                </c:pt>
                <c:pt idx="1016">
                  <c:v>738.31</c:v>
                </c:pt>
                <c:pt idx="1017">
                  <c:v>716.5</c:v>
                </c:pt>
                <c:pt idx="1018">
                  <c:v>716.5</c:v>
                </c:pt>
                <c:pt idx="1019">
                  <c:v>716.5</c:v>
                </c:pt>
                <c:pt idx="1020">
                  <c:v>706.41</c:v>
                </c:pt>
                <c:pt idx="1021">
                  <c:v>691.7</c:v>
                </c:pt>
                <c:pt idx="1022">
                  <c:v>668.99</c:v>
                </c:pt>
                <c:pt idx="1023">
                  <c:v>670.21</c:v>
                </c:pt>
                <c:pt idx="1024">
                  <c:v>661.46</c:v>
                </c:pt>
                <c:pt idx="1025">
                  <c:v>661.46</c:v>
                </c:pt>
                <c:pt idx="1026">
                  <c:v>661.46</c:v>
                </c:pt>
                <c:pt idx="1027">
                  <c:v>677.22</c:v>
                </c:pt>
                <c:pt idx="1028">
                  <c:v>670.72</c:v>
                </c:pt>
                <c:pt idx="1029">
                  <c:v>668.69</c:v>
                </c:pt>
                <c:pt idx="1030">
                  <c:v>649.80999999999995</c:v>
                </c:pt>
                <c:pt idx="1031">
                  <c:v>639.77</c:v>
                </c:pt>
                <c:pt idx="1032">
                  <c:v>639.77</c:v>
                </c:pt>
                <c:pt idx="1033">
                  <c:v>639.77</c:v>
                </c:pt>
                <c:pt idx="1034">
                  <c:v>639.77</c:v>
                </c:pt>
                <c:pt idx="1035">
                  <c:v>639.29</c:v>
                </c:pt>
                <c:pt idx="1036">
                  <c:v>643.22</c:v>
                </c:pt>
                <c:pt idx="1037">
                  <c:v>644.78</c:v>
                </c:pt>
                <c:pt idx="1038">
                  <c:v>655.66</c:v>
                </c:pt>
                <c:pt idx="1039">
                  <c:v>655.66</c:v>
                </c:pt>
                <c:pt idx="1040">
                  <c:v>655.66</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644.86</c:v>
                </c:pt>
                <c:pt idx="1054">
                  <c:v>644.86</c:v>
                </c:pt>
                <c:pt idx="1055">
                  <c:v>647.39</c:v>
                </c:pt>
                <c:pt idx="1056">
                  <c:v>654.07000000000005</c:v>
                </c:pt>
                <c:pt idx="1057">
                  <c:v>654.86</c:v>
                </c:pt>
                <c:pt idx="1058">
                  <c:v>638.17999999999995</c:v>
                </c:pt>
                <c:pt idx="1059">
                  <c:v>613.71</c:v>
                </c:pt>
                <c:pt idx="1060">
                  <c:v>613.71</c:v>
                </c:pt>
                <c:pt idx="1061">
                  <c:v>613.71</c:v>
                </c:pt>
                <c:pt idx="1062">
                  <c:v>627.45000000000005</c:v>
                </c:pt>
                <c:pt idx="1063">
                  <c:v>622.66</c:v>
                </c:pt>
                <c:pt idx="1064">
                  <c:v>615.67999999999995</c:v>
                </c:pt>
                <c:pt idx="1065">
                  <c:v>606.70000000000005</c:v>
                </c:pt>
                <c:pt idx="1066">
                  <c:v>593.66</c:v>
                </c:pt>
                <c:pt idx="1067">
                  <c:v>593.66</c:v>
                </c:pt>
                <c:pt idx="1068">
                  <c:v>593.66</c:v>
                </c:pt>
                <c:pt idx="1069">
                  <c:v>604.05999999999995</c:v>
                </c:pt>
                <c:pt idx="1070">
                  <c:v>592.91999999999996</c:v>
                </c:pt>
                <c:pt idx="1071">
                  <c:v>594.89</c:v>
                </c:pt>
                <c:pt idx="1072">
                  <c:v>547.54</c:v>
                </c:pt>
                <c:pt idx="1073">
                  <c:v>525.72</c:v>
                </c:pt>
                <c:pt idx="1074">
                  <c:v>525.72</c:v>
                </c:pt>
                <c:pt idx="1075">
                  <c:v>525.72</c:v>
                </c:pt>
                <c:pt idx="1076">
                  <c:v>536.38</c:v>
                </c:pt>
                <c:pt idx="1077">
                  <c:v>572.13</c:v>
                </c:pt>
                <c:pt idx="1078">
                  <c:v>579.23</c:v>
                </c:pt>
                <c:pt idx="1079">
                  <c:v>574.46</c:v>
                </c:pt>
                <c:pt idx="1080">
                  <c:v>574.46</c:v>
                </c:pt>
                <c:pt idx="1081">
                  <c:v>574.46</c:v>
                </c:pt>
                <c:pt idx="1082">
                  <c:v>574.46</c:v>
                </c:pt>
                <c:pt idx="1083">
                  <c:v>573.02</c:v>
                </c:pt>
                <c:pt idx="1084">
                  <c:v>575.04999999999995</c:v>
                </c:pt>
                <c:pt idx="1085">
                  <c:v>612.41999999999996</c:v>
                </c:pt>
                <c:pt idx="1086">
                  <c:v>628.39</c:v>
                </c:pt>
                <c:pt idx="1087">
                  <c:v>629.86</c:v>
                </c:pt>
                <c:pt idx="1088">
                  <c:v>629.86</c:v>
                </c:pt>
                <c:pt idx="1089">
                  <c:v>629.86</c:v>
                </c:pt>
                <c:pt idx="1090">
                  <c:v>634.53</c:v>
                </c:pt>
                <c:pt idx="1091">
                  <c:v>662.49</c:v>
                </c:pt>
                <c:pt idx="1092">
                  <c:v>671.58</c:v>
                </c:pt>
                <c:pt idx="1093">
                  <c:v>676.87</c:v>
                </c:pt>
                <c:pt idx="1094">
                  <c:v>676.87</c:v>
                </c:pt>
              </c:numCache>
            </c:numRef>
          </c:val>
          <c:smooth val="0"/>
          <c:extLst>
            <c:ext xmlns:c16="http://schemas.microsoft.com/office/drawing/2014/chart" uri="{C3380CC4-5D6E-409C-BE32-E72D297353CC}">
              <c16:uniqueId val="{00000000-12F6-4818-8652-FCA04B21EE11}"/>
            </c:ext>
          </c:extLst>
        </c:ser>
        <c:dLbls>
          <c:showLegendKey val="0"/>
          <c:showVal val="0"/>
          <c:showCatName val="0"/>
          <c:showSerName val="0"/>
          <c:showPercent val="0"/>
          <c:showBubbleSize val="0"/>
        </c:dLbls>
        <c:marker val="1"/>
        <c:smooth val="0"/>
        <c:axId val="2085423231"/>
        <c:axId val="2071215679"/>
      </c:lineChart>
      <c:lineChart>
        <c:grouping val="standard"/>
        <c:varyColors val="0"/>
        <c:ser>
          <c:idx val="1"/>
          <c:order val="1"/>
          <c:tx>
            <c:v>S&amp;P 500</c:v>
          </c:tx>
          <c:spPr>
            <a:ln w="12700" cap="rnd">
              <a:solidFill>
                <a:schemeClr val="bg1">
                  <a:lumMod val="50000"/>
                </a:schemeClr>
              </a:solidFill>
              <a:round/>
            </a:ln>
            <a:effectLst/>
          </c:spPr>
          <c:marker>
            <c:symbol val="none"/>
          </c:marker>
          <c:cat>
            <c:numRef>
              <c:f>'Report F7'!$AF$6:$AF$1100</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'Report F7'!$AL$6:$AL$1100</c:f>
              <c:numCache>
                <c:formatCode>#,##0</c:formatCode>
                <c:ptCount val="1095"/>
                <c:pt idx="0">
                  <c:v>4154.5189899999996</c:v>
                </c:pt>
                <c:pt idx="1">
                  <c:v>4129.7923700000001</c:v>
                </c:pt>
                <c:pt idx="2">
                  <c:v>4133.5213199999998</c:v>
                </c:pt>
                <c:pt idx="3">
                  <c:v>4133.5213199999998</c:v>
                </c:pt>
                <c:pt idx="4">
                  <c:v>4133.5213199999998</c:v>
                </c:pt>
                <c:pt idx="5">
                  <c:v>4137.0445900000004</c:v>
                </c:pt>
                <c:pt idx="6">
                  <c:v>4071.6304300000002</c:v>
                </c:pt>
                <c:pt idx="7">
                  <c:v>4055.9877799999999</c:v>
                </c:pt>
                <c:pt idx="8">
                  <c:v>4135.3522300000004</c:v>
                </c:pt>
                <c:pt idx="9">
                  <c:v>4169.4813999999997</c:v>
                </c:pt>
                <c:pt idx="10">
                  <c:v>4169.4813999999997</c:v>
                </c:pt>
                <c:pt idx="11">
                  <c:v>4169.4813999999997</c:v>
                </c:pt>
                <c:pt idx="12">
                  <c:v>4167.8668900000002</c:v>
                </c:pt>
                <c:pt idx="13">
                  <c:v>4119.5804500000004</c:v>
                </c:pt>
                <c:pt idx="14">
                  <c:v>4090.7522199999999</c:v>
                </c:pt>
                <c:pt idx="15">
                  <c:v>4061.2168900000001</c:v>
                </c:pt>
                <c:pt idx="16">
                  <c:v>4136.25335</c:v>
                </c:pt>
                <c:pt idx="17">
                  <c:v>4136.25335</c:v>
                </c:pt>
                <c:pt idx="18">
                  <c:v>4136.25335</c:v>
                </c:pt>
                <c:pt idx="19">
                  <c:v>4138.1229800000001</c:v>
                </c:pt>
                <c:pt idx="20">
                  <c:v>4119.1733700000004</c:v>
                </c:pt>
                <c:pt idx="21">
                  <c:v>4137.6421899999996</c:v>
                </c:pt>
                <c:pt idx="22">
                  <c:v>4130.6212699999996</c:v>
                </c:pt>
                <c:pt idx="23">
                  <c:v>4124.0810199999996</c:v>
                </c:pt>
                <c:pt idx="24">
                  <c:v>4124.0810199999996</c:v>
                </c:pt>
                <c:pt idx="25">
                  <c:v>4124.0810199999996</c:v>
                </c:pt>
                <c:pt idx="26">
                  <c:v>4136.2842099999998</c:v>
                </c:pt>
                <c:pt idx="27">
                  <c:v>4109.8970099999997</c:v>
                </c:pt>
                <c:pt idx="28">
                  <c:v>4158.7707700000001</c:v>
                </c:pt>
                <c:pt idx="29">
                  <c:v>4198.0509499999998</c:v>
                </c:pt>
                <c:pt idx="30">
                  <c:v>4191.9797900000003</c:v>
                </c:pt>
                <c:pt idx="31">
                  <c:v>4191.9797900000003</c:v>
                </c:pt>
                <c:pt idx="32">
                  <c:v>4191.9797900000003</c:v>
                </c:pt>
                <c:pt idx="33">
                  <c:v>4192.6306999999997</c:v>
                </c:pt>
                <c:pt idx="34">
                  <c:v>4145.5751899999996</c:v>
                </c:pt>
                <c:pt idx="35">
                  <c:v>4115.2385700000004</c:v>
                </c:pt>
                <c:pt idx="36">
                  <c:v>4151.2798700000003</c:v>
                </c:pt>
                <c:pt idx="37">
                  <c:v>4205.4525299999996</c:v>
                </c:pt>
                <c:pt idx="38">
                  <c:v>4205.4525299999996</c:v>
                </c:pt>
                <c:pt idx="39">
                  <c:v>4205.4525299999996</c:v>
                </c:pt>
                <c:pt idx="40">
                  <c:v>4205.4525299999996</c:v>
                </c:pt>
                <c:pt idx="41">
                  <c:v>4205.5206900000003</c:v>
                </c:pt>
                <c:pt idx="42">
                  <c:v>4179.82546</c:v>
                </c:pt>
                <c:pt idx="43">
                  <c:v>4221.0202200000003</c:v>
                </c:pt>
                <c:pt idx="44">
                  <c:v>4282.3655699999999</c:v>
                </c:pt>
                <c:pt idx="45">
                  <c:v>4282.3655699999999</c:v>
                </c:pt>
                <c:pt idx="46">
                  <c:v>4282.3655699999999</c:v>
                </c:pt>
                <c:pt idx="47">
                  <c:v>4273.7941899999996</c:v>
                </c:pt>
                <c:pt idx="48">
                  <c:v>4283.8483900000001</c:v>
                </c:pt>
                <c:pt idx="49">
                  <c:v>4267.5184600000002</c:v>
                </c:pt>
                <c:pt idx="50">
                  <c:v>4293.9277700000002</c:v>
                </c:pt>
                <c:pt idx="51">
                  <c:v>4298.8573100000003</c:v>
                </c:pt>
                <c:pt idx="52">
                  <c:v>4298.8573100000003</c:v>
                </c:pt>
                <c:pt idx="53">
                  <c:v>4298.8573100000003</c:v>
                </c:pt>
                <c:pt idx="54">
                  <c:v>4338.93444</c:v>
                </c:pt>
                <c:pt idx="55">
                  <c:v>4369.0063899999996</c:v>
                </c:pt>
                <c:pt idx="56">
                  <c:v>4372.5894399999997</c:v>
                </c:pt>
                <c:pt idx="57">
                  <c:v>4425.8442599999998</c:v>
                </c:pt>
                <c:pt idx="58">
                  <c:v>4409.5943600000001</c:v>
                </c:pt>
                <c:pt idx="59">
                  <c:v>4409.5943600000001</c:v>
                </c:pt>
                <c:pt idx="60">
                  <c:v>4409.5943600000001</c:v>
                </c:pt>
                <c:pt idx="61">
                  <c:v>4409.5943600000001</c:v>
                </c:pt>
                <c:pt idx="62">
                  <c:v>4388.7097599999997</c:v>
                </c:pt>
                <c:pt idx="63">
                  <c:v>4365.6898300000003</c:v>
                </c:pt>
                <c:pt idx="64">
                  <c:v>4381.89048</c:v>
                </c:pt>
                <c:pt idx="65">
                  <c:v>4348.3306700000003</c:v>
                </c:pt>
                <c:pt idx="66">
                  <c:v>4348.3306700000003</c:v>
                </c:pt>
                <c:pt idx="67">
                  <c:v>4348.3306700000003</c:v>
                </c:pt>
                <c:pt idx="68">
                  <c:v>4328.82161</c:v>
                </c:pt>
                <c:pt idx="69">
                  <c:v>4378.4053199999998</c:v>
                </c:pt>
                <c:pt idx="70">
                  <c:v>4376.8637099999996</c:v>
                </c:pt>
                <c:pt idx="71">
                  <c:v>4396.4434199999996</c:v>
                </c:pt>
                <c:pt idx="72">
                  <c:v>4450.3813099999998</c:v>
                </c:pt>
                <c:pt idx="73">
                  <c:v>4450.3813099999998</c:v>
                </c:pt>
                <c:pt idx="74">
                  <c:v>4450.3813099999998</c:v>
                </c:pt>
                <c:pt idx="75">
                  <c:v>4455.5938800000004</c:v>
                </c:pt>
                <c:pt idx="76">
                  <c:v>4455.5938800000004</c:v>
                </c:pt>
                <c:pt idx="77">
                  <c:v>4446.8247700000002</c:v>
                </c:pt>
                <c:pt idx="78">
                  <c:v>4411.5907299999999</c:v>
                </c:pt>
                <c:pt idx="79">
                  <c:v>4398.9526599999999</c:v>
                </c:pt>
                <c:pt idx="80">
                  <c:v>4398.9526599999999</c:v>
                </c:pt>
                <c:pt idx="81">
                  <c:v>4398.9526599999999</c:v>
                </c:pt>
                <c:pt idx="82">
                  <c:v>4409.5258000000003</c:v>
                </c:pt>
                <c:pt idx="83">
                  <c:v>4439.2563300000002</c:v>
                </c:pt>
                <c:pt idx="84">
                  <c:v>4472.1603299999997</c:v>
                </c:pt>
                <c:pt idx="85">
                  <c:v>4510.0418</c:v>
                </c:pt>
                <c:pt idx="86">
                  <c:v>4505.4203399999997</c:v>
                </c:pt>
                <c:pt idx="87">
                  <c:v>4505.4203399999997</c:v>
                </c:pt>
                <c:pt idx="88">
                  <c:v>4505.4203399999997</c:v>
                </c:pt>
                <c:pt idx="89">
                  <c:v>4522.7930999999999</c:v>
                </c:pt>
                <c:pt idx="90">
                  <c:v>4554.9769500000002</c:v>
                </c:pt>
                <c:pt idx="91">
                  <c:v>4565.7167099999997</c:v>
                </c:pt>
                <c:pt idx="92">
                  <c:v>4534.8675499999999</c:v>
                </c:pt>
                <c:pt idx="93">
                  <c:v>4536.3385399999997</c:v>
                </c:pt>
                <c:pt idx="94">
                  <c:v>4536.3385399999997</c:v>
                </c:pt>
                <c:pt idx="95">
                  <c:v>4536.3385399999997</c:v>
                </c:pt>
                <c:pt idx="96">
                  <c:v>4554.6424399999996</c:v>
                </c:pt>
                <c:pt idx="97">
                  <c:v>4567.4637000000002</c:v>
                </c:pt>
                <c:pt idx="98">
                  <c:v>4566.7517200000002</c:v>
                </c:pt>
                <c:pt idx="99">
                  <c:v>4537.4118600000002</c:v>
                </c:pt>
                <c:pt idx="100">
                  <c:v>4582.2313299999996</c:v>
                </c:pt>
                <c:pt idx="101">
                  <c:v>4582.2313299999996</c:v>
                </c:pt>
                <c:pt idx="102">
                  <c:v>4582.2313299999996</c:v>
                </c:pt>
                <c:pt idx="103">
                  <c:v>4588.9611400000003</c:v>
                </c:pt>
                <c:pt idx="104">
                  <c:v>4576.7291500000001</c:v>
                </c:pt>
                <c:pt idx="105">
                  <c:v>4513.3938600000001</c:v>
                </c:pt>
                <c:pt idx="106">
                  <c:v>4501.8856699999997</c:v>
                </c:pt>
                <c:pt idx="107">
                  <c:v>4478.0338400000001</c:v>
                </c:pt>
                <c:pt idx="108">
                  <c:v>4478.0338400000001</c:v>
                </c:pt>
                <c:pt idx="109">
                  <c:v>4478.0338400000001</c:v>
                </c:pt>
                <c:pt idx="110">
                  <c:v>4518.4433600000002</c:v>
                </c:pt>
                <c:pt idx="111">
                  <c:v>4499.3772600000002</c:v>
                </c:pt>
                <c:pt idx="112">
                  <c:v>4467.7140900000004</c:v>
                </c:pt>
                <c:pt idx="113">
                  <c:v>4468.8347700000004</c:v>
                </c:pt>
                <c:pt idx="114">
                  <c:v>4464.0545599999996</c:v>
                </c:pt>
                <c:pt idx="115">
                  <c:v>4464.0545599999996</c:v>
                </c:pt>
                <c:pt idx="116">
                  <c:v>4464.0545599999996</c:v>
                </c:pt>
                <c:pt idx="117">
                  <c:v>4489.7183299999997</c:v>
                </c:pt>
                <c:pt idx="118">
                  <c:v>4437.85905</c:v>
                </c:pt>
                <c:pt idx="119">
                  <c:v>4404.3334699999996</c:v>
                </c:pt>
                <c:pt idx="120">
                  <c:v>4370.36006</c:v>
                </c:pt>
                <c:pt idx="121">
                  <c:v>4369.7115000000003</c:v>
                </c:pt>
                <c:pt idx="122">
                  <c:v>4369.7115000000003</c:v>
                </c:pt>
                <c:pt idx="123">
                  <c:v>4369.7115000000003</c:v>
                </c:pt>
                <c:pt idx="124">
                  <c:v>4399.7691000000004</c:v>
                </c:pt>
                <c:pt idx="125">
                  <c:v>4387.5487000000003</c:v>
                </c:pt>
                <c:pt idx="126">
                  <c:v>4436.0117399999999</c:v>
                </c:pt>
                <c:pt idx="127">
                  <c:v>4376.31495</c:v>
                </c:pt>
                <c:pt idx="128">
                  <c:v>4405.7057299999997</c:v>
                </c:pt>
                <c:pt idx="129">
                  <c:v>4405.7057299999997</c:v>
                </c:pt>
                <c:pt idx="130">
                  <c:v>4405.7057299999997</c:v>
                </c:pt>
                <c:pt idx="131">
                  <c:v>4433.3056500000002</c:v>
                </c:pt>
                <c:pt idx="132">
                  <c:v>4497.6316699999998</c:v>
                </c:pt>
                <c:pt idx="133">
                  <c:v>4514.8652599999996</c:v>
                </c:pt>
                <c:pt idx="134">
                  <c:v>4507.6617900000001</c:v>
                </c:pt>
                <c:pt idx="135">
                  <c:v>4515.7673999999997</c:v>
                </c:pt>
                <c:pt idx="136">
                  <c:v>4515.7673999999997</c:v>
                </c:pt>
                <c:pt idx="137">
                  <c:v>4515.7673999999997</c:v>
                </c:pt>
                <c:pt idx="138">
                  <c:v>4515.7673999999997</c:v>
                </c:pt>
                <c:pt idx="139">
                  <c:v>4496.8272800000004</c:v>
                </c:pt>
                <c:pt idx="140">
                  <c:v>4465.4847600000003</c:v>
                </c:pt>
                <c:pt idx="141">
                  <c:v>4451.1379800000004</c:v>
                </c:pt>
                <c:pt idx="142">
                  <c:v>4457.4893099999999</c:v>
                </c:pt>
                <c:pt idx="143">
                  <c:v>4457.4893099999999</c:v>
                </c:pt>
                <c:pt idx="144">
                  <c:v>4457.4893099999999</c:v>
                </c:pt>
                <c:pt idx="145">
                  <c:v>4487.4638599999998</c:v>
                </c:pt>
                <c:pt idx="146">
                  <c:v>4461.9049199999999</c:v>
                </c:pt>
                <c:pt idx="147">
                  <c:v>4467.44193</c:v>
                </c:pt>
                <c:pt idx="148">
                  <c:v>4505.0962799999998</c:v>
                </c:pt>
                <c:pt idx="149">
                  <c:v>4450.31628</c:v>
                </c:pt>
                <c:pt idx="150">
                  <c:v>4450.31628</c:v>
                </c:pt>
                <c:pt idx="151">
                  <c:v>4450.31628</c:v>
                </c:pt>
                <c:pt idx="152">
                  <c:v>4453.5338000000002</c:v>
                </c:pt>
                <c:pt idx="153">
                  <c:v>4443.9475000000002</c:v>
                </c:pt>
                <c:pt idx="154">
                  <c:v>4402.2035400000004</c:v>
                </c:pt>
                <c:pt idx="155">
                  <c:v>4330.0048500000003</c:v>
                </c:pt>
                <c:pt idx="156">
                  <c:v>4320.0571300000001</c:v>
                </c:pt>
                <c:pt idx="157">
                  <c:v>4320.0571300000001</c:v>
                </c:pt>
                <c:pt idx="158">
                  <c:v>4320.0571300000001</c:v>
                </c:pt>
                <c:pt idx="159">
                  <c:v>4337.4449800000002</c:v>
                </c:pt>
                <c:pt idx="160">
                  <c:v>4273.5283099999997</c:v>
                </c:pt>
                <c:pt idx="161">
                  <c:v>4274.5094099999997</c:v>
                </c:pt>
                <c:pt idx="162">
                  <c:v>4299.7019899999996</c:v>
                </c:pt>
                <c:pt idx="163">
                  <c:v>4288.0541199999998</c:v>
                </c:pt>
                <c:pt idx="164">
                  <c:v>4288.0541199999998</c:v>
                </c:pt>
                <c:pt idx="165">
                  <c:v>4288.0541199999998</c:v>
                </c:pt>
                <c:pt idx="166">
                  <c:v>4288.3906999999999</c:v>
                </c:pt>
                <c:pt idx="167">
                  <c:v>4229.4530299999997</c:v>
                </c:pt>
                <c:pt idx="168">
                  <c:v>4263.7511400000003</c:v>
                </c:pt>
                <c:pt idx="169">
                  <c:v>4258.1858099999999</c:v>
                </c:pt>
                <c:pt idx="170">
                  <c:v>4308.5022600000002</c:v>
                </c:pt>
                <c:pt idx="171">
                  <c:v>4308.5022600000002</c:v>
                </c:pt>
                <c:pt idx="172">
                  <c:v>4308.5022600000002</c:v>
                </c:pt>
                <c:pt idx="173">
                  <c:v>4335.6575199999997</c:v>
                </c:pt>
                <c:pt idx="174">
                  <c:v>4358.2378600000002</c:v>
                </c:pt>
                <c:pt idx="175">
                  <c:v>4376.9451799999997</c:v>
                </c:pt>
                <c:pt idx="176">
                  <c:v>4349.6057799999999</c:v>
                </c:pt>
                <c:pt idx="177">
                  <c:v>4327.7830299999996</c:v>
                </c:pt>
                <c:pt idx="178">
                  <c:v>4327.7830299999996</c:v>
                </c:pt>
                <c:pt idx="179">
                  <c:v>4327.7830299999996</c:v>
                </c:pt>
                <c:pt idx="180">
                  <c:v>4373.6348099999996</c:v>
                </c:pt>
                <c:pt idx="181">
                  <c:v>4373.1959900000002</c:v>
                </c:pt>
                <c:pt idx="182">
                  <c:v>4314.6006500000003</c:v>
                </c:pt>
                <c:pt idx="183">
                  <c:v>4277.9974300000003</c:v>
                </c:pt>
                <c:pt idx="184">
                  <c:v>4224.1594800000003</c:v>
                </c:pt>
                <c:pt idx="185">
                  <c:v>4224.1594800000003</c:v>
                </c:pt>
                <c:pt idx="186">
                  <c:v>4224.1594800000003</c:v>
                </c:pt>
                <c:pt idx="187">
                  <c:v>4217.0433899999998</c:v>
                </c:pt>
                <c:pt idx="188">
                  <c:v>4247.6768400000001</c:v>
                </c:pt>
                <c:pt idx="189">
                  <c:v>4186.7652500000004</c:v>
                </c:pt>
                <c:pt idx="190">
                  <c:v>4137.2308400000002</c:v>
                </c:pt>
                <c:pt idx="191">
                  <c:v>4117.3738300000005</c:v>
                </c:pt>
                <c:pt idx="192">
                  <c:v>4117.3738300000005</c:v>
                </c:pt>
                <c:pt idx="193">
                  <c:v>4117.3738300000005</c:v>
                </c:pt>
                <c:pt idx="194">
                  <c:v>4166.8151399999997</c:v>
                </c:pt>
                <c:pt idx="195">
                  <c:v>4193.8009599999996</c:v>
                </c:pt>
                <c:pt idx="196">
                  <c:v>4237.8556500000004</c:v>
                </c:pt>
                <c:pt idx="197">
                  <c:v>4317.7754800000002</c:v>
                </c:pt>
                <c:pt idx="198">
                  <c:v>4358.33518</c:v>
                </c:pt>
                <c:pt idx="199">
                  <c:v>4358.33518</c:v>
                </c:pt>
                <c:pt idx="200">
                  <c:v>4358.33518</c:v>
                </c:pt>
                <c:pt idx="201">
                  <c:v>4365.9780199999996</c:v>
                </c:pt>
                <c:pt idx="202">
                  <c:v>4378.37914</c:v>
                </c:pt>
                <c:pt idx="203">
                  <c:v>4382.7837799999998</c:v>
                </c:pt>
                <c:pt idx="204">
                  <c:v>4347.3493200000003</c:v>
                </c:pt>
                <c:pt idx="205">
                  <c:v>4415.2446900000004</c:v>
                </c:pt>
                <c:pt idx="206">
                  <c:v>4415.2446900000004</c:v>
                </c:pt>
                <c:pt idx="207">
                  <c:v>4415.2446900000004</c:v>
                </c:pt>
                <c:pt idx="208">
                  <c:v>4411.5548900000003</c:v>
                </c:pt>
                <c:pt idx="209">
                  <c:v>4495.7015899999997</c:v>
                </c:pt>
                <c:pt idx="210">
                  <c:v>4502.8788299999997</c:v>
                </c:pt>
                <c:pt idx="211">
                  <c:v>4508.2434999999996</c:v>
                </c:pt>
                <c:pt idx="212">
                  <c:v>4514.0178599999999</c:v>
                </c:pt>
                <c:pt idx="213">
                  <c:v>4514.0178599999999</c:v>
                </c:pt>
                <c:pt idx="214">
                  <c:v>4514.0178599999999</c:v>
                </c:pt>
                <c:pt idx="215">
                  <c:v>4547.3774899999999</c:v>
                </c:pt>
                <c:pt idx="216">
                  <c:v>4538.1916600000004</c:v>
                </c:pt>
                <c:pt idx="217">
                  <c:v>4556.6192199999996</c:v>
                </c:pt>
                <c:pt idx="218">
                  <c:v>4556.6192199999996</c:v>
                </c:pt>
                <c:pt idx="219">
                  <c:v>4559.3352100000002</c:v>
                </c:pt>
                <c:pt idx="220">
                  <c:v>4559.3352100000002</c:v>
                </c:pt>
                <c:pt idx="221">
                  <c:v>4559.3352100000002</c:v>
                </c:pt>
                <c:pt idx="222">
                  <c:v>4550.4280500000004</c:v>
                </c:pt>
                <c:pt idx="223">
                  <c:v>4554.8905599999998</c:v>
                </c:pt>
                <c:pt idx="224">
                  <c:v>4550.5823200000004</c:v>
                </c:pt>
                <c:pt idx="225">
                  <c:v>4567.79864</c:v>
                </c:pt>
                <c:pt idx="226">
                  <c:v>4594.6315800000002</c:v>
                </c:pt>
                <c:pt idx="227">
                  <c:v>4594.6315800000002</c:v>
                </c:pt>
                <c:pt idx="228">
                  <c:v>4594.6315800000002</c:v>
                </c:pt>
                <c:pt idx="229">
                  <c:v>4569.7815600000004</c:v>
                </c:pt>
                <c:pt idx="230">
                  <c:v>4567.1829699999998</c:v>
                </c:pt>
                <c:pt idx="231">
                  <c:v>4549.3373799999999</c:v>
                </c:pt>
                <c:pt idx="232">
                  <c:v>4585.58619</c:v>
                </c:pt>
                <c:pt idx="233">
                  <c:v>4604.3722500000003</c:v>
                </c:pt>
                <c:pt idx="234">
                  <c:v>4604.3722500000003</c:v>
                </c:pt>
                <c:pt idx="235">
                  <c:v>4604.3722500000003</c:v>
                </c:pt>
                <c:pt idx="236">
                  <c:v>4622.4407700000002</c:v>
                </c:pt>
                <c:pt idx="237">
                  <c:v>4643.7017699999997</c:v>
                </c:pt>
                <c:pt idx="238">
                  <c:v>4707.0913600000003</c:v>
                </c:pt>
                <c:pt idx="239">
                  <c:v>4719.5519199999999</c:v>
                </c:pt>
                <c:pt idx="240">
                  <c:v>4719.1906499999996</c:v>
                </c:pt>
                <c:pt idx="241">
                  <c:v>4719.1906499999996</c:v>
                </c:pt>
                <c:pt idx="242">
                  <c:v>4719.1906499999996</c:v>
                </c:pt>
                <c:pt idx="243">
                  <c:v>4740.5560100000002</c:v>
                </c:pt>
                <c:pt idx="244">
                  <c:v>4768.3653700000004</c:v>
                </c:pt>
                <c:pt idx="245">
                  <c:v>4698.3519500000002</c:v>
                </c:pt>
                <c:pt idx="246">
                  <c:v>4746.7456400000001</c:v>
                </c:pt>
                <c:pt idx="247">
                  <c:v>4754.6314499999999</c:v>
                </c:pt>
                <c:pt idx="248">
                  <c:v>4754.6314499999999</c:v>
                </c:pt>
                <c:pt idx="249">
                  <c:v>4754.6314499999999</c:v>
                </c:pt>
                <c:pt idx="250">
                  <c:v>4754.6314499999999</c:v>
                </c:pt>
                <c:pt idx="251">
                  <c:v>4774.7506000000003</c:v>
                </c:pt>
                <c:pt idx="252">
                  <c:v>4781.5788000000002</c:v>
                </c:pt>
                <c:pt idx="253">
                  <c:v>4783.3473800000002</c:v>
                </c:pt>
                <c:pt idx="254">
                  <c:v>4769.8294100000003</c:v>
                </c:pt>
                <c:pt idx="255">
                  <c:v>4769.8294100000003</c:v>
                </c:pt>
                <c:pt idx="256">
                  <c:v>4769.8294100000003</c:v>
                </c:pt>
                <c:pt idx="257">
                  <c:v>4769.8294100000003</c:v>
                </c:pt>
                <c:pt idx="258">
                  <c:v>4742.8294900000001</c:v>
                </c:pt>
                <c:pt idx="259">
                  <c:v>4704.8110900000001</c:v>
                </c:pt>
                <c:pt idx="260">
                  <c:v>4688.6760100000001</c:v>
                </c:pt>
                <c:pt idx="261">
                  <c:v>4697.2449399999996</c:v>
                </c:pt>
                <c:pt idx="262">
                  <c:v>4697.2449399999996</c:v>
                </c:pt>
                <c:pt idx="263">
                  <c:v>4697.2449399999996</c:v>
                </c:pt>
                <c:pt idx="264">
                  <c:v>4763.5372799999996</c:v>
                </c:pt>
                <c:pt idx="265">
                  <c:v>4756.4965400000001</c:v>
                </c:pt>
                <c:pt idx="266">
                  <c:v>4783.4491200000002</c:v>
                </c:pt>
                <c:pt idx="267">
                  <c:v>4780.2424700000001</c:v>
                </c:pt>
                <c:pt idx="268">
                  <c:v>4783.8310700000002</c:v>
                </c:pt>
                <c:pt idx="269">
                  <c:v>4783.8310700000002</c:v>
                </c:pt>
                <c:pt idx="270">
                  <c:v>4783.8310700000002</c:v>
                </c:pt>
                <c:pt idx="271">
                  <c:v>4783.8310700000002</c:v>
                </c:pt>
                <c:pt idx="272">
                  <c:v>4765.9760200000001</c:v>
                </c:pt>
                <c:pt idx="273">
                  <c:v>4739.2081399999997</c:v>
                </c:pt>
                <c:pt idx="274">
                  <c:v>4780.9376499999998</c:v>
                </c:pt>
                <c:pt idx="275">
                  <c:v>4839.81142</c:v>
                </c:pt>
                <c:pt idx="276">
                  <c:v>4839.81142</c:v>
                </c:pt>
                <c:pt idx="277">
                  <c:v>4839.81142</c:v>
                </c:pt>
                <c:pt idx="278">
                  <c:v>4850.4256699999996</c:v>
                </c:pt>
                <c:pt idx="279">
                  <c:v>4864.5967199999996</c:v>
                </c:pt>
                <c:pt idx="280">
                  <c:v>4868.5539200000003</c:v>
                </c:pt>
                <c:pt idx="281">
                  <c:v>4894.1555799999996</c:v>
                </c:pt>
                <c:pt idx="282">
                  <c:v>4890.9705100000001</c:v>
                </c:pt>
                <c:pt idx="283">
                  <c:v>4890.9705100000001</c:v>
                </c:pt>
                <c:pt idx="284">
                  <c:v>4890.9705100000001</c:v>
                </c:pt>
                <c:pt idx="285">
                  <c:v>4927.9288200000001</c:v>
                </c:pt>
                <c:pt idx="286">
                  <c:v>4924.9738900000002</c:v>
                </c:pt>
                <c:pt idx="287">
                  <c:v>4845.6471799999999</c:v>
                </c:pt>
                <c:pt idx="288">
                  <c:v>4906.1940400000003</c:v>
                </c:pt>
                <c:pt idx="289">
                  <c:v>4958.6138899999996</c:v>
                </c:pt>
                <c:pt idx="290">
                  <c:v>4958.6138899999996</c:v>
                </c:pt>
                <c:pt idx="291">
                  <c:v>4958.6138899999996</c:v>
                </c:pt>
                <c:pt idx="292">
                  <c:v>4942.8058799999999</c:v>
                </c:pt>
                <c:pt idx="293">
                  <c:v>4954.2305100000003</c:v>
                </c:pt>
                <c:pt idx="294">
                  <c:v>4995.0558499999997</c:v>
                </c:pt>
                <c:pt idx="295">
                  <c:v>4997.9053700000004</c:v>
                </c:pt>
                <c:pt idx="296">
                  <c:v>5026.6085800000001</c:v>
                </c:pt>
                <c:pt idx="297">
                  <c:v>5026.6085800000001</c:v>
                </c:pt>
                <c:pt idx="298">
                  <c:v>5026.6085800000001</c:v>
                </c:pt>
                <c:pt idx="299">
                  <c:v>5021.8444799999997</c:v>
                </c:pt>
                <c:pt idx="300">
                  <c:v>4953.16795</c:v>
                </c:pt>
                <c:pt idx="301">
                  <c:v>5000.6200699999999</c:v>
                </c:pt>
                <c:pt idx="302">
                  <c:v>5029.7347099999997</c:v>
                </c:pt>
                <c:pt idx="303">
                  <c:v>5005.5684499999998</c:v>
                </c:pt>
                <c:pt idx="304">
                  <c:v>5005.5684499999998</c:v>
                </c:pt>
                <c:pt idx="305">
                  <c:v>5005.5684499999998</c:v>
                </c:pt>
                <c:pt idx="306">
                  <c:v>5005.5684499999998</c:v>
                </c:pt>
                <c:pt idx="307">
                  <c:v>4975.51127</c:v>
                </c:pt>
                <c:pt idx="308">
                  <c:v>4981.7969999999996</c:v>
                </c:pt>
                <c:pt idx="309">
                  <c:v>5087.0324300000002</c:v>
                </c:pt>
                <c:pt idx="310">
                  <c:v>5088.7999499999996</c:v>
                </c:pt>
                <c:pt idx="311">
                  <c:v>5088.7999499999996</c:v>
                </c:pt>
                <c:pt idx="312">
                  <c:v>5088.7999499999996</c:v>
                </c:pt>
                <c:pt idx="313">
                  <c:v>5069.5305099999996</c:v>
                </c:pt>
                <c:pt idx="314">
                  <c:v>5078.1825200000003</c:v>
                </c:pt>
                <c:pt idx="315">
                  <c:v>5069.7565100000002</c:v>
                </c:pt>
                <c:pt idx="316">
                  <c:v>5096.2695000000003</c:v>
                </c:pt>
                <c:pt idx="317">
                  <c:v>5137.0838000000003</c:v>
                </c:pt>
                <c:pt idx="318">
                  <c:v>5137.0838000000003</c:v>
                </c:pt>
                <c:pt idx="319">
                  <c:v>5137.0838000000003</c:v>
                </c:pt>
                <c:pt idx="320">
                  <c:v>5130.9491500000004</c:v>
                </c:pt>
                <c:pt idx="321">
                  <c:v>5078.6540000000005</c:v>
                </c:pt>
                <c:pt idx="322">
                  <c:v>5104.7571600000001</c:v>
                </c:pt>
                <c:pt idx="323">
                  <c:v>5157.3592799999997</c:v>
                </c:pt>
                <c:pt idx="324">
                  <c:v>5123.6910900000003</c:v>
                </c:pt>
                <c:pt idx="325">
                  <c:v>5123.6910900000003</c:v>
                </c:pt>
                <c:pt idx="326">
                  <c:v>5123.6910900000003</c:v>
                </c:pt>
                <c:pt idx="327">
                  <c:v>5117.9367599999996</c:v>
                </c:pt>
                <c:pt idx="328">
                  <c:v>5175.2676199999996</c:v>
                </c:pt>
                <c:pt idx="329">
                  <c:v>5165.31185</c:v>
                </c:pt>
                <c:pt idx="330">
                  <c:v>5150.4799199999998</c:v>
                </c:pt>
                <c:pt idx="331">
                  <c:v>5117.0882199999996</c:v>
                </c:pt>
                <c:pt idx="332">
                  <c:v>5117.0882199999996</c:v>
                </c:pt>
                <c:pt idx="333">
                  <c:v>5117.0882199999996</c:v>
                </c:pt>
                <c:pt idx="334">
                  <c:v>5149.4174700000003</c:v>
                </c:pt>
                <c:pt idx="335">
                  <c:v>5178.5092599999998</c:v>
                </c:pt>
                <c:pt idx="336">
                  <c:v>5224.6232399999999</c:v>
                </c:pt>
                <c:pt idx="337">
                  <c:v>5241.5328</c:v>
                </c:pt>
                <c:pt idx="338">
                  <c:v>5234.1800599999997</c:v>
                </c:pt>
                <c:pt idx="339">
                  <c:v>5234.1800599999997</c:v>
                </c:pt>
                <c:pt idx="340">
                  <c:v>5234.1800599999997</c:v>
                </c:pt>
                <c:pt idx="341">
                  <c:v>5218.1866200000004</c:v>
                </c:pt>
                <c:pt idx="342">
                  <c:v>5203.5842000000002</c:v>
                </c:pt>
                <c:pt idx="343">
                  <c:v>5248.4931299999998</c:v>
                </c:pt>
                <c:pt idx="344">
                  <c:v>5254.3544000000002</c:v>
                </c:pt>
                <c:pt idx="345">
                  <c:v>5254.3544000000002</c:v>
                </c:pt>
                <c:pt idx="346">
                  <c:v>5254.3544000000002</c:v>
                </c:pt>
                <c:pt idx="347">
                  <c:v>5254.3544000000002</c:v>
                </c:pt>
                <c:pt idx="348">
                  <c:v>5243.7729499999996</c:v>
                </c:pt>
                <c:pt idx="349">
                  <c:v>5205.8110900000001</c:v>
                </c:pt>
                <c:pt idx="350">
                  <c:v>5211.4860900000003</c:v>
                </c:pt>
                <c:pt idx="351">
                  <c:v>5147.2089800000003</c:v>
                </c:pt>
                <c:pt idx="352">
                  <c:v>5204.3351400000001</c:v>
                </c:pt>
                <c:pt idx="353">
                  <c:v>5204.3351400000001</c:v>
                </c:pt>
                <c:pt idx="354">
                  <c:v>5204.3351400000001</c:v>
                </c:pt>
                <c:pt idx="355">
                  <c:v>5202.3919299999998</c:v>
                </c:pt>
                <c:pt idx="356">
                  <c:v>5209.9108399999996</c:v>
                </c:pt>
                <c:pt idx="357">
                  <c:v>5160.6397900000002</c:v>
                </c:pt>
                <c:pt idx="358">
                  <c:v>5199.0567700000001</c:v>
                </c:pt>
                <c:pt idx="359">
                  <c:v>5123.4068200000002</c:v>
                </c:pt>
                <c:pt idx="360">
                  <c:v>5123.4068200000002</c:v>
                </c:pt>
                <c:pt idx="361">
                  <c:v>5123.4068200000002</c:v>
                </c:pt>
                <c:pt idx="362">
                  <c:v>5061.8155299999999</c:v>
                </c:pt>
                <c:pt idx="363">
                  <c:v>5051.4139500000001</c:v>
                </c:pt>
                <c:pt idx="364">
                  <c:v>5022.2080400000004</c:v>
                </c:pt>
                <c:pt idx="365">
                  <c:v>5011.1227500000005</c:v>
                </c:pt>
                <c:pt idx="366">
                  <c:v>4967.2349000000004</c:v>
                </c:pt>
                <c:pt idx="367">
                  <c:v>4967.2349000000004</c:v>
                </c:pt>
                <c:pt idx="368">
                  <c:v>4967.2349000000004</c:v>
                </c:pt>
                <c:pt idx="369">
                  <c:v>5010.6046399999996</c:v>
                </c:pt>
                <c:pt idx="370">
                  <c:v>5070.55123</c:v>
                </c:pt>
                <c:pt idx="371">
                  <c:v>5071.6284699999997</c:v>
                </c:pt>
                <c:pt idx="372">
                  <c:v>5048.4157100000002</c:v>
                </c:pt>
                <c:pt idx="373">
                  <c:v>5099.96245</c:v>
                </c:pt>
                <c:pt idx="374">
                  <c:v>5099.96245</c:v>
                </c:pt>
                <c:pt idx="375">
                  <c:v>5099.96245</c:v>
                </c:pt>
                <c:pt idx="376">
                  <c:v>5116.1675599999999</c:v>
                </c:pt>
                <c:pt idx="377">
                  <c:v>5035.6916799999999</c:v>
                </c:pt>
                <c:pt idx="378">
                  <c:v>5018.3850000000002</c:v>
                </c:pt>
                <c:pt idx="379">
                  <c:v>5064.1952700000002</c:v>
                </c:pt>
                <c:pt idx="380">
                  <c:v>5127.7866299999996</c:v>
                </c:pt>
                <c:pt idx="381">
                  <c:v>5127.7866299999996</c:v>
                </c:pt>
                <c:pt idx="382">
                  <c:v>5127.7866299999996</c:v>
                </c:pt>
                <c:pt idx="383">
                  <c:v>5180.7406899999996</c:v>
                </c:pt>
                <c:pt idx="384">
                  <c:v>5187.6978600000002</c:v>
                </c:pt>
                <c:pt idx="385">
                  <c:v>5187.6707399999996</c:v>
                </c:pt>
                <c:pt idx="386">
                  <c:v>5214.0814300000002</c:v>
                </c:pt>
                <c:pt idx="387">
                  <c:v>5222.6753699999999</c:v>
                </c:pt>
                <c:pt idx="388">
                  <c:v>5222.6753699999999</c:v>
                </c:pt>
                <c:pt idx="389">
                  <c:v>5222.6753699999999</c:v>
                </c:pt>
                <c:pt idx="390">
                  <c:v>5221.4156400000002</c:v>
                </c:pt>
                <c:pt idx="391">
                  <c:v>5246.6805199999999</c:v>
                </c:pt>
                <c:pt idx="392">
                  <c:v>5308.14959</c:v>
                </c:pt>
                <c:pt idx="393">
                  <c:v>5297.0984500000004</c:v>
                </c:pt>
                <c:pt idx="394">
                  <c:v>5303.2696599999999</c:v>
                </c:pt>
                <c:pt idx="395">
                  <c:v>5303.2696599999999</c:v>
                </c:pt>
                <c:pt idx="396">
                  <c:v>5303.2696599999999</c:v>
                </c:pt>
                <c:pt idx="397">
                  <c:v>5308.1322700000001</c:v>
                </c:pt>
                <c:pt idx="398">
                  <c:v>5321.4120199999998</c:v>
                </c:pt>
                <c:pt idx="399">
                  <c:v>5307.00522</c:v>
                </c:pt>
                <c:pt idx="400">
                  <c:v>5267.8380699999998</c:v>
                </c:pt>
                <c:pt idx="401">
                  <c:v>5304.7175999999999</c:v>
                </c:pt>
                <c:pt idx="402">
                  <c:v>5304.7175999999999</c:v>
                </c:pt>
                <c:pt idx="403">
                  <c:v>5304.7175999999999</c:v>
                </c:pt>
                <c:pt idx="404">
                  <c:v>5304.7175999999999</c:v>
                </c:pt>
                <c:pt idx="405">
                  <c:v>5306.0444699999998</c:v>
                </c:pt>
                <c:pt idx="406">
                  <c:v>5266.9493599999996</c:v>
                </c:pt>
                <c:pt idx="407">
                  <c:v>5235.4772599999997</c:v>
                </c:pt>
                <c:pt idx="408">
                  <c:v>5277.5073499999999</c:v>
                </c:pt>
                <c:pt idx="409">
                  <c:v>5277.5073499999999</c:v>
                </c:pt>
                <c:pt idx="410">
                  <c:v>5277.5073499999999</c:v>
                </c:pt>
                <c:pt idx="411">
                  <c:v>5283.3968699999996</c:v>
                </c:pt>
                <c:pt idx="412">
                  <c:v>5291.3354099999997</c:v>
                </c:pt>
                <c:pt idx="413">
                  <c:v>5354.0286500000002</c:v>
                </c:pt>
                <c:pt idx="414">
                  <c:v>5352.9622399999998</c:v>
                </c:pt>
                <c:pt idx="415">
                  <c:v>5346.9880700000003</c:v>
                </c:pt>
                <c:pt idx="416">
                  <c:v>5346.9880700000003</c:v>
                </c:pt>
                <c:pt idx="417">
                  <c:v>5346.9880700000003</c:v>
                </c:pt>
                <c:pt idx="418">
                  <c:v>5360.7884899999999</c:v>
                </c:pt>
                <c:pt idx="419">
                  <c:v>5375.3161799999998</c:v>
                </c:pt>
                <c:pt idx="420">
                  <c:v>5421.02585</c:v>
                </c:pt>
                <c:pt idx="421">
                  <c:v>5433.7431999999999</c:v>
                </c:pt>
                <c:pt idx="422">
                  <c:v>5431.6016499999996</c:v>
                </c:pt>
                <c:pt idx="423">
                  <c:v>5431.6016499999996</c:v>
                </c:pt>
                <c:pt idx="424">
                  <c:v>5431.6016499999996</c:v>
                </c:pt>
                <c:pt idx="425">
                  <c:v>5473.23315</c:v>
                </c:pt>
                <c:pt idx="426">
                  <c:v>5487.0264900000002</c:v>
                </c:pt>
                <c:pt idx="427">
                  <c:v>5487.0264900000002</c:v>
                </c:pt>
                <c:pt idx="428">
                  <c:v>5473.1687899999997</c:v>
                </c:pt>
                <c:pt idx="429">
                  <c:v>5464.6213399999997</c:v>
                </c:pt>
                <c:pt idx="430">
                  <c:v>5464.6213399999997</c:v>
                </c:pt>
                <c:pt idx="431">
                  <c:v>5464.6213399999997</c:v>
                </c:pt>
                <c:pt idx="432">
                  <c:v>5447.8726500000002</c:v>
                </c:pt>
                <c:pt idx="433">
                  <c:v>5469.2974299999996</c:v>
                </c:pt>
                <c:pt idx="434">
                  <c:v>5477.90362</c:v>
                </c:pt>
                <c:pt idx="435">
                  <c:v>5482.8717800000004</c:v>
                </c:pt>
                <c:pt idx="436">
                  <c:v>5460.4826199999998</c:v>
                </c:pt>
                <c:pt idx="437">
                  <c:v>5460.4826199999998</c:v>
                </c:pt>
                <c:pt idx="438">
                  <c:v>5460.4826199999998</c:v>
                </c:pt>
                <c:pt idx="439">
                  <c:v>5475.08835</c:v>
                </c:pt>
                <c:pt idx="440">
                  <c:v>5509.0111100000004</c:v>
                </c:pt>
                <c:pt idx="441">
                  <c:v>5537.0191299999997</c:v>
                </c:pt>
                <c:pt idx="442">
                  <c:v>5537.0191299999997</c:v>
                </c:pt>
                <c:pt idx="443">
                  <c:v>5567.1903899999998</c:v>
                </c:pt>
                <c:pt idx="444">
                  <c:v>5567.1903899999998</c:v>
                </c:pt>
                <c:pt idx="445">
                  <c:v>5567.1903899999998</c:v>
                </c:pt>
                <c:pt idx="446">
                  <c:v>5572.8501999999999</c:v>
                </c:pt>
                <c:pt idx="447">
                  <c:v>5576.9844999999996</c:v>
                </c:pt>
                <c:pt idx="448">
                  <c:v>5633.9122100000004</c:v>
                </c:pt>
                <c:pt idx="449">
                  <c:v>5584.5443299999997</c:v>
                </c:pt>
                <c:pt idx="450">
                  <c:v>5615.3487599999999</c:v>
                </c:pt>
                <c:pt idx="451">
                  <c:v>5615.3487599999999</c:v>
                </c:pt>
                <c:pt idx="452">
                  <c:v>5615.3487599999999</c:v>
                </c:pt>
                <c:pt idx="453">
                  <c:v>5631.2160400000002</c:v>
                </c:pt>
                <c:pt idx="454">
                  <c:v>5667.19769</c:v>
                </c:pt>
                <c:pt idx="455">
                  <c:v>5588.2716899999996</c:v>
                </c:pt>
                <c:pt idx="456">
                  <c:v>5544.5932400000002</c:v>
                </c:pt>
                <c:pt idx="457">
                  <c:v>5505.0030900000002</c:v>
                </c:pt>
                <c:pt idx="458">
                  <c:v>5505.0030900000002</c:v>
                </c:pt>
                <c:pt idx="459">
                  <c:v>5505.0030900000002</c:v>
                </c:pt>
                <c:pt idx="460">
                  <c:v>5564.4128899999996</c:v>
                </c:pt>
                <c:pt idx="461">
                  <c:v>5555.7436699999998</c:v>
                </c:pt>
                <c:pt idx="462">
                  <c:v>5427.1276799999996</c:v>
                </c:pt>
                <c:pt idx="463">
                  <c:v>5399.2224800000004</c:v>
                </c:pt>
                <c:pt idx="464">
                  <c:v>5459.0973999999997</c:v>
                </c:pt>
                <c:pt idx="465">
                  <c:v>5459.0973999999997</c:v>
                </c:pt>
                <c:pt idx="466">
                  <c:v>5459.0973999999997</c:v>
                </c:pt>
                <c:pt idx="467">
                  <c:v>5463.5384700000004</c:v>
                </c:pt>
                <c:pt idx="468">
                  <c:v>5436.4440999999997</c:v>
                </c:pt>
                <c:pt idx="469">
                  <c:v>5522.3018400000001</c:v>
                </c:pt>
                <c:pt idx="470">
                  <c:v>5446.6843200000003</c:v>
                </c:pt>
                <c:pt idx="471">
                  <c:v>5346.5632599999999</c:v>
                </c:pt>
                <c:pt idx="472">
                  <c:v>5346.5632599999999</c:v>
                </c:pt>
                <c:pt idx="473">
                  <c:v>5346.5632599999999</c:v>
                </c:pt>
                <c:pt idx="474">
                  <c:v>5186.3304099999996</c:v>
                </c:pt>
                <c:pt idx="475">
                  <c:v>5240.0261499999997</c:v>
                </c:pt>
                <c:pt idx="476">
                  <c:v>5199.4999699999998</c:v>
                </c:pt>
                <c:pt idx="477">
                  <c:v>5319.3081199999997</c:v>
                </c:pt>
                <c:pt idx="478">
                  <c:v>5344.1643599999998</c:v>
                </c:pt>
                <c:pt idx="479">
                  <c:v>5344.1643599999998</c:v>
                </c:pt>
                <c:pt idx="480">
                  <c:v>5344.1643599999998</c:v>
                </c:pt>
                <c:pt idx="481">
                  <c:v>5344.3851999999997</c:v>
                </c:pt>
                <c:pt idx="482">
                  <c:v>5434.4328299999997</c:v>
                </c:pt>
                <c:pt idx="483">
                  <c:v>5455.2120000000004</c:v>
                </c:pt>
                <c:pt idx="484">
                  <c:v>5543.2182300000004</c:v>
                </c:pt>
                <c:pt idx="485">
                  <c:v>5554.2510599999996</c:v>
                </c:pt>
                <c:pt idx="486">
                  <c:v>5554.2510599999996</c:v>
                </c:pt>
                <c:pt idx="487">
                  <c:v>5554.2510599999996</c:v>
                </c:pt>
                <c:pt idx="488">
                  <c:v>5608.2472600000001</c:v>
                </c:pt>
                <c:pt idx="489">
                  <c:v>5597.12482</c:v>
                </c:pt>
                <c:pt idx="490">
                  <c:v>5620.8527199999999</c:v>
                </c:pt>
                <c:pt idx="491">
                  <c:v>5570.6445700000004</c:v>
                </c:pt>
                <c:pt idx="492">
                  <c:v>5634.6058499999999</c:v>
                </c:pt>
                <c:pt idx="493">
                  <c:v>5634.6058499999999</c:v>
                </c:pt>
                <c:pt idx="494">
                  <c:v>5634.6058499999999</c:v>
                </c:pt>
                <c:pt idx="495">
                  <c:v>5616.8358500000004</c:v>
                </c:pt>
                <c:pt idx="496">
                  <c:v>5625.8019599999998</c:v>
                </c:pt>
                <c:pt idx="497">
                  <c:v>5592.1772099999998</c:v>
                </c:pt>
                <c:pt idx="498">
                  <c:v>5591.9637199999997</c:v>
                </c:pt>
                <c:pt idx="499">
                  <c:v>5648.3972400000002</c:v>
                </c:pt>
                <c:pt idx="500">
                  <c:v>5648.3972400000002</c:v>
                </c:pt>
                <c:pt idx="501">
                  <c:v>5648.3972400000002</c:v>
                </c:pt>
                <c:pt idx="502">
                  <c:v>5648.3972400000002</c:v>
                </c:pt>
                <c:pt idx="503">
                  <c:v>5528.9333999999999</c:v>
                </c:pt>
                <c:pt idx="504">
                  <c:v>5520.0678200000002</c:v>
                </c:pt>
                <c:pt idx="505">
                  <c:v>5503.4085699999996</c:v>
                </c:pt>
                <c:pt idx="506">
                  <c:v>5408.4221399999997</c:v>
                </c:pt>
                <c:pt idx="507">
                  <c:v>5408.4221399999997</c:v>
                </c:pt>
                <c:pt idx="508">
                  <c:v>5408.4221399999997</c:v>
                </c:pt>
                <c:pt idx="509">
                  <c:v>5471.0514499999999</c:v>
                </c:pt>
                <c:pt idx="510">
                  <c:v>5495.5194099999999</c:v>
                </c:pt>
                <c:pt idx="511">
                  <c:v>5554.1324199999999</c:v>
                </c:pt>
                <c:pt idx="512">
                  <c:v>5595.7634900000003</c:v>
                </c:pt>
                <c:pt idx="513">
                  <c:v>5626.0186000000003</c:v>
                </c:pt>
                <c:pt idx="514">
                  <c:v>5626.0186000000003</c:v>
                </c:pt>
                <c:pt idx="515">
                  <c:v>5626.0186000000003</c:v>
                </c:pt>
                <c:pt idx="516">
                  <c:v>5633.0877799999998</c:v>
                </c:pt>
                <c:pt idx="517">
                  <c:v>5634.5804399999997</c:v>
                </c:pt>
                <c:pt idx="518">
                  <c:v>5618.2590300000002</c:v>
                </c:pt>
                <c:pt idx="519">
                  <c:v>5713.6410900000001</c:v>
                </c:pt>
                <c:pt idx="520">
                  <c:v>5702.5476200000003</c:v>
                </c:pt>
                <c:pt idx="521">
                  <c:v>5702.5476200000003</c:v>
                </c:pt>
                <c:pt idx="522">
                  <c:v>5702.5476200000003</c:v>
                </c:pt>
                <c:pt idx="523">
                  <c:v>5718.5664900000002</c:v>
                </c:pt>
                <c:pt idx="524">
                  <c:v>5732.9273499999999</c:v>
                </c:pt>
                <c:pt idx="525">
                  <c:v>5722.2605999999996</c:v>
                </c:pt>
                <c:pt idx="526">
                  <c:v>5745.3660900000004</c:v>
                </c:pt>
                <c:pt idx="527">
                  <c:v>5738.1717799999997</c:v>
                </c:pt>
                <c:pt idx="528">
                  <c:v>5738.1717799999997</c:v>
                </c:pt>
                <c:pt idx="529">
                  <c:v>5738.1717799999997</c:v>
                </c:pt>
                <c:pt idx="530">
                  <c:v>5762.48488</c:v>
                </c:pt>
                <c:pt idx="531">
                  <c:v>5708.7514799999999</c:v>
                </c:pt>
                <c:pt idx="532">
                  <c:v>5709.5394399999996</c:v>
                </c:pt>
                <c:pt idx="533">
                  <c:v>5699.94175</c:v>
                </c:pt>
                <c:pt idx="534">
                  <c:v>5751.0681999999997</c:v>
                </c:pt>
                <c:pt idx="535">
                  <c:v>5751.0681999999997</c:v>
                </c:pt>
                <c:pt idx="536">
                  <c:v>5751.0681999999997</c:v>
                </c:pt>
                <c:pt idx="537">
                  <c:v>5695.9434199999996</c:v>
                </c:pt>
                <c:pt idx="538">
                  <c:v>5751.1328899999999</c:v>
                </c:pt>
                <c:pt idx="539">
                  <c:v>5792.0414799999999</c:v>
                </c:pt>
                <c:pt idx="540">
                  <c:v>5780.0512900000003</c:v>
                </c:pt>
                <c:pt idx="541">
                  <c:v>5815.03341</c:v>
                </c:pt>
                <c:pt idx="542">
                  <c:v>5815.03341</c:v>
                </c:pt>
                <c:pt idx="543">
                  <c:v>5815.03341</c:v>
                </c:pt>
                <c:pt idx="544">
                  <c:v>5859.8501500000002</c:v>
                </c:pt>
                <c:pt idx="545">
                  <c:v>5815.2599399999999</c:v>
                </c:pt>
                <c:pt idx="546">
                  <c:v>5842.4745199999998</c:v>
                </c:pt>
                <c:pt idx="547">
                  <c:v>5841.4724100000003</c:v>
                </c:pt>
                <c:pt idx="548">
                  <c:v>5864.6679100000001</c:v>
                </c:pt>
                <c:pt idx="549">
                  <c:v>5864.6679100000001</c:v>
                </c:pt>
                <c:pt idx="550">
                  <c:v>5864.6679100000001</c:v>
                </c:pt>
                <c:pt idx="551">
                  <c:v>5853.9822299999996</c:v>
                </c:pt>
                <c:pt idx="552">
                  <c:v>5851.2023600000002</c:v>
                </c:pt>
                <c:pt idx="553">
                  <c:v>5797.4225900000001</c:v>
                </c:pt>
                <c:pt idx="554">
                  <c:v>5809.8592200000003</c:v>
                </c:pt>
                <c:pt idx="555">
                  <c:v>5808.1170099999999</c:v>
                </c:pt>
                <c:pt idx="556">
                  <c:v>5808.1170099999999</c:v>
                </c:pt>
                <c:pt idx="557">
                  <c:v>5808.1170099999999</c:v>
                </c:pt>
                <c:pt idx="558">
                  <c:v>5823.51775</c:v>
                </c:pt>
                <c:pt idx="559">
                  <c:v>5832.91705</c:v>
                </c:pt>
                <c:pt idx="560">
                  <c:v>5813.6697000000004</c:v>
                </c:pt>
                <c:pt idx="561">
                  <c:v>5705.4479199999996</c:v>
                </c:pt>
                <c:pt idx="562">
                  <c:v>5728.8013600000004</c:v>
                </c:pt>
                <c:pt idx="563">
                  <c:v>5728.8013600000004</c:v>
                </c:pt>
                <c:pt idx="564">
                  <c:v>5728.8013600000004</c:v>
                </c:pt>
                <c:pt idx="565">
                  <c:v>5712.6883399999997</c:v>
                </c:pt>
                <c:pt idx="566">
                  <c:v>5782.7558099999997</c:v>
                </c:pt>
                <c:pt idx="567">
                  <c:v>5929.0442400000002</c:v>
                </c:pt>
                <c:pt idx="568">
                  <c:v>5973.1031599999997</c:v>
                </c:pt>
                <c:pt idx="569">
                  <c:v>5995.5373399999999</c:v>
                </c:pt>
                <c:pt idx="570">
                  <c:v>5995.5373399999999</c:v>
                </c:pt>
                <c:pt idx="571">
                  <c:v>5995.5373399999999</c:v>
                </c:pt>
                <c:pt idx="572">
                  <c:v>6001.34699</c:v>
                </c:pt>
                <c:pt idx="573">
                  <c:v>5983.9898599999997</c:v>
                </c:pt>
                <c:pt idx="574">
                  <c:v>5985.3780100000004</c:v>
                </c:pt>
                <c:pt idx="575">
                  <c:v>5949.1709199999996</c:v>
                </c:pt>
                <c:pt idx="576">
                  <c:v>5870.6164099999996</c:v>
                </c:pt>
                <c:pt idx="577">
                  <c:v>5870.6164099999996</c:v>
                </c:pt>
                <c:pt idx="578">
                  <c:v>5870.6164099999996</c:v>
                </c:pt>
                <c:pt idx="579">
                  <c:v>5893.62345</c:v>
                </c:pt>
                <c:pt idx="580">
                  <c:v>5916.9773500000001</c:v>
                </c:pt>
                <c:pt idx="581">
                  <c:v>5917.1110500000004</c:v>
                </c:pt>
                <c:pt idx="582">
                  <c:v>5948.7072200000002</c:v>
                </c:pt>
                <c:pt idx="583">
                  <c:v>5969.3430799999996</c:v>
                </c:pt>
                <c:pt idx="584">
                  <c:v>5969.3430799999996</c:v>
                </c:pt>
                <c:pt idx="585">
                  <c:v>5969.3430799999996</c:v>
                </c:pt>
                <c:pt idx="586">
                  <c:v>5987.3663500000002</c:v>
                </c:pt>
                <c:pt idx="587">
                  <c:v>6021.6325900000002</c:v>
                </c:pt>
                <c:pt idx="588">
                  <c:v>5998.7380499999999</c:v>
                </c:pt>
                <c:pt idx="589">
                  <c:v>5998.7380499999999</c:v>
                </c:pt>
                <c:pt idx="590">
                  <c:v>6032.3844099999997</c:v>
                </c:pt>
                <c:pt idx="591">
                  <c:v>6032.3844099999997</c:v>
                </c:pt>
                <c:pt idx="592">
                  <c:v>6032.3844099999997</c:v>
                </c:pt>
                <c:pt idx="593">
                  <c:v>6047.1458400000001</c:v>
                </c:pt>
                <c:pt idx="594">
                  <c:v>6049.8817499999996</c:v>
                </c:pt>
                <c:pt idx="595">
                  <c:v>6086.4872599999999</c:v>
                </c:pt>
                <c:pt idx="596">
                  <c:v>6075.10707</c:v>
                </c:pt>
                <c:pt idx="597">
                  <c:v>6090.2704700000004</c:v>
                </c:pt>
                <c:pt idx="598">
                  <c:v>6090.2704700000004</c:v>
                </c:pt>
                <c:pt idx="599">
                  <c:v>6090.2704700000004</c:v>
                </c:pt>
                <c:pt idx="600">
                  <c:v>6052.8485600000004</c:v>
                </c:pt>
                <c:pt idx="601">
                  <c:v>6034.9122799999996</c:v>
                </c:pt>
                <c:pt idx="602">
                  <c:v>6084.1894899999998</c:v>
                </c:pt>
                <c:pt idx="603">
                  <c:v>6051.2473</c:v>
                </c:pt>
                <c:pt idx="604">
                  <c:v>6051.09202</c:v>
                </c:pt>
                <c:pt idx="605">
                  <c:v>6051.09202</c:v>
                </c:pt>
                <c:pt idx="606">
                  <c:v>6051.09202</c:v>
                </c:pt>
                <c:pt idx="607">
                  <c:v>6074.0834699999996</c:v>
                </c:pt>
                <c:pt idx="608">
                  <c:v>6050.6105399999997</c:v>
                </c:pt>
                <c:pt idx="609">
                  <c:v>5872.15985</c:v>
                </c:pt>
                <c:pt idx="610">
                  <c:v>5867.0769899999996</c:v>
                </c:pt>
                <c:pt idx="611">
                  <c:v>5930.8501399999996</c:v>
                </c:pt>
                <c:pt idx="612">
                  <c:v>5930.8501399999996</c:v>
                </c:pt>
                <c:pt idx="613">
                  <c:v>5930.8501399999996</c:v>
                </c:pt>
                <c:pt idx="614">
                  <c:v>5974.0730700000004</c:v>
                </c:pt>
                <c:pt idx="615">
                  <c:v>6040.0355799999998</c:v>
                </c:pt>
                <c:pt idx="616">
                  <c:v>6040.0355799999998</c:v>
                </c:pt>
                <c:pt idx="617">
                  <c:v>6037.5908600000002</c:v>
                </c:pt>
                <c:pt idx="618">
                  <c:v>5970.8376399999997</c:v>
                </c:pt>
                <c:pt idx="619">
                  <c:v>5970.8376399999997</c:v>
                </c:pt>
                <c:pt idx="620">
                  <c:v>5970.8376399999997</c:v>
                </c:pt>
                <c:pt idx="621">
                  <c:v>5906.9355999999998</c:v>
                </c:pt>
                <c:pt idx="622">
                  <c:v>5881.6276500000004</c:v>
                </c:pt>
                <c:pt idx="623">
                  <c:v>5881.6276500000004</c:v>
                </c:pt>
                <c:pt idx="624">
                  <c:v>5868.5513199999996</c:v>
                </c:pt>
                <c:pt idx="625">
                  <c:v>5942.4724999999999</c:v>
                </c:pt>
                <c:pt idx="626">
                  <c:v>5942.4724999999999</c:v>
                </c:pt>
                <c:pt idx="627">
                  <c:v>5942.4724999999999</c:v>
                </c:pt>
                <c:pt idx="628">
                  <c:v>5975.3755300000003</c:v>
                </c:pt>
                <c:pt idx="629">
                  <c:v>5909.0307499999999</c:v>
                </c:pt>
                <c:pt idx="630">
                  <c:v>5918.2478300000002</c:v>
                </c:pt>
                <c:pt idx="631">
                  <c:v>5918.2478300000002</c:v>
                </c:pt>
                <c:pt idx="632">
                  <c:v>5827.0444299999999</c:v>
                </c:pt>
                <c:pt idx="633">
                  <c:v>5827.0444299999999</c:v>
                </c:pt>
                <c:pt idx="634">
                  <c:v>5827.0444299999999</c:v>
                </c:pt>
                <c:pt idx="635">
                  <c:v>5836.2178700000004</c:v>
                </c:pt>
                <c:pt idx="636">
                  <c:v>5842.9107400000003</c:v>
                </c:pt>
                <c:pt idx="637">
                  <c:v>5949.9111199999998</c:v>
                </c:pt>
                <c:pt idx="638">
                  <c:v>5937.3404899999996</c:v>
                </c:pt>
                <c:pt idx="639">
                  <c:v>5996.6647499999999</c:v>
                </c:pt>
                <c:pt idx="640">
                  <c:v>5996.6647499999999</c:v>
                </c:pt>
                <c:pt idx="641">
                  <c:v>5996.6647499999999</c:v>
                </c:pt>
                <c:pt idx="642">
                  <c:v>5996.6647499999999</c:v>
                </c:pt>
                <c:pt idx="643">
                  <c:v>6049.24208</c:v>
                </c:pt>
                <c:pt idx="644">
                  <c:v>6086.3696300000001</c:v>
                </c:pt>
                <c:pt idx="645">
                  <c:v>6118.7063500000004</c:v>
                </c:pt>
                <c:pt idx="646">
                  <c:v>6101.2429300000003</c:v>
                </c:pt>
                <c:pt idx="647">
                  <c:v>6101.2429300000003</c:v>
                </c:pt>
                <c:pt idx="648">
                  <c:v>6101.2429300000003</c:v>
                </c:pt>
                <c:pt idx="649">
                  <c:v>6012.2769200000002</c:v>
                </c:pt>
                <c:pt idx="650">
                  <c:v>6067.69949</c:v>
                </c:pt>
                <c:pt idx="651">
                  <c:v>6039.3114999999998</c:v>
                </c:pt>
                <c:pt idx="652">
                  <c:v>6071.17454</c:v>
                </c:pt>
                <c:pt idx="653">
                  <c:v>6040.5259299999998</c:v>
                </c:pt>
                <c:pt idx="654">
                  <c:v>6040.5259299999998</c:v>
                </c:pt>
                <c:pt idx="655">
                  <c:v>6040.5259299999998</c:v>
                </c:pt>
                <c:pt idx="656">
                  <c:v>5994.56736</c:v>
                </c:pt>
                <c:pt idx="657">
                  <c:v>6037.8771900000002</c:v>
                </c:pt>
                <c:pt idx="658">
                  <c:v>6061.4807499999997</c:v>
                </c:pt>
                <c:pt idx="659">
                  <c:v>6083.5681299999997</c:v>
                </c:pt>
                <c:pt idx="660">
                  <c:v>6025.9924899999996</c:v>
                </c:pt>
                <c:pt idx="661">
                  <c:v>6025.9924899999996</c:v>
                </c:pt>
                <c:pt idx="662">
                  <c:v>6025.9924899999996</c:v>
                </c:pt>
                <c:pt idx="663">
                  <c:v>6066.44254</c:v>
                </c:pt>
                <c:pt idx="664">
                  <c:v>6068.50378</c:v>
                </c:pt>
                <c:pt idx="665">
                  <c:v>6051.9678100000001</c:v>
                </c:pt>
                <c:pt idx="666">
                  <c:v>6115.0715700000001</c:v>
                </c:pt>
                <c:pt idx="667">
                  <c:v>6114.6314700000003</c:v>
                </c:pt>
                <c:pt idx="668">
                  <c:v>6114.6314700000003</c:v>
                </c:pt>
                <c:pt idx="669">
                  <c:v>6114.6314700000003</c:v>
                </c:pt>
                <c:pt idx="670">
                  <c:v>6114.6314700000003</c:v>
                </c:pt>
                <c:pt idx="671">
                  <c:v>6129.58403</c:v>
                </c:pt>
                <c:pt idx="672">
                  <c:v>6144.1520399999999</c:v>
                </c:pt>
                <c:pt idx="673">
                  <c:v>6117.5207399999999</c:v>
                </c:pt>
                <c:pt idx="674">
                  <c:v>6013.1278599999996</c:v>
                </c:pt>
                <c:pt idx="675">
                  <c:v>6013.1278599999996</c:v>
                </c:pt>
                <c:pt idx="676">
                  <c:v>6013.1278599999996</c:v>
                </c:pt>
                <c:pt idx="677">
                  <c:v>5983.2468500000004</c:v>
                </c:pt>
                <c:pt idx="678">
                  <c:v>5955.2524299999995</c:v>
                </c:pt>
                <c:pt idx="679">
                  <c:v>5956.0586899999998</c:v>
                </c:pt>
                <c:pt idx="680">
                  <c:v>5861.5735800000002</c:v>
                </c:pt>
                <c:pt idx="681">
                  <c:v>5954.5048299999999</c:v>
                </c:pt>
                <c:pt idx="682">
                  <c:v>5954.5048299999999</c:v>
                </c:pt>
                <c:pt idx="683">
                  <c:v>5954.5048299999999</c:v>
                </c:pt>
                <c:pt idx="684">
                  <c:v>5849.7194200000004</c:v>
                </c:pt>
                <c:pt idx="685">
                  <c:v>5778.1491900000001</c:v>
                </c:pt>
                <c:pt idx="686">
                  <c:v>5842.6254900000004</c:v>
                </c:pt>
                <c:pt idx="687">
                  <c:v>5738.5187100000003</c:v>
                </c:pt>
                <c:pt idx="688">
                  <c:v>5770.1956099999998</c:v>
                </c:pt>
                <c:pt idx="689">
                  <c:v>5770.1956099999998</c:v>
                </c:pt>
                <c:pt idx="690">
                  <c:v>5770.1956099999998</c:v>
                </c:pt>
                <c:pt idx="691">
                  <c:v>5614.5635499999999</c:v>
                </c:pt>
                <c:pt idx="692">
                  <c:v>5572.0699199999999</c:v>
                </c:pt>
                <c:pt idx="693">
                  <c:v>5599.30026</c:v>
                </c:pt>
                <c:pt idx="694">
                  <c:v>5521.5192999999999</c:v>
                </c:pt>
                <c:pt idx="695">
                  <c:v>5638.9401699999999</c:v>
                </c:pt>
                <c:pt idx="696">
                  <c:v>5638.9401699999999</c:v>
                </c:pt>
                <c:pt idx="697">
                  <c:v>5638.9401699999999</c:v>
                </c:pt>
                <c:pt idx="698">
                  <c:v>5675.1173200000003</c:v>
                </c:pt>
                <c:pt idx="699">
                  <c:v>5614.66201</c:v>
                </c:pt>
                <c:pt idx="700">
                  <c:v>5675.2871699999996</c:v>
                </c:pt>
                <c:pt idx="701">
                  <c:v>5662.8905299999997</c:v>
                </c:pt>
                <c:pt idx="702">
                  <c:v>5667.5642699999999</c:v>
                </c:pt>
                <c:pt idx="703">
                  <c:v>5667.5642699999999</c:v>
                </c:pt>
                <c:pt idx="704">
                  <c:v>5667.5642699999999</c:v>
                </c:pt>
                <c:pt idx="705">
                  <c:v>5767.5671000000002</c:v>
                </c:pt>
                <c:pt idx="706">
                  <c:v>5776.6512899999998</c:v>
                </c:pt>
                <c:pt idx="707">
                  <c:v>5712.2034299999996</c:v>
                </c:pt>
                <c:pt idx="708">
                  <c:v>5693.3126499999998</c:v>
                </c:pt>
                <c:pt idx="709">
                  <c:v>5580.9435800000001</c:v>
                </c:pt>
                <c:pt idx="710">
                  <c:v>5580.9435800000001</c:v>
                </c:pt>
                <c:pt idx="711">
                  <c:v>5580.9435800000001</c:v>
                </c:pt>
                <c:pt idx="712">
                  <c:v>5611.8526099999999</c:v>
                </c:pt>
                <c:pt idx="713">
                  <c:v>5633.0696900000003</c:v>
                </c:pt>
                <c:pt idx="714">
                  <c:v>5670.9736199999998</c:v>
                </c:pt>
                <c:pt idx="715">
                  <c:v>5396.5168000000003</c:v>
                </c:pt>
                <c:pt idx="716">
                  <c:v>5074.0756300000003</c:v>
                </c:pt>
                <c:pt idx="717">
                  <c:v>5074.0756300000003</c:v>
                </c:pt>
                <c:pt idx="718">
                  <c:v>5074.0756300000003</c:v>
                </c:pt>
                <c:pt idx="719">
                  <c:v>5062.2455200000004</c:v>
                </c:pt>
                <c:pt idx="720">
                  <c:v>4982.7703099999999</c:v>
                </c:pt>
                <c:pt idx="721">
                  <c:v>5456.9006900000004</c:v>
                </c:pt>
                <c:pt idx="722">
                  <c:v>5268.0543799999996</c:v>
                </c:pt>
                <c:pt idx="723">
                  <c:v>5363.3594800000001</c:v>
                </c:pt>
                <c:pt idx="724">
                  <c:v>5363.3594800000001</c:v>
                </c:pt>
                <c:pt idx="725">
                  <c:v>5363.3594800000001</c:v>
                </c:pt>
                <c:pt idx="726">
                  <c:v>5405.9711900000002</c:v>
                </c:pt>
                <c:pt idx="727">
                  <c:v>5396.6346800000001</c:v>
                </c:pt>
                <c:pt idx="728">
                  <c:v>5275.7010600000003</c:v>
                </c:pt>
                <c:pt idx="729">
                  <c:v>5282.7010200000004</c:v>
                </c:pt>
                <c:pt idx="730">
                  <c:v>5282.7010200000004</c:v>
                </c:pt>
                <c:pt idx="731">
                  <c:v>5282.7010200000004</c:v>
                </c:pt>
                <c:pt idx="732">
                  <c:v>5282.7010200000004</c:v>
                </c:pt>
                <c:pt idx="733">
                  <c:v>5158.2026800000003</c:v>
                </c:pt>
                <c:pt idx="734">
                  <c:v>5287.7630099999997</c:v>
                </c:pt>
                <c:pt idx="735">
                  <c:v>5375.8638300000002</c:v>
                </c:pt>
                <c:pt idx="736">
                  <c:v>5484.7738099999997</c:v>
                </c:pt>
                <c:pt idx="737">
                  <c:v>5525.2051199999996</c:v>
                </c:pt>
                <c:pt idx="738">
                  <c:v>5525.2051199999996</c:v>
                </c:pt>
                <c:pt idx="739">
                  <c:v>5525.2051199999996</c:v>
                </c:pt>
                <c:pt idx="740">
                  <c:v>5528.7457400000003</c:v>
                </c:pt>
                <c:pt idx="741">
                  <c:v>5560.82701</c:v>
                </c:pt>
                <c:pt idx="742">
                  <c:v>5569.0646699999998</c:v>
                </c:pt>
                <c:pt idx="743">
                  <c:v>5604.1413300000004</c:v>
                </c:pt>
                <c:pt idx="744">
                  <c:v>5686.6748299999999</c:v>
                </c:pt>
                <c:pt idx="745">
                  <c:v>5686.6748299999999</c:v>
                </c:pt>
                <c:pt idx="746">
                  <c:v>5686.6748299999999</c:v>
                </c:pt>
                <c:pt idx="747">
                  <c:v>5650.3816699999998</c:v>
                </c:pt>
                <c:pt idx="748">
                  <c:v>5606.9067999999997</c:v>
                </c:pt>
                <c:pt idx="749">
                  <c:v>5631.28431</c:v>
                </c:pt>
                <c:pt idx="750">
                  <c:v>5663.9393099999998</c:v>
                </c:pt>
                <c:pt idx="751">
                  <c:v>5659.9122500000003</c:v>
                </c:pt>
                <c:pt idx="752">
                  <c:v>5659.9122500000003</c:v>
                </c:pt>
                <c:pt idx="753">
                  <c:v>5659.9122500000003</c:v>
                </c:pt>
                <c:pt idx="754">
                  <c:v>5844.1866900000005</c:v>
                </c:pt>
                <c:pt idx="755">
                  <c:v>5886.5528100000001</c:v>
                </c:pt>
                <c:pt idx="756">
                  <c:v>5892.5844900000002</c:v>
                </c:pt>
                <c:pt idx="757">
                  <c:v>5916.9260800000002</c:v>
                </c:pt>
                <c:pt idx="758">
                  <c:v>5958.3755300000003</c:v>
                </c:pt>
                <c:pt idx="759">
                  <c:v>5958.3755300000003</c:v>
                </c:pt>
                <c:pt idx="760">
                  <c:v>5958.3755300000003</c:v>
                </c:pt>
                <c:pt idx="761">
                  <c:v>5963.6043499999996</c:v>
                </c:pt>
                <c:pt idx="762">
                  <c:v>5940.4637499999999</c:v>
                </c:pt>
                <c:pt idx="763">
                  <c:v>5844.6121300000004</c:v>
                </c:pt>
                <c:pt idx="764">
                  <c:v>5842.0083100000002</c:v>
                </c:pt>
                <c:pt idx="765">
                  <c:v>5802.8150800000003</c:v>
                </c:pt>
                <c:pt idx="766">
                  <c:v>5802.8150800000003</c:v>
                </c:pt>
                <c:pt idx="767">
                  <c:v>5802.8150800000003</c:v>
                </c:pt>
                <c:pt idx="768">
                  <c:v>5802.8150800000003</c:v>
                </c:pt>
                <c:pt idx="769">
                  <c:v>5921.5403500000002</c:v>
                </c:pt>
                <c:pt idx="770">
                  <c:v>5888.5525799999996</c:v>
                </c:pt>
                <c:pt idx="771">
                  <c:v>5912.1727199999996</c:v>
                </c:pt>
                <c:pt idx="772">
                  <c:v>5911.6867199999997</c:v>
                </c:pt>
                <c:pt idx="773">
                  <c:v>5911.6867199999997</c:v>
                </c:pt>
                <c:pt idx="774">
                  <c:v>5911.6867199999997</c:v>
                </c:pt>
                <c:pt idx="775">
                  <c:v>5935.9409599999999</c:v>
                </c:pt>
                <c:pt idx="776">
                  <c:v>5970.3682399999998</c:v>
                </c:pt>
                <c:pt idx="777">
                  <c:v>5970.8132400000004</c:v>
                </c:pt>
                <c:pt idx="778">
                  <c:v>5939.30332</c:v>
                </c:pt>
                <c:pt idx="779">
                  <c:v>6000.3551299999999</c:v>
                </c:pt>
                <c:pt idx="780">
                  <c:v>6000.3551299999999</c:v>
                </c:pt>
                <c:pt idx="781">
                  <c:v>6000.3551299999999</c:v>
                </c:pt>
                <c:pt idx="782">
                  <c:v>6005.88346</c:v>
                </c:pt>
                <c:pt idx="783">
                  <c:v>6038.8057900000003</c:v>
                </c:pt>
                <c:pt idx="784">
                  <c:v>6022.2412100000001</c:v>
                </c:pt>
                <c:pt idx="785">
                  <c:v>6045.2556699999996</c:v>
                </c:pt>
                <c:pt idx="786">
                  <c:v>5976.96587</c:v>
                </c:pt>
                <c:pt idx="787">
                  <c:v>5976.96587</c:v>
                </c:pt>
                <c:pt idx="788">
                  <c:v>5976.96587</c:v>
                </c:pt>
                <c:pt idx="789">
                  <c:v>6033.1062899999997</c:v>
                </c:pt>
                <c:pt idx="790">
                  <c:v>5982.7169899999999</c:v>
                </c:pt>
                <c:pt idx="791">
                  <c:v>5980.8654999999999</c:v>
                </c:pt>
                <c:pt idx="792">
                  <c:v>5980.8654999999999</c:v>
                </c:pt>
                <c:pt idx="793">
                  <c:v>5967.8395</c:v>
                </c:pt>
                <c:pt idx="794">
                  <c:v>5967.8395</c:v>
                </c:pt>
                <c:pt idx="795">
                  <c:v>5967.8395</c:v>
                </c:pt>
                <c:pt idx="796">
                  <c:v>6025.1740399999999</c:v>
                </c:pt>
                <c:pt idx="797">
                  <c:v>6092.1810500000001</c:v>
                </c:pt>
                <c:pt idx="798">
                  <c:v>6092.1613699999998</c:v>
                </c:pt>
                <c:pt idx="799">
                  <c:v>6141.0192800000004</c:v>
                </c:pt>
                <c:pt idx="800">
                  <c:v>6173.0735699999996</c:v>
                </c:pt>
                <c:pt idx="801">
                  <c:v>6173.0735699999996</c:v>
                </c:pt>
                <c:pt idx="802">
                  <c:v>6173.0735699999996</c:v>
                </c:pt>
                <c:pt idx="803">
                  <c:v>6204.9539500000001</c:v>
                </c:pt>
                <c:pt idx="804">
                  <c:v>6198.00695</c:v>
                </c:pt>
                <c:pt idx="805">
                  <c:v>6227.4196899999997</c:v>
                </c:pt>
                <c:pt idx="806">
                  <c:v>6279.3509700000004</c:v>
                </c:pt>
                <c:pt idx="807">
                  <c:v>6279.3509700000004</c:v>
                </c:pt>
                <c:pt idx="808">
                  <c:v>6279.3509700000004</c:v>
                </c:pt>
                <c:pt idx="809">
                  <c:v>6279.3509700000004</c:v>
                </c:pt>
                <c:pt idx="810">
                  <c:v>6229.9774600000001</c:v>
                </c:pt>
                <c:pt idx="811">
                  <c:v>6225.5234099999998</c:v>
                </c:pt>
                <c:pt idx="812">
                  <c:v>6263.2643799999996</c:v>
                </c:pt>
                <c:pt idx="813">
                  <c:v>6280.4583000000002</c:v>
                </c:pt>
                <c:pt idx="814">
                  <c:v>6259.7464399999999</c:v>
                </c:pt>
                <c:pt idx="815">
                  <c:v>6259.7464399999999</c:v>
                </c:pt>
                <c:pt idx="816">
                  <c:v>6259.7464399999999</c:v>
                </c:pt>
                <c:pt idx="817">
                  <c:v>6268.5590099999999</c:v>
                </c:pt>
                <c:pt idx="818">
                  <c:v>6243.7557100000004</c:v>
                </c:pt>
                <c:pt idx="819">
                  <c:v>6263.69524</c:v>
                </c:pt>
                <c:pt idx="820">
                  <c:v>6297.3619099999996</c:v>
                </c:pt>
                <c:pt idx="821">
                  <c:v>6296.7890399999997</c:v>
                </c:pt>
                <c:pt idx="822">
                  <c:v>6296.7890399999997</c:v>
                </c:pt>
                <c:pt idx="823">
                  <c:v>6296.7890399999997</c:v>
                </c:pt>
                <c:pt idx="824">
                  <c:v>6305.5951800000003</c:v>
                </c:pt>
                <c:pt idx="825">
                  <c:v>6309.6236799999997</c:v>
                </c:pt>
                <c:pt idx="826">
                  <c:v>6358.9137899999996</c:v>
                </c:pt>
                <c:pt idx="827">
                  <c:v>6363.3492999999999</c:v>
                </c:pt>
                <c:pt idx="828">
                  <c:v>6388.6445000000003</c:v>
                </c:pt>
                <c:pt idx="829">
                  <c:v>6388.6445000000003</c:v>
                </c:pt>
                <c:pt idx="830">
                  <c:v>6388.6445000000003</c:v>
                </c:pt>
                <c:pt idx="831">
                  <c:v>6389.7664800000002</c:v>
                </c:pt>
                <c:pt idx="832">
                  <c:v>6370.8612999999996</c:v>
                </c:pt>
                <c:pt idx="833">
                  <c:v>6362.89876</c:v>
                </c:pt>
                <c:pt idx="834">
                  <c:v>6339.3945700000004</c:v>
                </c:pt>
                <c:pt idx="835">
                  <c:v>6238.0065699999996</c:v>
                </c:pt>
                <c:pt idx="836">
                  <c:v>6238.0065699999996</c:v>
                </c:pt>
                <c:pt idx="837">
                  <c:v>6238.0065699999996</c:v>
                </c:pt>
                <c:pt idx="838">
                  <c:v>6329.9395000000004</c:v>
                </c:pt>
                <c:pt idx="839">
                  <c:v>6299.1939499999999</c:v>
                </c:pt>
                <c:pt idx="840">
                  <c:v>6345.0595400000002</c:v>
                </c:pt>
                <c:pt idx="841">
                  <c:v>6339.99773</c:v>
                </c:pt>
                <c:pt idx="842">
                  <c:v>6389.4453100000001</c:v>
                </c:pt>
                <c:pt idx="843">
                  <c:v>6389.4453100000001</c:v>
                </c:pt>
                <c:pt idx="844">
                  <c:v>6389.4453100000001</c:v>
                </c:pt>
                <c:pt idx="845">
                  <c:v>6373.4533700000002</c:v>
                </c:pt>
                <c:pt idx="846">
                  <c:v>6445.7622000000001</c:v>
                </c:pt>
                <c:pt idx="847">
                  <c:v>6466.5846899999997</c:v>
                </c:pt>
                <c:pt idx="848">
                  <c:v>6468.5351899999996</c:v>
                </c:pt>
                <c:pt idx="849">
                  <c:v>6449.7965800000002</c:v>
                </c:pt>
                <c:pt idx="850">
                  <c:v>6449.7965800000002</c:v>
                </c:pt>
                <c:pt idx="851">
                  <c:v>6449.7965800000002</c:v>
                </c:pt>
                <c:pt idx="852">
                  <c:v>6449.1491500000002</c:v>
                </c:pt>
                <c:pt idx="853">
                  <c:v>6411.3745900000004</c:v>
                </c:pt>
                <c:pt idx="854">
                  <c:v>6395.7811899999997</c:v>
                </c:pt>
                <c:pt idx="855">
                  <c:v>6370.1726699999999</c:v>
                </c:pt>
                <c:pt idx="856">
                  <c:v>6466.9129700000003</c:v>
                </c:pt>
                <c:pt idx="857">
                  <c:v>6466.9129700000003</c:v>
                </c:pt>
                <c:pt idx="858">
                  <c:v>6466.9129700000003</c:v>
                </c:pt>
                <c:pt idx="859">
                  <c:v>6439.31988</c:v>
                </c:pt>
                <c:pt idx="860">
                  <c:v>6465.9352799999997</c:v>
                </c:pt>
                <c:pt idx="861">
                  <c:v>6481.40319</c:v>
                </c:pt>
                <c:pt idx="862">
                  <c:v>6501.8594199999998</c:v>
                </c:pt>
                <c:pt idx="863">
                  <c:v>6460.2626700000001</c:v>
                </c:pt>
                <c:pt idx="864">
                  <c:v>6460.2626700000001</c:v>
                </c:pt>
                <c:pt idx="865">
                  <c:v>6460.2626700000001</c:v>
                </c:pt>
                <c:pt idx="866">
                  <c:v>6460.2626700000001</c:v>
                </c:pt>
                <c:pt idx="867">
                  <c:v>6415.5413399999998</c:v>
                </c:pt>
                <c:pt idx="868">
                  <c:v>6448.2608499999997</c:v>
                </c:pt>
                <c:pt idx="869">
                  <c:v>6502.0829199999998</c:v>
                </c:pt>
                <c:pt idx="870">
                  <c:v>6481.4955300000001</c:v>
                </c:pt>
                <c:pt idx="871">
                  <c:v>6481.4955300000001</c:v>
                </c:pt>
                <c:pt idx="872">
                  <c:v>6481.4955300000001</c:v>
                </c:pt>
                <c:pt idx="873">
                  <c:v>6495.1548300000004</c:v>
                </c:pt>
                <c:pt idx="874">
                  <c:v>6512.6107499999998</c:v>
                </c:pt>
                <c:pt idx="875">
                  <c:v>6532.0433400000002</c:v>
                </c:pt>
                <c:pt idx="876">
                  <c:v>6587.4708700000001</c:v>
                </c:pt>
                <c:pt idx="877">
                  <c:v>6584.2850200000003</c:v>
                </c:pt>
                <c:pt idx="878">
                  <c:v>6584.2850200000003</c:v>
                </c:pt>
                <c:pt idx="879">
                  <c:v>6584.2850200000003</c:v>
                </c:pt>
                <c:pt idx="880">
                  <c:v>6615.2767599999997</c:v>
                </c:pt>
                <c:pt idx="881">
                  <c:v>6606.75594</c:v>
                </c:pt>
                <c:pt idx="882">
                  <c:v>6600.3470900000002</c:v>
                </c:pt>
                <c:pt idx="883">
                  <c:v>6631.9628899999998</c:v>
                </c:pt>
                <c:pt idx="884">
                  <c:v>6664.3648000000003</c:v>
                </c:pt>
                <c:pt idx="885">
                  <c:v>6664.3648000000003</c:v>
                </c:pt>
                <c:pt idx="886">
                  <c:v>6664.3648000000003</c:v>
                </c:pt>
                <c:pt idx="887">
                  <c:v>6693.7533400000002</c:v>
                </c:pt>
                <c:pt idx="888">
                  <c:v>6656.9198800000004</c:v>
                </c:pt>
                <c:pt idx="889">
                  <c:v>6637.9736700000003</c:v>
                </c:pt>
                <c:pt idx="890">
                  <c:v>6604.7172399999999</c:v>
                </c:pt>
                <c:pt idx="891">
                  <c:v>6643.6975400000001</c:v>
                </c:pt>
                <c:pt idx="892">
                  <c:v>6643.6975400000001</c:v>
                </c:pt>
                <c:pt idx="893">
                  <c:v>6643.6975400000001</c:v>
                </c:pt>
                <c:pt idx="894">
                  <c:v>6661.2073300000002</c:v>
                </c:pt>
                <c:pt idx="895">
                  <c:v>6688.4590399999997</c:v>
                </c:pt>
                <c:pt idx="896">
                  <c:v>6711.2039100000002</c:v>
                </c:pt>
                <c:pt idx="897">
                  <c:v>6715.3463000000002</c:v>
                </c:pt>
                <c:pt idx="898">
                  <c:v>6715.7892599999996</c:v>
                </c:pt>
                <c:pt idx="899">
                  <c:v>6715.7892599999996</c:v>
                </c:pt>
                <c:pt idx="900">
                  <c:v>6715.7892599999996</c:v>
                </c:pt>
                <c:pt idx="901">
                  <c:v>6740.2813599999999</c:v>
                </c:pt>
                <c:pt idx="902">
                  <c:v>6714.5879199999999</c:v>
                </c:pt>
                <c:pt idx="903">
                  <c:v>6753.7170699999997</c:v>
                </c:pt>
                <c:pt idx="904">
                  <c:v>6735.1107899999997</c:v>
                </c:pt>
                <c:pt idx="905">
                  <c:v>6552.51325</c:v>
                </c:pt>
                <c:pt idx="906">
                  <c:v>6552.51325</c:v>
                </c:pt>
                <c:pt idx="907">
                  <c:v>6552.51325</c:v>
                </c:pt>
                <c:pt idx="908">
                  <c:v>6654.7190899999996</c:v>
                </c:pt>
                <c:pt idx="909">
                  <c:v>6644.3083999999999</c:v>
                </c:pt>
                <c:pt idx="910">
                  <c:v>6671.0582800000002</c:v>
                </c:pt>
                <c:pt idx="911">
                  <c:v>6629.0742300000002</c:v>
                </c:pt>
                <c:pt idx="912">
                  <c:v>6664.01098</c:v>
                </c:pt>
                <c:pt idx="913">
                  <c:v>6664.01098</c:v>
                </c:pt>
                <c:pt idx="914">
                  <c:v>6664.01098</c:v>
                </c:pt>
                <c:pt idx="915">
                  <c:v>6735.1265100000001</c:v>
                </c:pt>
                <c:pt idx="916">
                  <c:v>6735.3514999999998</c:v>
                </c:pt>
                <c:pt idx="917">
                  <c:v>6699.4023999999999</c:v>
                </c:pt>
                <c:pt idx="918">
                  <c:v>6738.4377100000002</c:v>
                </c:pt>
                <c:pt idx="919">
                  <c:v>6791.6938099999998</c:v>
                </c:pt>
                <c:pt idx="920">
                  <c:v>6791.6938099999998</c:v>
                </c:pt>
                <c:pt idx="921">
                  <c:v>6791.6938099999998</c:v>
                </c:pt>
                <c:pt idx="922">
                  <c:v>6875.1568900000002</c:v>
                </c:pt>
                <c:pt idx="923">
                  <c:v>6890.8883699999997</c:v>
                </c:pt>
                <c:pt idx="924">
                  <c:v>6890.5870500000001</c:v>
                </c:pt>
                <c:pt idx="925">
                  <c:v>6822.34033</c:v>
                </c:pt>
                <c:pt idx="926">
                  <c:v>6840.1987399999998</c:v>
                </c:pt>
                <c:pt idx="927">
                  <c:v>6840.1987399999998</c:v>
                </c:pt>
                <c:pt idx="928">
                  <c:v>6840.1987399999998</c:v>
                </c:pt>
                <c:pt idx="929">
                  <c:v>6851.96666</c:v>
                </c:pt>
                <c:pt idx="930">
                  <c:v>6771.5474899999999</c:v>
                </c:pt>
                <c:pt idx="931">
                  <c:v>6796.2894299999998</c:v>
                </c:pt>
                <c:pt idx="932">
                  <c:v>6720.3201499999996</c:v>
                </c:pt>
                <c:pt idx="933">
                  <c:v>6728.8011100000003</c:v>
                </c:pt>
                <c:pt idx="934">
                  <c:v>6728.8011100000003</c:v>
                </c:pt>
                <c:pt idx="935">
                  <c:v>6728.8011100000003</c:v>
                </c:pt>
                <c:pt idx="936">
                  <c:v>6832.4301599999999</c:v>
                </c:pt>
                <c:pt idx="937">
                  <c:v>6846.6142300000001</c:v>
                </c:pt>
                <c:pt idx="938">
                  <c:v>6850.9164799999999</c:v>
                </c:pt>
                <c:pt idx="939">
                  <c:v>6737.4887200000003</c:v>
                </c:pt>
                <c:pt idx="940">
                  <c:v>6734.11067</c:v>
                </c:pt>
                <c:pt idx="941">
                  <c:v>6734.11067</c:v>
                </c:pt>
                <c:pt idx="942">
                  <c:v>6734.11067</c:v>
                </c:pt>
                <c:pt idx="943">
                  <c:v>6672.4116299999996</c:v>
                </c:pt>
                <c:pt idx="944">
                  <c:v>6617.32006</c:v>
                </c:pt>
                <c:pt idx="945">
                  <c:v>6642.1585100000002</c:v>
                </c:pt>
                <c:pt idx="946">
                  <c:v>6538.7626700000001</c:v>
                </c:pt>
                <c:pt idx="947">
                  <c:v>6602.9863299999997</c:v>
                </c:pt>
                <c:pt idx="948">
                  <c:v>6602.9863299999997</c:v>
                </c:pt>
                <c:pt idx="949">
                  <c:v>6602.9863299999997</c:v>
                </c:pt>
                <c:pt idx="950">
                  <c:v>6705.1170899999997</c:v>
                </c:pt>
                <c:pt idx="951">
                  <c:v>6765.8759700000001</c:v>
                </c:pt>
                <c:pt idx="952">
                  <c:v>6812.6130899999998</c:v>
                </c:pt>
                <c:pt idx="953">
                  <c:v>6812.6130899999998</c:v>
                </c:pt>
                <c:pt idx="954">
                  <c:v>6849.0873700000002</c:v>
                </c:pt>
                <c:pt idx="955">
                  <c:v>6849.0873700000002</c:v>
                </c:pt>
                <c:pt idx="956">
                  <c:v>6849.0873700000002</c:v>
                </c:pt>
                <c:pt idx="957">
                  <c:v>6812.6258500000004</c:v>
                </c:pt>
                <c:pt idx="958">
                  <c:v>6829.3705799999998</c:v>
                </c:pt>
                <c:pt idx="959">
                  <c:v>6849.7227199999998</c:v>
                </c:pt>
                <c:pt idx="960">
                  <c:v>6857.1196900000004</c:v>
                </c:pt>
                <c:pt idx="961">
                  <c:v>6870.4042099999997</c:v>
                </c:pt>
                <c:pt idx="962">
                  <c:v>6870.4042099999997</c:v>
                </c:pt>
                <c:pt idx="963">
                  <c:v>6870.4042099999997</c:v>
                </c:pt>
                <c:pt idx="964">
                  <c:v>6846.5061699999997</c:v>
                </c:pt>
                <c:pt idx="965">
                  <c:v>6840.5096199999998</c:v>
                </c:pt>
                <c:pt idx="966">
                  <c:v>6886.6829900000002</c:v>
                </c:pt>
                <c:pt idx="967">
                  <c:v>6900.9951899999996</c:v>
                </c:pt>
                <c:pt idx="968">
                  <c:v>6827.4064600000002</c:v>
                </c:pt>
                <c:pt idx="969">
                  <c:v>6827.4064600000002</c:v>
                </c:pt>
                <c:pt idx="970">
                  <c:v>6827.4064600000002</c:v>
                </c:pt>
                <c:pt idx="971">
                  <c:v>6816.5083000000004</c:v>
                </c:pt>
                <c:pt idx="972">
                  <c:v>6800.2572200000004</c:v>
                </c:pt>
                <c:pt idx="973">
                  <c:v>6721.4295499999998</c:v>
                </c:pt>
                <c:pt idx="974">
                  <c:v>6774.7575699999998</c:v>
                </c:pt>
                <c:pt idx="975">
                  <c:v>6834.4961899999998</c:v>
                </c:pt>
                <c:pt idx="976">
                  <c:v>6834.4961899999998</c:v>
                </c:pt>
                <c:pt idx="977">
                  <c:v>6834.4961899999998</c:v>
                </c:pt>
                <c:pt idx="978">
                  <c:v>6878.4894800000002</c:v>
                </c:pt>
                <c:pt idx="979">
                  <c:v>6909.7920700000004</c:v>
                </c:pt>
                <c:pt idx="980">
                  <c:v>6932.04918</c:v>
                </c:pt>
                <c:pt idx="981">
                  <c:v>6932.04918</c:v>
                </c:pt>
                <c:pt idx="982">
                  <c:v>6929.9361200000003</c:v>
                </c:pt>
                <c:pt idx="983">
                  <c:v>6929.9361200000003</c:v>
                </c:pt>
                <c:pt idx="984">
                  <c:v>6929.9361200000003</c:v>
                </c:pt>
                <c:pt idx="985">
                  <c:v>6905.7440500000002</c:v>
                </c:pt>
                <c:pt idx="986">
                  <c:v>6896.2417400000004</c:v>
                </c:pt>
                <c:pt idx="987">
                  <c:v>6845.5047100000002</c:v>
                </c:pt>
                <c:pt idx="988">
                  <c:v>6845.5047100000002</c:v>
                </c:pt>
                <c:pt idx="989">
                  <c:v>6858.4723100000001</c:v>
                </c:pt>
                <c:pt idx="990">
                  <c:v>6858.4723100000001</c:v>
                </c:pt>
                <c:pt idx="991">
                  <c:v>6858.4723100000001</c:v>
                </c:pt>
                <c:pt idx="992">
                  <c:v>6902.0508499999996</c:v>
                </c:pt>
                <c:pt idx="993">
                  <c:v>6944.8192200000003</c:v>
                </c:pt>
                <c:pt idx="994">
                  <c:v>6920.9292599999999</c:v>
                </c:pt>
                <c:pt idx="995">
                  <c:v>6921.4570899999999</c:v>
                </c:pt>
                <c:pt idx="996">
                  <c:v>6966.2839199999999</c:v>
                </c:pt>
                <c:pt idx="997">
                  <c:v>6966.2839199999999</c:v>
                </c:pt>
                <c:pt idx="998">
                  <c:v>6966.2839199999999</c:v>
                </c:pt>
                <c:pt idx="999">
                  <c:v>6977.2650299999996</c:v>
                </c:pt>
                <c:pt idx="1000">
                  <c:v>6963.7350999999999</c:v>
                </c:pt>
                <c:pt idx="1001">
                  <c:v>6926.5961500000003</c:v>
                </c:pt>
                <c:pt idx="1002">
                  <c:v>6944.4718800000001</c:v>
                </c:pt>
                <c:pt idx="1003">
                  <c:v>6940.0095099999999</c:v>
                </c:pt>
                <c:pt idx="1004">
                  <c:v>6940.0095099999999</c:v>
                </c:pt>
                <c:pt idx="1005">
                  <c:v>6940.0095099999999</c:v>
                </c:pt>
                <c:pt idx="1006">
                  <c:v>6940.0095099999999</c:v>
                </c:pt>
                <c:pt idx="1007">
                  <c:v>6796.8608100000001</c:v>
                </c:pt>
                <c:pt idx="1008">
                  <c:v>6875.6152700000002</c:v>
                </c:pt>
                <c:pt idx="1009">
                  <c:v>6913.3520399999998</c:v>
                </c:pt>
                <c:pt idx="1010">
                  <c:v>6915.6106499999996</c:v>
                </c:pt>
                <c:pt idx="1011">
                  <c:v>6915.6106499999996</c:v>
                </c:pt>
                <c:pt idx="1012">
                  <c:v>6915.6106499999996</c:v>
                </c:pt>
                <c:pt idx="1013">
                  <c:v>6950.2322000000004</c:v>
                </c:pt>
                <c:pt idx="1014">
                  <c:v>6978.5969299999997</c:v>
                </c:pt>
                <c:pt idx="1015">
                  <c:v>6978.0293899999997</c:v>
                </c:pt>
                <c:pt idx="1016">
                  <c:v>6969.0068899999997</c:v>
                </c:pt>
                <c:pt idx="1017">
                  <c:v>6939.02952</c:v>
                </c:pt>
                <c:pt idx="1018">
                  <c:v>6939.02952</c:v>
                </c:pt>
                <c:pt idx="1019">
                  <c:v>6939.02952</c:v>
                </c:pt>
                <c:pt idx="1020">
                  <c:v>6976.4441800000004</c:v>
                </c:pt>
                <c:pt idx="1021">
                  <c:v>6917.8117000000002</c:v>
                </c:pt>
                <c:pt idx="1022">
                  <c:v>6882.7211100000004</c:v>
                </c:pt>
                <c:pt idx="1023">
                  <c:v>6798.39948</c:v>
                </c:pt>
                <c:pt idx="1024">
                  <c:v>6932.2976699999999</c:v>
                </c:pt>
                <c:pt idx="1025">
                  <c:v>6932.2976699999999</c:v>
                </c:pt>
                <c:pt idx="1026">
                  <c:v>6932.2976699999999</c:v>
                </c:pt>
                <c:pt idx="1027">
                  <c:v>6964.8198499999999</c:v>
                </c:pt>
                <c:pt idx="1028">
                  <c:v>6941.8125099999997</c:v>
                </c:pt>
                <c:pt idx="1029">
                  <c:v>6941.4710100000002</c:v>
                </c:pt>
                <c:pt idx="1030">
                  <c:v>6832.7614700000004</c:v>
                </c:pt>
                <c:pt idx="1031">
                  <c:v>6836.17209</c:v>
                </c:pt>
                <c:pt idx="1032">
                  <c:v>6836.17209</c:v>
                </c:pt>
                <c:pt idx="1033">
                  <c:v>6836.17209</c:v>
                </c:pt>
                <c:pt idx="1034">
                  <c:v>6836.17209</c:v>
                </c:pt>
                <c:pt idx="1035">
                  <c:v>6843.2232599999998</c:v>
                </c:pt>
                <c:pt idx="1036">
                  <c:v>6881.3145599999998</c:v>
                </c:pt>
                <c:pt idx="1037">
                  <c:v>6861.8937400000004</c:v>
                </c:pt>
                <c:pt idx="1038">
                  <c:v>6909.5066200000001</c:v>
                </c:pt>
                <c:pt idx="1039">
                  <c:v>6909.5066200000001</c:v>
                </c:pt>
                <c:pt idx="1040">
                  <c:v>6909.5066200000001</c:v>
                </c:pt>
                <c:pt idx="1041">
                  <c:v>6837.7545200000004</c:v>
                </c:pt>
                <c:pt idx="1042">
                  <c:v>6890.0723099999996</c:v>
                </c:pt>
                <c:pt idx="1043">
                  <c:v>6946.1266900000001</c:v>
                </c:pt>
                <c:pt idx="1044">
                  <c:v>6908.8646799999997</c:v>
                </c:pt>
                <c:pt idx="1045">
                  <c:v>6878.8784999999998</c:v>
                </c:pt>
                <c:pt idx="1046">
                  <c:v>6878.8784999999998</c:v>
                </c:pt>
                <c:pt idx="1047">
                  <c:v>6878.8784999999998</c:v>
                </c:pt>
                <c:pt idx="1048">
                  <c:v>6881.6200799999997</c:v>
                </c:pt>
                <c:pt idx="1049">
                  <c:v>6816.6270299999996</c:v>
                </c:pt>
                <c:pt idx="1050">
                  <c:v>6869.5024400000002</c:v>
                </c:pt>
                <c:pt idx="1051">
                  <c:v>6830.7080699999997</c:v>
                </c:pt>
                <c:pt idx="1052">
                  <c:v>6740.0234300000002</c:v>
                </c:pt>
                <c:pt idx="1053">
                  <c:v>6740.0234300000002</c:v>
                </c:pt>
                <c:pt idx="1054">
                  <c:v>6740.0234300000002</c:v>
                </c:pt>
                <c:pt idx="1055">
                  <c:v>6795.9918699999998</c:v>
                </c:pt>
                <c:pt idx="1056">
                  <c:v>6781.4819299999999</c:v>
                </c:pt>
                <c:pt idx="1057">
                  <c:v>6775.8043200000002</c:v>
                </c:pt>
                <c:pt idx="1058">
                  <c:v>6672.6180400000003</c:v>
                </c:pt>
                <c:pt idx="1059">
                  <c:v>6632.1915300000001</c:v>
                </c:pt>
                <c:pt idx="1060">
                  <c:v>6632.1915300000001</c:v>
                </c:pt>
                <c:pt idx="1061">
                  <c:v>6632.1915300000001</c:v>
                </c:pt>
                <c:pt idx="1062">
                  <c:v>6699.3833299999997</c:v>
                </c:pt>
                <c:pt idx="1063">
                  <c:v>6716.0925100000004</c:v>
                </c:pt>
                <c:pt idx="1064">
                  <c:v>6624.6951600000002</c:v>
                </c:pt>
                <c:pt idx="1065">
                  <c:v>6606.4945399999997</c:v>
                </c:pt>
                <c:pt idx="1066">
                  <c:v>6506.4789099999998</c:v>
                </c:pt>
                <c:pt idx="1067">
                  <c:v>6506.4789099999998</c:v>
                </c:pt>
                <c:pt idx="1068">
                  <c:v>6506.4789099999998</c:v>
                </c:pt>
                <c:pt idx="1069">
                  <c:v>6581.0002100000002</c:v>
                </c:pt>
                <c:pt idx="1070">
                  <c:v>6556.3711400000002</c:v>
                </c:pt>
                <c:pt idx="1071">
                  <c:v>6591.9005900000002</c:v>
                </c:pt>
                <c:pt idx="1072">
                  <c:v>6477.1646300000002</c:v>
                </c:pt>
                <c:pt idx="1073">
                  <c:v>6368.8530700000001</c:v>
                </c:pt>
                <c:pt idx="1074">
                  <c:v>6368.8530700000001</c:v>
                </c:pt>
                <c:pt idx="1075">
                  <c:v>6368.8530700000001</c:v>
                </c:pt>
                <c:pt idx="1076">
                  <c:v>6343.7248300000001</c:v>
                </c:pt>
                <c:pt idx="1077">
                  <c:v>6528.5173800000002</c:v>
                </c:pt>
                <c:pt idx="1078">
                  <c:v>6575.3159299999998</c:v>
                </c:pt>
                <c:pt idx="1079">
                  <c:v>6582.6867599999996</c:v>
                </c:pt>
                <c:pt idx="1080">
                  <c:v>6582.6867599999996</c:v>
                </c:pt>
                <c:pt idx="1081">
                  <c:v>6582.6867599999996</c:v>
                </c:pt>
                <c:pt idx="1082">
                  <c:v>6582.6867599999996</c:v>
                </c:pt>
                <c:pt idx="1083">
                  <c:v>6611.8304099999996</c:v>
                </c:pt>
                <c:pt idx="1084">
                  <c:v>6616.8508300000003</c:v>
                </c:pt>
                <c:pt idx="1085">
                  <c:v>6782.81167</c:v>
                </c:pt>
                <c:pt idx="1086">
                  <c:v>6824.6572699999997</c:v>
                </c:pt>
                <c:pt idx="1087">
                  <c:v>6816.89192</c:v>
                </c:pt>
                <c:pt idx="1088">
                  <c:v>6816.89192</c:v>
                </c:pt>
                <c:pt idx="1089">
                  <c:v>6816.89192</c:v>
                </c:pt>
                <c:pt idx="1090">
                  <c:v>6886.2352300000002</c:v>
                </c:pt>
                <c:pt idx="1091">
                  <c:v>6967.3786899999996</c:v>
                </c:pt>
                <c:pt idx="1092">
                  <c:v>7022.9523300000001</c:v>
                </c:pt>
                <c:pt idx="1093">
                  <c:v>7041.2766899999997</c:v>
                </c:pt>
                <c:pt idx="1094">
                  <c:v>7041.2766899999997</c:v>
                </c:pt>
              </c:numCache>
            </c:numRef>
          </c:val>
          <c:smooth val="0"/>
          <c:extLst>
            <c:ext xmlns:c16="http://schemas.microsoft.com/office/drawing/2014/chart" uri="{C3380CC4-5D6E-409C-BE32-E72D297353CC}">
              <c16:uniqueId val="{00000001-12F6-4818-8652-FCA04B21EE11}"/>
            </c:ext>
          </c:extLst>
        </c:ser>
        <c:dLbls>
          <c:showLegendKey val="0"/>
          <c:showVal val="0"/>
          <c:showCatName val="0"/>
          <c:showSerName val="0"/>
          <c:showPercent val="0"/>
          <c:showBubbleSize val="0"/>
        </c:dLbls>
        <c:marker val="1"/>
        <c:smooth val="0"/>
        <c:axId val="2085424671"/>
        <c:axId val="2060063199"/>
      </c:lineChart>
      <c:dateAx>
        <c:axId val="2085423231"/>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71215679"/>
        <c:crosses val="autoZero"/>
        <c:auto val="0"/>
        <c:lblOffset val="100"/>
        <c:baseTimeUnit val="days"/>
      </c:dateAx>
      <c:valAx>
        <c:axId val="20712156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C00000"/>
                </a:solidFill>
                <a:latin typeface="+mn-lt"/>
                <a:ea typeface="+mn-ea"/>
                <a:cs typeface="+mn-cs"/>
              </a:defRPr>
            </a:pPr>
            <a:endParaRPr lang="en-US"/>
          </a:p>
        </c:txPr>
        <c:crossAx val="2085423231"/>
        <c:crosses val="autoZero"/>
        <c:crossBetween val="midCat"/>
      </c:valAx>
      <c:valAx>
        <c:axId val="206006319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lumMod val="50000"/>
                  </a:schemeClr>
                </a:solidFill>
                <a:latin typeface="+mn-lt"/>
                <a:ea typeface="+mn-ea"/>
                <a:cs typeface="+mn-cs"/>
              </a:defRPr>
            </a:pPr>
            <a:endParaRPr lang="en-US"/>
          </a:p>
        </c:txPr>
        <c:crossAx val="2085424671"/>
        <c:crosses val="max"/>
        <c:crossBetween val="between"/>
      </c:valAx>
      <c:dateAx>
        <c:axId val="2085424671"/>
        <c:scaling>
          <c:orientation val="minMax"/>
        </c:scaling>
        <c:delete val="1"/>
        <c:axPos val="b"/>
        <c:numFmt formatCode="dd/mm/yy;@" sourceLinked="1"/>
        <c:majorTickMark val="out"/>
        <c:minorTickMark val="none"/>
        <c:tickLblPos val="nextTo"/>
        <c:crossAx val="2060063199"/>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a:solidFill>
                  <a:sysClr val="windowText" lastClr="000000"/>
                </a:solidFill>
              </a:rPr>
              <a:t>Verhältnis von Unternehmenswert zu EBIT</a:t>
            </a:r>
          </a:p>
        </c:rich>
      </c:tx>
      <c:overlay val="0"/>
      <c:spPr>
        <a:solidFill>
          <a:schemeClr val="bg1">
            <a:lumMod val="95000"/>
          </a:schemeClr>
        </a:solid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1300939320004256E-2"/>
          <c:y val="0.14344925634295713"/>
          <c:w val="0.92545359034359531"/>
          <c:h val="0.39767351997666961"/>
        </c:manualLayout>
      </c:layout>
      <c:barChart>
        <c:barDir val="col"/>
        <c:grouping val="clustered"/>
        <c:varyColors val="0"/>
        <c:ser>
          <c:idx val="0"/>
          <c:order val="0"/>
          <c:tx>
            <c:strRef>
              <c:f>'Report F7'!$R$10</c:f>
              <c:strCache>
                <c:ptCount val="1"/>
                <c:pt idx="0">
                  <c:v>LTM</c:v>
                </c:pt>
              </c:strCache>
            </c:strRef>
          </c:tx>
          <c:spPr>
            <a:solidFill>
              <a:schemeClr val="accent1">
                <a:lumMod val="40000"/>
                <a:lumOff val="60000"/>
              </a:schemeClr>
            </a:solidFill>
            <a:ln>
              <a:noFill/>
            </a:ln>
            <a:effectLst/>
          </c:spPr>
          <c:invertIfNegative val="0"/>
          <c:cat>
            <c:strRef>
              <c:f>'Report F7'!$S$8:$AC$8</c:f>
              <c:strCache>
                <c:ptCount val="11"/>
                <c:pt idx="0">
                  <c:v>Meta Platforms, Inc.</c:v>
                </c:pt>
                <c:pt idx="1">
                  <c:v>Alphabet Inc.</c:v>
                </c:pt>
                <c:pt idx="2">
                  <c:v>Reddit, Inc.</c:v>
                </c:pt>
                <c:pt idx="3">
                  <c:v>Bumble Inc.</c:v>
                </c:pt>
                <c:pt idx="4">
                  <c:v>Tencent Holdings</c:v>
                </c:pt>
                <c:pt idx="5">
                  <c:v>Amazon.com, Inc.</c:v>
                </c:pt>
                <c:pt idx="6">
                  <c:v>Yelp Inc.</c:v>
                </c:pt>
                <c:pt idx="7">
                  <c:v>Grindr Inc.</c:v>
                </c:pt>
                <c:pt idx="8">
                  <c:v>IAC Inc.</c:v>
                </c:pt>
                <c:pt idx="9">
                  <c:v>Taboola.com Ltd.</c:v>
                </c:pt>
                <c:pt idx="10">
                  <c:v>Leafbuyer Technologies</c:v>
                </c:pt>
              </c:strCache>
            </c:strRef>
          </c:cat>
          <c:val>
            <c:numRef>
              <c:f>'Report F7'!$S$10:$AC$10</c:f>
              <c:numCache>
                <c:formatCode>#,##0.0</c:formatCode>
                <c:ptCount val="11"/>
                <c:pt idx="0">
                  <c:v>20.67428</c:v>
                </c:pt>
                <c:pt idx="1">
                  <c:v>30.832920000000001</c:v>
                </c:pt>
                <c:pt idx="2">
                  <c:v>64.663349999999994</c:v>
                </c:pt>
                <c:pt idx="3">
                  <c:v>4.3354900000000001</c:v>
                </c:pt>
                <c:pt idx="4">
                  <c:v>15.624879999999999</c:v>
                </c:pt>
                <c:pt idx="5">
                  <c:v>34.510449999999999</c:v>
                </c:pt>
                <c:pt idx="6">
                  <c:v>7.0713400000000002</c:v>
                </c:pt>
                <c:pt idx="7">
                  <c:v>20.493590000000001</c:v>
                </c:pt>
                <c:pt idx="8">
                  <c:v>37.175080000000001</c:v>
                </c:pt>
                <c:pt idx="9">
                  <c:v>24.723320000000001</c:v>
                </c:pt>
                <c:pt idx="10">
                  <c:v>20.780180000000001</c:v>
                </c:pt>
              </c:numCache>
            </c:numRef>
          </c:val>
          <c:extLst>
            <c:ext xmlns:c16="http://schemas.microsoft.com/office/drawing/2014/chart" uri="{C3380CC4-5D6E-409C-BE32-E72D297353CC}">
              <c16:uniqueId val="{00000000-963E-4180-8181-DA4155C7BAB0}"/>
            </c:ext>
          </c:extLst>
        </c:ser>
        <c:ser>
          <c:idx val="1"/>
          <c:order val="1"/>
          <c:tx>
            <c:strRef>
              <c:f>'Report F7'!$R$11</c:f>
              <c:strCache>
                <c:ptCount val="1"/>
                <c:pt idx="0">
                  <c:v>Forward</c:v>
                </c:pt>
              </c:strCache>
            </c:strRef>
          </c:tx>
          <c:spPr>
            <a:solidFill>
              <a:schemeClr val="accent1">
                <a:lumMod val="75000"/>
              </a:schemeClr>
            </a:solidFill>
            <a:ln>
              <a:noFill/>
            </a:ln>
            <a:effectLst/>
          </c:spPr>
          <c:invertIfNegative val="0"/>
          <c:cat>
            <c:strRef>
              <c:f>'Report F7'!$S$8:$AC$8</c:f>
              <c:strCache>
                <c:ptCount val="11"/>
                <c:pt idx="0">
                  <c:v>Meta Platforms, Inc.</c:v>
                </c:pt>
                <c:pt idx="1">
                  <c:v>Alphabet Inc.</c:v>
                </c:pt>
                <c:pt idx="2">
                  <c:v>Reddit, Inc.</c:v>
                </c:pt>
                <c:pt idx="3">
                  <c:v>Bumble Inc.</c:v>
                </c:pt>
                <c:pt idx="4">
                  <c:v>Tencent Holdings</c:v>
                </c:pt>
                <c:pt idx="5">
                  <c:v>Amazon.com, Inc.</c:v>
                </c:pt>
                <c:pt idx="6">
                  <c:v>Yelp Inc.</c:v>
                </c:pt>
                <c:pt idx="7">
                  <c:v>Grindr Inc.</c:v>
                </c:pt>
                <c:pt idx="8">
                  <c:v>IAC Inc.</c:v>
                </c:pt>
                <c:pt idx="9">
                  <c:v>Taboola.com Ltd.</c:v>
                </c:pt>
                <c:pt idx="10">
                  <c:v>Leafbuyer Technologies</c:v>
                </c:pt>
              </c:strCache>
            </c:strRef>
          </c:cat>
          <c:val>
            <c:numRef>
              <c:f>'Report F7'!$S$11:$AC$11</c:f>
              <c:numCache>
                <c:formatCode>#,##0.0</c:formatCode>
                <c:ptCount val="11"/>
                <c:pt idx="0">
                  <c:v>19.702860000000001</c:v>
                </c:pt>
                <c:pt idx="1">
                  <c:v>25.0976</c:v>
                </c:pt>
                <c:pt idx="2">
                  <c:v>34.174669999999999</c:v>
                </c:pt>
                <c:pt idx="3">
                  <c:v>4.9126099999999999</c:v>
                </c:pt>
                <c:pt idx="4">
                  <c:v>14.901479999999999</c:v>
                </c:pt>
                <c:pt idx="5">
                  <c:v>27.876090000000001</c:v>
                </c:pt>
                <c:pt idx="6">
                  <c:v>8.5730299999999993</c:v>
                </c:pt>
                <c:pt idx="7">
                  <c:v>17.33625</c:v>
                </c:pt>
                <c:pt idx="8">
                  <c:v>28.548549999999999</c:v>
                </c:pt>
                <c:pt idx="9">
                  <c:v>11.116540000000001</c:v>
                </c:pt>
                <c:pt idx="10">
                  <c:v>0</c:v>
                </c:pt>
              </c:numCache>
            </c:numRef>
          </c:val>
          <c:extLst>
            <c:ext xmlns:c16="http://schemas.microsoft.com/office/drawing/2014/chart" uri="{C3380CC4-5D6E-409C-BE32-E72D297353CC}">
              <c16:uniqueId val="{00000001-963E-4180-8181-DA4155C7BAB0}"/>
            </c:ext>
          </c:extLst>
        </c:ser>
        <c:dLbls>
          <c:showLegendKey val="0"/>
          <c:showVal val="0"/>
          <c:showCatName val="0"/>
          <c:showSerName val="0"/>
          <c:showPercent val="0"/>
          <c:showBubbleSize val="0"/>
        </c:dLbls>
        <c:gapWidth val="219"/>
        <c:overlap val="-27"/>
        <c:axId val="1524925727"/>
        <c:axId val="1524926207"/>
      </c:barChart>
      <c:catAx>
        <c:axId val="152492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926207"/>
        <c:crosses val="autoZero"/>
        <c:auto val="1"/>
        <c:lblAlgn val="ctr"/>
        <c:lblOffset val="100"/>
        <c:noMultiLvlLbl val="0"/>
      </c:catAx>
      <c:valAx>
        <c:axId val="15249262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925727"/>
        <c:crosses val="autoZero"/>
        <c:crossBetween val="between"/>
      </c:valAx>
      <c:spPr>
        <a:noFill/>
        <a:ln>
          <a:noFill/>
        </a:ln>
        <a:effectLst/>
      </c:spPr>
    </c:plotArea>
    <c:legend>
      <c:legendPos val="b"/>
      <c:layout>
        <c:manualLayout>
          <c:xMode val="edge"/>
          <c:yMode val="edge"/>
          <c:x val="0.76676506749922158"/>
          <c:y val="4.2244823563721161E-2"/>
          <c:w val="0.14760199100947569"/>
          <c:h val="7.18250893481938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Aktie</c:v>
          </c:tx>
          <c:spPr>
            <a:ln w="12700" cap="rnd">
              <a:solidFill>
                <a:srgbClr val="C00000"/>
              </a:solidFill>
              <a:round/>
            </a:ln>
            <a:effectLst/>
          </c:spPr>
          <c:marker>
            <c:symbol val="none"/>
          </c:marker>
          <c:cat>
            <c:numRef>
              <c:f>'DIY Grundmodell'!$R$93:$R$1187</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'DIY Grundmodell'!$U$93:$U$1187</c:f>
              <c:numCache>
                <c:formatCode>#,##0.00</c:formatCode>
                <c:ptCount val="1095"/>
                <c:pt idx="0">
                  <c:v>215.7</c:v>
                </c:pt>
                <c:pt idx="1">
                  <c:v>213.07</c:v>
                </c:pt>
                <c:pt idx="2">
                  <c:v>212.89</c:v>
                </c:pt>
                <c:pt idx="3">
                  <c:v>212.89</c:v>
                </c:pt>
                <c:pt idx="4">
                  <c:v>212.89</c:v>
                </c:pt>
                <c:pt idx="5">
                  <c:v>212.79</c:v>
                </c:pt>
                <c:pt idx="6">
                  <c:v>207.55</c:v>
                </c:pt>
                <c:pt idx="7">
                  <c:v>209.4</c:v>
                </c:pt>
                <c:pt idx="8">
                  <c:v>238.56</c:v>
                </c:pt>
                <c:pt idx="9">
                  <c:v>240.32</c:v>
                </c:pt>
                <c:pt idx="10">
                  <c:v>240.32</c:v>
                </c:pt>
                <c:pt idx="11">
                  <c:v>240.32</c:v>
                </c:pt>
                <c:pt idx="12">
                  <c:v>243.18</c:v>
                </c:pt>
                <c:pt idx="13">
                  <c:v>239.24</c:v>
                </c:pt>
                <c:pt idx="14">
                  <c:v>237.03</c:v>
                </c:pt>
                <c:pt idx="15">
                  <c:v>233.52</c:v>
                </c:pt>
                <c:pt idx="16">
                  <c:v>232.78</c:v>
                </c:pt>
                <c:pt idx="17">
                  <c:v>232.78</c:v>
                </c:pt>
                <c:pt idx="18">
                  <c:v>232.78</c:v>
                </c:pt>
                <c:pt idx="19">
                  <c:v>233.27</c:v>
                </c:pt>
                <c:pt idx="20">
                  <c:v>233.37</c:v>
                </c:pt>
                <c:pt idx="21">
                  <c:v>233.08</c:v>
                </c:pt>
                <c:pt idx="22">
                  <c:v>235.79</c:v>
                </c:pt>
                <c:pt idx="23">
                  <c:v>233.81</c:v>
                </c:pt>
                <c:pt idx="24">
                  <c:v>233.81</c:v>
                </c:pt>
                <c:pt idx="25">
                  <c:v>233.81</c:v>
                </c:pt>
                <c:pt idx="26">
                  <c:v>238.86</c:v>
                </c:pt>
                <c:pt idx="27">
                  <c:v>238.82</c:v>
                </c:pt>
                <c:pt idx="28">
                  <c:v>242.48500000000001</c:v>
                </c:pt>
                <c:pt idx="29">
                  <c:v>246.85</c:v>
                </c:pt>
                <c:pt idx="30">
                  <c:v>245.64</c:v>
                </c:pt>
                <c:pt idx="31">
                  <c:v>245.64</c:v>
                </c:pt>
                <c:pt idx="32">
                  <c:v>245.64</c:v>
                </c:pt>
                <c:pt idx="33">
                  <c:v>248.32</c:v>
                </c:pt>
                <c:pt idx="34">
                  <c:v>246.74</c:v>
                </c:pt>
                <c:pt idx="35">
                  <c:v>249.21</c:v>
                </c:pt>
                <c:pt idx="36">
                  <c:v>252.69</c:v>
                </c:pt>
                <c:pt idx="37">
                  <c:v>262.04000000000002</c:v>
                </c:pt>
                <c:pt idx="38">
                  <c:v>262.04000000000002</c:v>
                </c:pt>
                <c:pt idx="39">
                  <c:v>262.04000000000002</c:v>
                </c:pt>
                <c:pt idx="40">
                  <c:v>262.04000000000002</c:v>
                </c:pt>
                <c:pt idx="41">
                  <c:v>262.52</c:v>
                </c:pt>
                <c:pt idx="42">
                  <c:v>264.72000000000003</c:v>
                </c:pt>
                <c:pt idx="43">
                  <c:v>272.61</c:v>
                </c:pt>
                <c:pt idx="44">
                  <c:v>272.61</c:v>
                </c:pt>
                <c:pt idx="45">
                  <c:v>272.61</c:v>
                </c:pt>
                <c:pt idx="46">
                  <c:v>272.61</c:v>
                </c:pt>
                <c:pt idx="47">
                  <c:v>271.39</c:v>
                </c:pt>
                <c:pt idx="48">
                  <c:v>271.12</c:v>
                </c:pt>
                <c:pt idx="49">
                  <c:v>263.60000000000002</c:v>
                </c:pt>
                <c:pt idx="50">
                  <c:v>264.58</c:v>
                </c:pt>
                <c:pt idx="51">
                  <c:v>264.95</c:v>
                </c:pt>
                <c:pt idx="52">
                  <c:v>264.95</c:v>
                </c:pt>
                <c:pt idx="53">
                  <c:v>264.95</c:v>
                </c:pt>
                <c:pt idx="54">
                  <c:v>271.05</c:v>
                </c:pt>
                <c:pt idx="55">
                  <c:v>271.32</c:v>
                </c:pt>
                <c:pt idx="56">
                  <c:v>273.35000000000002</c:v>
                </c:pt>
                <c:pt idx="57">
                  <c:v>281.83</c:v>
                </c:pt>
                <c:pt idx="58">
                  <c:v>281</c:v>
                </c:pt>
                <c:pt idx="59">
                  <c:v>281</c:v>
                </c:pt>
                <c:pt idx="60">
                  <c:v>281</c:v>
                </c:pt>
                <c:pt idx="61">
                  <c:v>281</c:v>
                </c:pt>
                <c:pt idx="62">
                  <c:v>284.33</c:v>
                </c:pt>
                <c:pt idx="63">
                  <c:v>281.64</c:v>
                </c:pt>
                <c:pt idx="64">
                  <c:v>284.88</c:v>
                </c:pt>
                <c:pt idx="65">
                  <c:v>288.73</c:v>
                </c:pt>
                <c:pt idx="66">
                  <c:v>288.73</c:v>
                </c:pt>
                <c:pt idx="67">
                  <c:v>288.73</c:v>
                </c:pt>
                <c:pt idx="68">
                  <c:v>278.47000000000003</c:v>
                </c:pt>
                <c:pt idx="69">
                  <c:v>287.05</c:v>
                </c:pt>
                <c:pt idx="70">
                  <c:v>285.29000000000002</c:v>
                </c:pt>
                <c:pt idx="71">
                  <c:v>281.52999999999997</c:v>
                </c:pt>
                <c:pt idx="72">
                  <c:v>286.98</c:v>
                </c:pt>
                <c:pt idx="73">
                  <c:v>286.98</c:v>
                </c:pt>
                <c:pt idx="74">
                  <c:v>286.98</c:v>
                </c:pt>
                <c:pt idx="75">
                  <c:v>286.02</c:v>
                </c:pt>
                <c:pt idx="76">
                  <c:v>286.02</c:v>
                </c:pt>
                <c:pt idx="77">
                  <c:v>294.37</c:v>
                </c:pt>
                <c:pt idx="78">
                  <c:v>291.99</c:v>
                </c:pt>
                <c:pt idx="79">
                  <c:v>290.52999999999997</c:v>
                </c:pt>
                <c:pt idx="80">
                  <c:v>290.52999999999997</c:v>
                </c:pt>
                <c:pt idx="81">
                  <c:v>290.52999999999997</c:v>
                </c:pt>
                <c:pt idx="82">
                  <c:v>294.10000000000002</c:v>
                </c:pt>
                <c:pt idx="83">
                  <c:v>298.29000000000002</c:v>
                </c:pt>
                <c:pt idx="84">
                  <c:v>309.33999999999997</c:v>
                </c:pt>
                <c:pt idx="85">
                  <c:v>313.41000000000003</c:v>
                </c:pt>
                <c:pt idx="86">
                  <c:v>308.87</c:v>
                </c:pt>
                <c:pt idx="87">
                  <c:v>308.87</c:v>
                </c:pt>
                <c:pt idx="88">
                  <c:v>308.87</c:v>
                </c:pt>
                <c:pt idx="89">
                  <c:v>310.62</c:v>
                </c:pt>
                <c:pt idx="90">
                  <c:v>312.05</c:v>
                </c:pt>
                <c:pt idx="91">
                  <c:v>316.01</c:v>
                </c:pt>
                <c:pt idx="92">
                  <c:v>302.52</c:v>
                </c:pt>
                <c:pt idx="93">
                  <c:v>294.26</c:v>
                </c:pt>
                <c:pt idx="94">
                  <c:v>294.26</c:v>
                </c:pt>
                <c:pt idx="95">
                  <c:v>294.26</c:v>
                </c:pt>
                <c:pt idx="96">
                  <c:v>291.61</c:v>
                </c:pt>
                <c:pt idx="97">
                  <c:v>294.47000000000003</c:v>
                </c:pt>
                <c:pt idx="98">
                  <c:v>298.57</c:v>
                </c:pt>
                <c:pt idx="99">
                  <c:v>311.70999999999998</c:v>
                </c:pt>
                <c:pt idx="100">
                  <c:v>325.48</c:v>
                </c:pt>
                <c:pt idx="101">
                  <c:v>325.48</c:v>
                </c:pt>
                <c:pt idx="102">
                  <c:v>325.48</c:v>
                </c:pt>
                <c:pt idx="103">
                  <c:v>318.60000000000002</c:v>
                </c:pt>
                <c:pt idx="104">
                  <c:v>322.70999999999998</c:v>
                </c:pt>
                <c:pt idx="105">
                  <c:v>314.31</c:v>
                </c:pt>
                <c:pt idx="106">
                  <c:v>313.19</c:v>
                </c:pt>
                <c:pt idx="107">
                  <c:v>310.73</c:v>
                </c:pt>
                <c:pt idx="108">
                  <c:v>310.73</c:v>
                </c:pt>
                <c:pt idx="109">
                  <c:v>310.73</c:v>
                </c:pt>
                <c:pt idx="110">
                  <c:v>316.56</c:v>
                </c:pt>
                <c:pt idx="111">
                  <c:v>312.64</c:v>
                </c:pt>
                <c:pt idx="112">
                  <c:v>305.20999999999998</c:v>
                </c:pt>
                <c:pt idx="113">
                  <c:v>305.74</c:v>
                </c:pt>
                <c:pt idx="114">
                  <c:v>301.64</c:v>
                </c:pt>
                <c:pt idx="115">
                  <c:v>301.64</c:v>
                </c:pt>
                <c:pt idx="116">
                  <c:v>301.64</c:v>
                </c:pt>
                <c:pt idx="117">
                  <c:v>306.19</c:v>
                </c:pt>
                <c:pt idx="118">
                  <c:v>301.95</c:v>
                </c:pt>
                <c:pt idx="119">
                  <c:v>294.29000000000002</c:v>
                </c:pt>
                <c:pt idx="120">
                  <c:v>285.08999999999997</c:v>
                </c:pt>
                <c:pt idx="121">
                  <c:v>283.25</c:v>
                </c:pt>
                <c:pt idx="122">
                  <c:v>283.25</c:v>
                </c:pt>
                <c:pt idx="123">
                  <c:v>283.25</c:v>
                </c:pt>
                <c:pt idx="124">
                  <c:v>289.89999999999998</c:v>
                </c:pt>
                <c:pt idx="125">
                  <c:v>287.60000000000002</c:v>
                </c:pt>
                <c:pt idx="126">
                  <c:v>294.24</c:v>
                </c:pt>
                <c:pt idx="127">
                  <c:v>286.75</c:v>
                </c:pt>
                <c:pt idx="128">
                  <c:v>285.5</c:v>
                </c:pt>
                <c:pt idx="129">
                  <c:v>285.5</c:v>
                </c:pt>
                <c:pt idx="130">
                  <c:v>285.5</c:v>
                </c:pt>
                <c:pt idx="131">
                  <c:v>290.26</c:v>
                </c:pt>
                <c:pt idx="132">
                  <c:v>297.99</c:v>
                </c:pt>
                <c:pt idx="133">
                  <c:v>295.10000000000002</c:v>
                </c:pt>
                <c:pt idx="134">
                  <c:v>295.89</c:v>
                </c:pt>
                <c:pt idx="135">
                  <c:v>296.38</c:v>
                </c:pt>
                <c:pt idx="136">
                  <c:v>296.38</c:v>
                </c:pt>
                <c:pt idx="137">
                  <c:v>296.38</c:v>
                </c:pt>
                <c:pt idx="138">
                  <c:v>296.38</c:v>
                </c:pt>
                <c:pt idx="139">
                  <c:v>300.14999999999998</c:v>
                </c:pt>
                <c:pt idx="140">
                  <c:v>299.17</c:v>
                </c:pt>
                <c:pt idx="141">
                  <c:v>298.67</c:v>
                </c:pt>
                <c:pt idx="142">
                  <c:v>297.89</c:v>
                </c:pt>
                <c:pt idx="143">
                  <c:v>297.89</c:v>
                </c:pt>
                <c:pt idx="144">
                  <c:v>297.89</c:v>
                </c:pt>
                <c:pt idx="145">
                  <c:v>307.56</c:v>
                </c:pt>
                <c:pt idx="146">
                  <c:v>301.66000000000003</c:v>
                </c:pt>
                <c:pt idx="147">
                  <c:v>305.06</c:v>
                </c:pt>
                <c:pt idx="148">
                  <c:v>311.72000000000003</c:v>
                </c:pt>
                <c:pt idx="149">
                  <c:v>300.31</c:v>
                </c:pt>
                <c:pt idx="150">
                  <c:v>300.31</c:v>
                </c:pt>
                <c:pt idx="151">
                  <c:v>300.31</c:v>
                </c:pt>
                <c:pt idx="152">
                  <c:v>302.55</c:v>
                </c:pt>
                <c:pt idx="153">
                  <c:v>305.07</c:v>
                </c:pt>
                <c:pt idx="154">
                  <c:v>299.67</c:v>
                </c:pt>
                <c:pt idx="155">
                  <c:v>295.73</c:v>
                </c:pt>
                <c:pt idx="156">
                  <c:v>299.08</c:v>
                </c:pt>
                <c:pt idx="157">
                  <c:v>299.08</c:v>
                </c:pt>
                <c:pt idx="158">
                  <c:v>299.08</c:v>
                </c:pt>
                <c:pt idx="159">
                  <c:v>300.83</c:v>
                </c:pt>
                <c:pt idx="160">
                  <c:v>298.95999999999998</c:v>
                </c:pt>
                <c:pt idx="161">
                  <c:v>297.74</c:v>
                </c:pt>
                <c:pt idx="162">
                  <c:v>303.95999999999998</c:v>
                </c:pt>
                <c:pt idx="163">
                  <c:v>300.20999999999998</c:v>
                </c:pt>
                <c:pt idx="164">
                  <c:v>300.20999999999998</c:v>
                </c:pt>
                <c:pt idx="165">
                  <c:v>300.20999999999998</c:v>
                </c:pt>
                <c:pt idx="166">
                  <c:v>306.82</c:v>
                </c:pt>
                <c:pt idx="167">
                  <c:v>300.94</c:v>
                </c:pt>
                <c:pt idx="168">
                  <c:v>305.58</c:v>
                </c:pt>
                <c:pt idx="169">
                  <c:v>304.79000000000002</c:v>
                </c:pt>
                <c:pt idx="170">
                  <c:v>315.43</c:v>
                </c:pt>
                <c:pt idx="171">
                  <c:v>315.43</c:v>
                </c:pt>
                <c:pt idx="172">
                  <c:v>315.43</c:v>
                </c:pt>
                <c:pt idx="173">
                  <c:v>318.36</c:v>
                </c:pt>
                <c:pt idx="174">
                  <c:v>321.83999999999997</c:v>
                </c:pt>
                <c:pt idx="175">
                  <c:v>327.82</c:v>
                </c:pt>
                <c:pt idx="176">
                  <c:v>324.16000000000003</c:v>
                </c:pt>
                <c:pt idx="177">
                  <c:v>314.69</c:v>
                </c:pt>
                <c:pt idx="178">
                  <c:v>314.69</c:v>
                </c:pt>
                <c:pt idx="179">
                  <c:v>314.69</c:v>
                </c:pt>
                <c:pt idx="180">
                  <c:v>321.14999999999998</c:v>
                </c:pt>
                <c:pt idx="181">
                  <c:v>324</c:v>
                </c:pt>
                <c:pt idx="182">
                  <c:v>316.97000000000003</c:v>
                </c:pt>
                <c:pt idx="183">
                  <c:v>312.81</c:v>
                </c:pt>
                <c:pt idx="184">
                  <c:v>308.64999999999998</c:v>
                </c:pt>
                <c:pt idx="185">
                  <c:v>308.64999999999998</c:v>
                </c:pt>
                <c:pt idx="186">
                  <c:v>308.64999999999998</c:v>
                </c:pt>
                <c:pt idx="187">
                  <c:v>314.01</c:v>
                </c:pt>
                <c:pt idx="188">
                  <c:v>312.55</c:v>
                </c:pt>
                <c:pt idx="189">
                  <c:v>299.52999999999997</c:v>
                </c:pt>
                <c:pt idx="190">
                  <c:v>288.35000000000002</c:v>
                </c:pt>
                <c:pt idx="191">
                  <c:v>296.73</c:v>
                </c:pt>
                <c:pt idx="192">
                  <c:v>296.73</c:v>
                </c:pt>
                <c:pt idx="193">
                  <c:v>296.73</c:v>
                </c:pt>
                <c:pt idx="194">
                  <c:v>302.66000000000003</c:v>
                </c:pt>
                <c:pt idx="195">
                  <c:v>301.27</c:v>
                </c:pt>
                <c:pt idx="196">
                  <c:v>311.85000000000002</c:v>
                </c:pt>
                <c:pt idx="197">
                  <c:v>310.87</c:v>
                </c:pt>
                <c:pt idx="198">
                  <c:v>314.60000000000002</c:v>
                </c:pt>
                <c:pt idx="199">
                  <c:v>314.60000000000002</c:v>
                </c:pt>
                <c:pt idx="200">
                  <c:v>314.60000000000002</c:v>
                </c:pt>
                <c:pt idx="201">
                  <c:v>315.8</c:v>
                </c:pt>
                <c:pt idx="202">
                  <c:v>318.82</c:v>
                </c:pt>
                <c:pt idx="203">
                  <c:v>319.77999999999997</c:v>
                </c:pt>
                <c:pt idx="204">
                  <c:v>320.55</c:v>
                </c:pt>
                <c:pt idx="205">
                  <c:v>328.77</c:v>
                </c:pt>
                <c:pt idx="206">
                  <c:v>328.77</c:v>
                </c:pt>
                <c:pt idx="207">
                  <c:v>328.77</c:v>
                </c:pt>
                <c:pt idx="208">
                  <c:v>329.19</c:v>
                </c:pt>
                <c:pt idx="209">
                  <c:v>336.31</c:v>
                </c:pt>
                <c:pt idx="210">
                  <c:v>332.71</c:v>
                </c:pt>
                <c:pt idx="211">
                  <c:v>334.19</c:v>
                </c:pt>
                <c:pt idx="212">
                  <c:v>335.04</c:v>
                </c:pt>
                <c:pt idx="213">
                  <c:v>335.04</c:v>
                </c:pt>
                <c:pt idx="214">
                  <c:v>335.04</c:v>
                </c:pt>
                <c:pt idx="215">
                  <c:v>339.97</c:v>
                </c:pt>
                <c:pt idx="216">
                  <c:v>336.98</c:v>
                </c:pt>
                <c:pt idx="217">
                  <c:v>341.49</c:v>
                </c:pt>
                <c:pt idx="218">
                  <c:v>341.49</c:v>
                </c:pt>
                <c:pt idx="219">
                  <c:v>338.23</c:v>
                </c:pt>
                <c:pt idx="220">
                  <c:v>338.23</c:v>
                </c:pt>
                <c:pt idx="221">
                  <c:v>338.23</c:v>
                </c:pt>
                <c:pt idx="222">
                  <c:v>334.7</c:v>
                </c:pt>
                <c:pt idx="223">
                  <c:v>338.99</c:v>
                </c:pt>
                <c:pt idx="224">
                  <c:v>332.2</c:v>
                </c:pt>
                <c:pt idx="225">
                  <c:v>327.14999999999998</c:v>
                </c:pt>
                <c:pt idx="226">
                  <c:v>324.82</c:v>
                </c:pt>
                <c:pt idx="227">
                  <c:v>324.82</c:v>
                </c:pt>
                <c:pt idx="228">
                  <c:v>324.82</c:v>
                </c:pt>
                <c:pt idx="229">
                  <c:v>320.02</c:v>
                </c:pt>
                <c:pt idx="230">
                  <c:v>318.29000000000002</c:v>
                </c:pt>
                <c:pt idx="231">
                  <c:v>317.45</c:v>
                </c:pt>
                <c:pt idx="232">
                  <c:v>326.58999999999997</c:v>
                </c:pt>
                <c:pt idx="233">
                  <c:v>332.75</c:v>
                </c:pt>
                <c:pt idx="234">
                  <c:v>332.75</c:v>
                </c:pt>
                <c:pt idx="235">
                  <c:v>332.75</c:v>
                </c:pt>
                <c:pt idx="236">
                  <c:v>325.27999999999997</c:v>
                </c:pt>
                <c:pt idx="237">
                  <c:v>334.22</c:v>
                </c:pt>
                <c:pt idx="238">
                  <c:v>334.74</c:v>
                </c:pt>
                <c:pt idx="239">
                  <c:v>333.17</c:v>
                </c:pt>
                <c:pt idx="240">
                  <c:v>334.92</c:v>
                </c:pt>
                <c:pt idx="241">
                  <c:v>334.92</c:v>
                </c:pt>
                <c:pt idx="242">
                  <c:v>334.92</c:v>
                </c:pt>
                <c:pt idx="243">
                  <c:v>344.62</c:v>
                </c:pt>
                <c:pt idx="244">
                  <c:v>350.36</c:v>
                </c:pt>
                <c:pt idx="245">
                  <c:v>349.28</c:v>
                </c:pt>
                <c:pt idx="246">
                  <c:v>354.09</c:v>
                </c:pt>
                <c:pt idx="247">
                  <c:v>353.39</c:v>
                </c:pt>
                <c:pt idx="248">
                  <c:v>353.39</c:v>
                </c:pt>
                <c:pt idx="249">
                  <c:v>353.39</c:v>
                </c:pt>
                <c:pt idx="250">
                  <c:v>353.39</c:v>
                </c:pt>
                <c:pt idx="251">
                  <c:v>354.83</c:v>
                </c:pt>
                <c:pt idx="252">
                  <c:v>357.83</c:v>
                </c:pt>
                <c:pt idx="253">
                  <c:v>358.32</c:v>
                </c:pt>
                <c:pt idx="254">
                  <c:v>353.96</c:v>
                </c:pt>
                <c:pt idx="255">
                  <c:v>353.96</c:v>
                </c:pt>
                <c:pt idx="256">
                  <c:v>353.96</c:v>
                </c:pt>
                <c:pt idx="257">
                  <c:v>353.96</c:v>
                </c:pt>
                <c:pt idx="258">
                  <c:v>346.29</c:v>
                </c:pt>
                <c:pt idx="259">
                  <c:v>344.47</c:v>
                </c:pt>
                <c:pt idx="260">
                  <c:v>347.12</c:v>
                </c:pt>
                <c:pt idx="261">
                  <c:v>351.95</c:v>
                </c:pt>
                <c:pt idx="262">
                  <c:v>351.95</c:v>
                </c:pt>
                <c:pt idx="263">
                  <c:v>351.95</c:v>
                </c:pt>
                <c:pt idx="264">
                  <c:v>358.66</c:v>
                </c:pt>
                <c:pt idx="265">
                  <c:v>357.43</c:v>
                </c:pt>
                <c:pt idx="266">
                  <c:v>370.47</c:v>
                </c:pt>
                <c:pt idx="267">
                  <c:v>369.67</c:v>
                </c:pt>
                <c:pt idx="268">
                  <c:v>374.49</c:v>
                </c:pt>
                <c:pt idx="269">
                  <c:v>374.49</c:v>
                </c:pt>
                <c:pt idx="270">
                  <c:v>374.49</c:v>
                </c:pt>
                <c:pt idx="271">
                  <c:v>374.49</c:v>
                </c:pt>
                <c:pt idx="272">
                  <c:v>367.46</c:v>
                </c:pt>
                <c:pt idx="273">
                  <c:v>368.37</c:v>
                </c:pt>
                <c:pt idx="274">
                  <c:v>376.13</c:v>
                </c:pt>
                <c:pt idx="275">
                  <c:v>383.45</c:v>
                </c:pt>
                <c:pt idx="276">
                  <c:v>383.45</c:v>
                </c:pt>
                <c:pt idx="277">
                  <c:v>383.45</c:v>
                </c:pt>
                <c:pt idx="278">
                  <c:v>381.78</c:v>
                </c:pt>
                <c:pt idx="279">
                  <c:v>385.2</c:v>
                </c:pt>
                <c:pt idx="280">
                  <c:v>390.7</c:v>
                </c:pt>
                <c:pt idx="281">
                  <c:v>393.18</c:v>
                </c:pt>
                <c:pt idx="282">
                  <c:v>394.14</c:v>
                </c:pt>
                <c:pt idx="283">
                  <c:v>394.14</c:v>
                </c:pt>
                <c:pt idx="284">
                  <c:v>394.14</c:v>
                </c:pt>
                <c:pt idx="285">
                  <c:v>401.02</c:v>
                </c:pt>
                <c:pt idx="286">
                  <c:v>400.06</c:v>
                </c:pt>
                <c:pt idx="287">
                  <c:v>390.14</c:v>
                </c:pt>
                <c:pt idx="288">
                  <c:v>394.78</c:v>
                </c:pt>
                <c:pt idx="289">
                  <c:v>474.99</c:v>
                </c:pt>
                <c:pt idx="290">
                  <c:v>474.99</c:v>
                </c:pt>
                <c:pt idx="291">
                  <c:v>474.99</c:v>
                </c:pt>
                <c:pt idx="292">
                  <c:v>459.41</c:v>
                </c:pt>
                <c:pt idx="293">
                  <c:v>454.72</c:v>
                </c:pt>
                <c:pt idx="294">
                  <c:v>469.59</c:v>
                </c:pt>
                <c:pt idx="295">
                  <c:v>470</c:v>
                </c:pt>
                <c:pt idx="296">
                  <c:v>468.11</c:v>
                </c:pt>
                <c:pt idx="297">
                  <c:v>468.11</c:v>
                </c:pt>
                <c:pt idx="298">
                  <c:v>468.11</c:v>
                </c:pt>
                <c:pt idx="299">
                  <c:v>468.9</c:v>
                </c:pt>
                <c:pt idx="300">
                  <c:v>460.12</c:v>
                </c:pt>
                <c:pt idx="301">
                  <c:v>473.28</c:v>
                </c:pt>
                <c:pt idx="302">
                  <c:v>484.03</c:v>
                </c:pt>
                <c:pt idx="303">
                  <c:v>473.32</c:v>
                </c:pt>
                <c:pt idx="304">
                  <c:v>473.32</c:v>
                </c:pt>
                <c:pt idx="305">
                  <c:v>473.32</c:v>
                </c:pt>
                <c:pt idx="306">
                  <c:v>473.32</c:v>
                </c:pt>
                <c:pt idx="307">
                  <c:v>471.75</c:v>
                </c:pt>
                <c:pt idx="308">
                  <c:v>468.03</c:v>
                </c:pt>
                <c:pt idx="309">
                  <c:v>486.13</c:v>
                </c:pt>
                <c:pt idx="310">
                  <c:v>484.03</c:v>
                </c:pt>
                <c:pt idx="311">
                  <c:v>484.03</c:v>
                </c:pt>
                <c:pt idx="312">
                  <c:v>484.03</c:v>
                </c:pt>
                <c:pt idx="313">
                  <c:v>481.74</c:v>
                </c:pt>
                <c:pt idx="314">
                  <c:v>487.05</c:v>
                </c:pt>
                <c:pt idx="315">
                  <c:v>484.02</c:v>
                </c:pt>
                <c:pt idx="316">
                  <c:v>490.13</c:v>
                </c:pt>
                <c:pt idx="317">
                  <c:v>502.3</c:v>
                </c:pt>
                <c:pt idx="318">
                  <c:v>502.3</c:v>
                </c:pt>
                <c:pt idx="319">
                  <c:v>502.3</c:v>
                </c:pt>
                <c:pt idx="320">
                  <c:v>498.19</c:v>
                </c:pt>
                <c:pt idx="321">
                  <c:v>490.22</c:v>
                </c:pt>
                <c:pt idx="322">
                  <c:v>496.09</c:v>
                </c:pt>
                <c:pt idx="323">
                  <c:v>512.19000000000005</c:v>
                </c:pt>
                <c:pt idx="324">
                  <c:v>505.95</c:v>
                </c:pt>
                <c:pt idx="325">
                  <c:v>505.95</c:v>
                </c:pt>
                <c:pt idx="326">
                  <c:v>505.95</c:v>
                </c:pt>
                <c:pt idx="327">
                  <c:v>483.59</c:v>
                </c:pt>
                <c:pt idx="328">
                  <c:v>499.75</c:v>
                </c:pt>
                <c:pt idx="329">
                  <c:v>495.57</c:v>
                </c:pt>
                <c:pt idx="330">
                  <c:v>491.83</c:v>
                </c:pt>
                <c:pt idx="331">
                  <c:v>484.1</c:v>
                </c:pt>
                <c:pt idx="332">
                  <c:v>484.1</c:v>
                </c:pt>
                <c:pt idx="333">
                  <c:v>484.1</c:v>
                </c:pt>
                <c:pt idx="334">
                  <c:v>496.98</c:v>
                </c:pt>
                <c:pt idx="335">
                  <c:v>496.24</c:v>
                </c:pt>
                <c:pt idx="336">
                  <c:v>505.52</c:v>
                </c:pt>
                <c:pt idx="337">
                  <c:v>507.76</c:v>
                </c:pt>
                <c:pt idx="338">
                  <c:v>509.58</c:v>
                </c:pt>
                <c:pt idx="339">
                  <c:v>509.58</c:v>
                </c:pt>
                <c:pt idx="340">
                  <c:v>509.58</c:v>
                </c:pt>
                <c:pt idx="341">
                  <c:v>503.02</c:v>
                </c:pt>
                <c:pt idx="342">
                  <c:v>495.89</c:v>
                </c:pt>
                <c:pt idx="343">
                  <c:v>493.86</c:v>
                </c:pt>
                <c:pt idx="344">
                  <c:v>485.58</c:v>
                </c:pt>
                <c:pt idx="345">
                  <c:v>485.58</c:v>
                </c:pt>
                <c:pt idx="346">
                  <c:v>485.58</c:v>
                </c:pt>
                <c:pt idx="347">
                  <c:v>485.58</c:v>
                </c:pt>
                <c:pt idx="348">
                  <c:v>491.35</c:v>
                </c:pt>
                <c:pt idx="349">
                  <c:v>497.37</c:v>
                </c:pt>
                <c:pt idx="350">
                  <c:v>506.74</c:v>
                </c:pt>
                <c:pt idx="351">
                  <c:v>510.92</c:v>
                </c:pt>
                <c:pt idx="352">
                  <c:v>527.34</c:v>
                </c:pt>
                <c:pt idx="353">
                  <c:v>527.34</c:v>
                </c:pt>
                <c:pt idx="354">
                  <c:v>527.34</c:v>
                </c:pt>
                <c:pt idx="355">
                  <c:v>519.25</c:v>
                </c:pt>
                <c:pt idx="356">
                  <c:v>516.9</c:v>
                </c:pt>
                <c:pt idx="357">
                  <c:v>519.83000000000004</c:v>
                </c:pt>
                <c:pt idx="358">
                  <c:v>523.16</c:v>
                </c:pt>
                <c:pt idx="359">
                  <c:v>511.9</c:v>
                </c:pt>
                <c:pt idx="360">
                  <c:v>511.9</c:v>
                </c:pt>
                <c:pt idx="361">
                  <c:v>511.9</c:v>
                </c:pt>
                <c:pt idx="362">
                  <c:v>500.23</c:v>
                </c:pt>
                <c:pt idx="363">
                  <c:v>499.76</c:v>
                </c:pt>
                <c:pt idx="364">
                  <c:v>494.17</c:v>
                </c:pt>
                <c:pt idx="365">
                  <c:v>501.8</c:v>
                </c:pt>
                <c:pt idx="366">
                  <c:v>481.07</c:v>
                </c:pt>
                <c:pt idx="367">
                  <c:v>481.07</c:v>
                </c:pt>
                <c:pt idx="368">
                  <c:v>481.07</c:v>
                </c:pt>
                <c:pt idx="369">
                  <c:v>481.73</c:v>
                </c:pt>
                <c:pt idx="370">
                  <c:v>496.1</c:v>
                </c:pt>
                <c:pt idx="371">
                  <c:v>493.5</c:v>
                </c:pt>
                <c:pt idx="372">
                  <c:v>441.38</c:v>
                </c:pt>
                <c:pt idx="373">
                  <c:v>443.29</c:v>
                </c:pt>
                <c:pt idx="374">
                  <c:v>443.29</c:v>
                </c:pt>
                <c:pt idx="375">
                  <c:v>443.29</c:v>
                </c:pt>
                <c:pt idx="376">
                  <c:v>432.62</c:v>
                </c:pt>
                <c:pt idx="377">
                  <c:v>430.17</c:v>
                </c:pt>
                <c:pt idx="378">
                  <c:v>439.19</c:v>
                </c:pt>
                <c:pt idx="379">
                  <c:v>441.68</c:v>
                </c:pt>
                <c:pt idx="380">
                  <c:v>451.96</c:v>
                </c:pt>
                <c:pt idx="381">
                  <c:v>451.96</c:v>
                </c:pt>
                <c:pt idx="382">
                  <c:v>451.96</c:v>
                </c:pt>
                <c:pt idx="383">
                  <c:v>465.68</c:v>
                </c:pt>
                <c:pt idx="384">
                  <c:v>468.24</c:v>
                </c:pt>
                <c:pt idx="385">
                  <c:v>472.6</c:v>
                </c:pt>
                <c:pt idx="386">
                  <c:v>475.42</c:v>
                </c:pt>
                <c:pt idx="387">
                  <c:v>476.2</c:v>
                </c:pt>
                <c:pt idx="388">
                  <c:v>476.2</c:v>
                </c:pt>
                <c:pt idx="389">
                  <c:v>476.2</c:v>
                </c:pt>
                <c:pt idx="390">
                  <c:v>468.01</c:v>
                </c:pt>
                <c:pt idx="391">
                  <c:v>471.85</c:v>
                </c:pt>
                <c:pt idx="392">
                  <c:v>481.54</c:v>
                </c:pt>
                <c:pt idx="393">
                  <c:v>473.23</c:v>
                </c:pt>
                <c:pt idx="394">
                  <c:v>471.91</c:v>
                </c:pt>
                <c:pt idx="395">
                  <c:v>471.91</c:v>
                </c:pt>
                <c:pt idx="396">
                  <c:v>471.91</c:v>
                </c:pt>
                <c:pt idx="397">
                  <c:v>468.84</c:v>
                </c:pt>
                <c:pt idx="398">
                  <c:v>464.63</c:v>
                </c:pt>
                <c:pt idx="399">
                  <c:v>467.78</c:v>
                </c:pt>
                <c:pt idx="400">
                  <c:v>465.78</c:v>
                </c:pt>
                <c:pt idx="401">
                  <c:v>478.22</c:v>
                </c:pt>
                <c:pt idx="402">
                  <c:v>478.22</c:v>
                </c:pt>
                <c:pt idx="403">
                  <c:v>478.22</c:v>
                </c:pt>
                <c:pt idx="404">
                  <c:v>478.22</c:v>
                </c:pt>
                <c:pt idx="405">
                  <c:v>479.92</c:v>
                </c:pt>
                <c:pt idx="406">
                  <c:v>474.36</c:v>
                </c:pt>
                <c:pt idx="407">
                  <c:v>467.05</c:v>
                </c:pt>
                <c:pt idx="408">
                  <c:v>466.83</c:v>
                </c:pt>
                <c:pt idx="409">
                  <c:v>466.83</c:v>
                </c:pt>
                <c:pt idx="410">
                  <c:v>466.83</c:v>
                </c:pt>
                <c:pt idx="411">
                  <c:v>477.49</c:v>
                </c:pt>
                <c:pt idx="412">
                  <c:v>476.99</c:v>
                </c:pt>
                <c:pt idx="413">
                  <c:v>495.06</c:v>
                </c:pt>
                <c:pt idx="414">
                  <c:v>493.76</c:v>
                </c:pt>
                <c:pt idx="415">
                  <c:v>492.96</c:v>
                </c:pt>
                <c:pt idx="416">
                  <c:v>492.96</c:v>
                </c:pt>
                <c:pt idx="417">
                  <c:v>492.96</c:v>
                </c:pt>
                <c:pt idx="418">
                  <c:v>502.6</c:v>
                </c:pt>
                <c:pt idx="419">
                  <c:v>507.47</c:v>
                </c:pt>
                <c:pt idx="420">
                  <c:v>508.84</c:v>
                </c:pt>
                <c:pt idx="421">
                  <c:v>504.1</c:v>
                </c:pt>
                <c:pt idx="422">
                  <c:v>504.16</c:v>
                </c:pt>
                <c:pt idx="423">
                  <c:v>504.16</c:v>
                </c:pt>
                <c:pt idx="424">
                  <c:v>504.16</c:v>
                </c:pt>
                <c:pt idx="425">
                  <c:v>506.63</c:v>
                </c:pt>
                <c:pt idx="426">
                  <c:v>499.49</c:v>
                </c:pt>
                <c:pt idx="427">
                  <c:v>499.49</c:v>
                </c:pt>
                <c:pt idx="428">
                  <c:v>501.7</c:v>
                </c:pt>
                <c:pt idx="429">
                  <c:v>494.78</c:v>
                </c:pt>
                <c:pt idx="430">
                  <c:v>494.78</c:v>
                </c:pt>
                <c:pt idx="431">
                  <c:v>494.78</c:v>
                </c:pt>
                <c:pt idx="432">
                  <c:v>498.91</c:v>
                </c:pt>
                <c:pt idx="433">
                  <c:v>510.6</c:v>
                </c:pt>
                <c:pt idx="434">
                  <c:v>513.12</c:v>
                </c:pt>
                <c:pt idx="435">
                  <c:v>519.55999999999995</c:v>
                </c:pt>
                <c:pt idx="436">
                  <c:v>504.22</c:v>
                </c:pt>
                <c:pt idx="437">
                  <c:v>504.22</c:v>
                </c:pt>
                <c:pt idx="438">
                  <c:v>504.22</c:v>
                </c:pt>
                <c:pt idx="439">
                  <c:v>504.68</c:v>
                </c:pt>
                <c:pt idx="440">
                  <c:v>509.5</c:v>
                </c:pt>
                <c:pt idx="441">
                  <c:v>509.96</c:v>
                </c:pt>
                <c:pt idx="442">
                  <c:v>509.96</c:v>
                </c:pt>
                <c:pt idx="443">
                  <c:v>539.91</c:v>
                </c:pt>
                <c:pt idx="444">
                  <c:v>539.91</c:v>
                </c:pt>
                <c:pt idx="445">
                  <c:v>539.91</c:v>
                </c:pt>
                <c:pt idx="446">
                  <c:v>529.32000000000005</c:v>
                </c:pt>
                <c:pt idx="447">
                  <c:v>530</c:v>
                </c:pt>
                <c:pt idx="448">
                  <c:v>534.69000000000005</c:v>
                </c:pt>
                <c:pt idx="449">
                  <c:v>512.70000000000005</c:v>
                </c:pt>
                <c:pt idx="450">
                  <c:v>498.87</c:v>
                </c:pt>
                <c:pt idx="451">
                  <c:v>498.87</c:v>
                </c:pt>
                <c:pt idx="452">
                  <c:v>498.87</c:v>
                </c:pt>
                <c:pt idx="453">
                  <c:v>496.16</c:v>
                </c:pt>
                <c:pt idx="454">
                  <c:v>489.79</c:v>
                </c:pt>
                <c:pt idx="455">
                  <c:v>461.99</c:v>
                </c:pt>
                <c:pt idx="456">
                  <c:v>475.85</c:v>
                </c:pt>
                <c:pt idx="457">
                  <c:v>476.79</c:v>
                </c:pt>
                <c:pt idx="458">
                  <c:v>476.79</c:v>
                </c:pt>
                <c:pt idx="459">
                  <c:v>476.79</c:v>
                </c:pt>
                <c:pt idx="460">
                  <c:v>487.4</c:v>
                </c:pt>
                <c:pt idx="461">
                  <c:v>488.69</c:v>
                </c:pt>
                <c:pt idx="462">
                  <c:v>461.27</c:v>
                </c:pt>
                <c:pt idx="463">
                  <c:v>453.41</c:v>
                </c:pt>
                <c:pt idx="464">
                  <c:v>465.7</c:v>
                </c:pt>
                <c:pt idx="465">
                  <c:v>465.7</c:v>
                </c:pt>
                <c:pt idx="466">
                  <c:v>465.7</c:v>
                </c:pt>
                <c:pt idx="467">
                  <c:v>465.71</c:v>
                </c:pt>
                <c:pt idx="468">
                  <c:v>463.19</c:v>
                </c:pt>
                <c:pt idx="469">
                  <c:v>474.83</c:v>
                </c:pt>
                <c:pt idx="470">
                  <c:v>497.74</c:v>
                </c:pt>
                <c:pt idx="471">
                  <c:v>488.14</c:v>
                </c:pt>
                <c:pt idx="472">
                  <c:v>488.14</c:v>
                </c:pt>
                <c:pt idx="473">
                  <c:v>488.14</c:v>
                </c:pt>
                <c:pt idx="474">
                  <c:v>475.73</c:v>
                </c:pt>
                <c:pt idx="475">
                  <c:v>494.09</c:v>
                </c:pt>
                <c:pt idx="476">
                  <c:v>488.92</c:v>
                </c:pt>
                <c:pt idx="477">
                  <c:v>509.63</c:v>
                </c:pt>
                <c:pt idx="478">
                  <c:v>517.77</c:v>
                </c:pt>
                <c:pt idx="479">
                  <c:v>517.77</c:v>
                </c:pt>
                <c:pt idx="480">
                  <c:v>517.77</c:v>
                </c:pt>
                <c:pt idx="481">
                  <c:v>515.95000000000005</c:v>
                </c:pt>
                <c:pt idx="482">
                  <c:v>528.54</c:v>
                </c:pt>
                <c:pt idx="483">
                  <c:v>526.76</c:v>
                </c:pt>
                <c:pt idx="484">
                  <c:v>537.33000000000004</c:v>
                </c:pt>
                <c:pt idx="485">
                  <c:v>527.41999999999996</c:v>
                </c:pt>
                <c:pt idx="486">
                  <c:v>527.41999999999996</c:v>
                </c:pt>
                <c:pt idx="487">
                  <c:v>527.41999999999996</c:v>
                </c:pt>
                <c:pt idx="488">
                  <c:v>529.28</c:v>
                </c:pt>
                <c:pt idx="489">
                  <c:v>526.73</c:v>
                </c:pt>
                <c:pt idx="490">
                  <c:v>535.16</c:v>
                </c:pt>
                <c:pt idx="491">
                  <c:v>531.92999999999995</c:v>
                </c:pt>
                <c:pt idx="492">
                  <c:v>528</c:v>
                </c:pt>
                <c:pt idx="493">
                  <c:v>528</c:v>
                </c:pt>
                <c:pt idx="494">
                  <c:v>528</c:v>
                </c:pt>
                <c:pt idx="495">
                  <c:v>521.12</c:v>
                </c:pt>
                <c:pt idx="496">
                  <c:v>519.1</c:v>
                </c:pt>
                <c:pt idx="497">
                  <c:v>516.78</c:v>
                </c:pt>
                <c:pt idx="498">
                  <c:v>518.22</c:v>
                </c:pt>
                <c:pt idx="499">
                  <c:v>521.30999999999995</c:v>
                </c:pt>
                <c:pt idx="500">
                  <c:v>521.30999999999995</c:v>
                </c:pt>
                <c:pt idx="501">
                  <c:v>521.30999999999995</c:v>
                </c:pt>
                <c:pt idx="502">
                  <c:v>521.30999999999995</c:v>
                </c:pt>
                <c:pt idx="503">
                  <c:v>511.76</c:v>
                </c:pt>
                <c:pt idx="504">
                  <c:v>512.74</c:v>
                </c:pt>
                <c:pt idx="505">
                  <c:v>516.86</c:v>
                </c:pt>
                <c:pt idx="506">
                  <c:v>500.27</c:v>
                </c:pt>
                <c:pt idx="507">
                  <c:v>500.27</c:v>
                </c:pt>
                <c:pt idx="508">
                  <c:v>500.27</c:v>
                </c:pt>
                <c:pt idx="509">
                  <c:v>504.79</c:v>
                </c:pt>
                <c:pt idx="510">
                  <c:v>504.79</c:v>
                </c:pt>
                <c:pt idx="511">
                  <c:v>511.83</c:v>
                </c:pt>
                <c:pt idx="512">
                  <c:v>525.6</c:v>
                </c:pt>
                <c:pt idx="513">
                  <c:v>524.62</c:v>
                </c:pt>
                <c:pt idx="514">
                  <c:v>524.62</c:v>
                </c:pt>
                <c:pt idx="515">
                  <c:v>524.62</c:v>
                </c:pt>
                <c:pt idx="516">
                  <c:v>533.28</c:v>
                </c:pt>
                <c:pt idx="517">
                  <c:v>536.31500000000005</c:v>
                </c:pt>
                <c:pt idx="518">
                  <c:v>537.95000000000005</c:v>
                </c:pt>
                <c:pt idx="519">
                  <c:v>559.1</c:v>
                </c:pt>
                <c:pt idx="520">
                  <c:v>561.35</c:v>
                </c:pt>
                <c:pt idx="521">
                  <c:v>561.35</c:v>
                </c:pt>
                <c:pt idx="522">
                  <c:v>561.35</c:v>
                </c:pt>
                <c:pt idx="523">
                  <c:v>564.41</c:v>
                </c:pt>
                <c:pt idx="524">
                  <c:v>563.33000000000004</c:v>
                </c:pt>
                <c:pt idx="525">
                  <c:v>568.30999999999995</c:v>
                </c:pt>
                <c:pt idx="526">
                  <c:v>567.84</c:v>
                </c:pt>
                <c:pt idx="527">
                  <c:v>567.36</c:v>
                </c:pt>
                <c:pt idx="528">
                  <c:v>567.36</c:v>
                </c:pt>
                <c:pt idx="529">
                  <c:v>567.36</c:v>
                </c:pt>
                <c:pt idx="530">
                  <c:v>572.44000000000005</c:v>
                </c:pt>
                <c:pt idx="531">
                  <c:v>576.47</c:v>
                </c:pt>
                <c:pt idx="532">
                  <c:v>572.80999999999995</c:v>
                </c:pt>
                <c:pt idx="533">
                  <c:v>582.77</c:v>
                </c:pt>
                <c:pt idx="534">
                  <c:v>595.94000000000005</c:v>
                </c:pt>
                <c:pt idx="535">
                  <c:v>595.94000000000005</c:v>
                </c:pt>
                <c:pt idx="536">
                  <c:v>595.94000000000005</c:v>
                </c:pt>
                <c:pt idx="537">
                  <c:v>584.78</c:v>
                </c:pt>
                <c:pt idx="538">
                  <c:v>592.89</c:v>
                </c:pt>
                <c:pt idx="539">
                  <c:v>590.51</c:v>
                </c:pt>
                <c:pt idx="540">
                  <c:v>583.83000000000004</c:v>
                </c:pt>
                <c:pt idx="541">
                  <c:v>589.95000000000005</c:v>
                </c:pt>
                <c:pt idx="542">
                  <c:v>589.95000000000005</c:v>
                </c:pt>
                <c:pt idx="543">
                  <c:v>589.95000000000005</c:v>
                </c:pt>
                <c:pt idx="544">
                  <c:v>590.41999999999996</c:v>
                </c:pt>
                <c:pt idx="545">
                  <c:v>586.27</c:v>
                </c:pt>
                <c:pt idx="546">
                  <c:v>576.79</c:v>
                </c:pt>
                <c:pt idx="547">
                  <c:v>576.92999999999995</c:v>
                </c:pt>
                <c:pt idx="548">
                  <c:v>576.47</c:v>
                </c:pt>
                <c:pt idx="549">
                  <c:v>576.47</c:v>
                </c:pt>
                <c:pt idx="550">
                  <c:v>576.47</c:v>
                </c:pt>
                <c:pt idx="551">
                  <c:v>575.16</c:v>
                </c:pt>
                <c:pt idx="552">
                  <c:v>582.01</c:v>
                </c:pt>
                <c:pt idx="553">
                  <c:v>563.69000000000005</c:v>
                </c:pt>
                <c:pt idx="554">
                  <c:v>567.78</c:v>
                </c:pt>
                <c:pt idx="555">
                  <c:v>573.25</c:v>
                </c:pt>
                <c:pt idx="556">
                  <c:v>573.25</c:v>
                </c:pt>
                <c:pt idx="557">
                  <c:v>573.25</c:v>
                </c:pt>
                <c:pt idx="558">
                  <c:v>578.16</c:v>
                </c:pt>
                <c:pt idx="559">
                  <c:v>593.28</c:v>
                </c:pt>
                <c:pt idx="560">
                  <c:v>591.79999999999995</c:v>
                </c:pt>
                <c:pt idx="561">
                  <c:v>567.58000000000004</c:v>
                </c:pt>
                <c:pt idx="562">
                  <c:v>567.16</c:v>
                </c:pt>
                <c:pt idx="563">
                  <c:v>567.16</c:v>
                </c:pt>
                <c:pt idx="564">
                  <c:v>567.16</c:v>
                </c:pt>
                <c:pt idx="565">
                  <c:v>560.67999999999995</c:v>
                </c:pt>
                <c:pt idx="566">
                  <c:v>572.42999999999995</c:v>
                </c:pt>
                <c:pt idx="567">
                  <c:v>572.04999999999995</c:v>
                </c:pt>
                <c:pt idx="568">
                  <c:v>591.70000000000005</c:v>
                </c:pt>
                <c:pt idx="569">
                  <c:v>589.34</c:v>
                </c:pt>
                <c:pt idx="570">
                  <c:v>589.34</c:v>
                </c:pt>
                <c:pt idx="571">
                  <c:v>589.34</c:v>
                </c:pt>
                <c:pt idx="572">
                  <c:v>583.16999999999996</c:v>
                </c:pt>
                <c:pt idx="573">
                  <c:v>584.82000000000005</c:v>
                </c:pt>
                <c:pt idx="574">
                  <c:v>580</c:v>
                </c:pt>
                <c:pt idx="575">
                  <c:v>577.16</c:v>
                </c:pt>
                <c:pt idx="576">
                  <c:v>554.08000000000004</c:v>
                </c:pt>
                <c:pt idx="577">
                  <c:v>554.08000000000004</c:v>
                </c:pt>
                <c:pt idx="578">
                  <c:v>554.08000000000004</c:v>
                </c:pt>
                <c:pt idx="579">
                  <c:v>554.4</c:v>
                </c:pt>
                <c:pt idx="580">
                  <c:v>561.09</c:v>
                </c:pt>
                <c:pt idx="581">
                  <c:v>565.52</c:v>
                </c:pt>
                <c:pt idx="582">
                  <c:v>563.09</c:v>
                </c:pt>
                <c:pt idx="583">
                  <c:v>559.14</c:v>
                </c:pt>
                <c:pt idx="584">
                  <c:v>559.14</c:v>
                </c:pt>
                <c:pt idx="585">
                  <c:v>559.14</c:v>
                </c:pt>
                <c:pt idx="586">
                  <c:v>565.11</c:v>
                </c:pt>
                <c:pt idx="587">
                  <c:v>573.54</c:v>
                </c:pt>
                <c:pt idx="588">
                  <c:v>569.20000000000005</c:v>
                </c:pt>
                <c:pt idx="589">
                  <c:v>569.20000000000005</c:v>
                </c:pt>
                <c:pt idx="590">
                  <c:v>574.32000000000005</c:v>
                </c:pt>
                <c:pt idx="591">
                  <c:v>574.32000000000005</c:v>
                </c:pt>
                <c:pt idx="592">
                  <c:v>574.32000000000005</c:v>
                </c:pt>
                <c:pt idx="593">
                  <c:v>592.83000000000004</c:v>
                </c:pt>
                <c:pt idx="594">
                  <c:v>613.65</c:v>
                </c:pt>
                <c:pt idx="595">
                  <c:v>613.78</c:v>
                </c:pt>
                <c:pt idx="596">
                  <c:v>608.92999999999995</c:v>
                </c:pt>
                <c:pt idx="597">
                  <c:v>623.77</c:v>
                </c:pt>
                <c:pt idx="598">
                  <c:v>623.77</c:v>
                </c:pt>
                <c:pt idx="599">
                  <c:v>623.77</c:v>
                </c:pt>
                <c:pt idx="600">
                  <c:v>613.57000000000005</c:v>
                </c:pt>
                <c:pt idx="601">
                  <c:v>619.32000000000005</c:v>
                </c:pt>
                <c:pt idx="602">
                  <c:v>632.67999999999995</c:v>
                </c:pt>
                <c:pt idx="603">
                  <c:v>630.79</c:v>
                </c:pt>
                <c:pt idx="604">
                  <c:v>620.35</c:v>
                </c:pt>
                <c:pt idx="605">
                  <c:v>620.35</c:v>
                </c:pt>
                <c:pt idx="606">
                  <c:v>620.35</c:v>
                </c:pt>
                <c:pt idx="607">
                  <c:v>624.24</c:v>
                </c:pt>
                <c:pt idx="608">
                  <c:v>619.44000000000005</c:v>
                </c:pt>
                <c:pt idx="609">
                  <c:v>597.19000000000005</c:v>
                </c:pt>
                <c:pt idx="610">
                  <c:v>595.57000000000005</c:v>
                </c:pt>
                <c:pt idx="611">
                  <c:v>585.25</c:v>
                </c:pt>
                <c:pt idx="612">
                  <c:v>585.25</c:v>
                </c:pt>
                <c:pt idx="613">
                  <c:v>585.25</c:v>
                </c:pt>
                <c:pt idx="614">
                  <c:v>599.85</c:v>
                </c:pt>
                <c:pt idx="615">
                  <c:v>607.75</c:v>
                </c:pt>
                <c:pt idx="616">
                  <c:v>607.75</c:v>
                </c:pt>
                <c:pt idx="617">
                  <c:v>603.35</c:v>
                </c:pt>
                <c:pt idx="618">
                  <c:v>599.80999999999995</c:v>
                </c:pt>
                <c:pt idx="619">
                  <c:v>599.80999999999995</c:v>
                </c:pt>
                <c:pt idx="620">
                  <c:v>599.80999999999995</c:v>
                </c:pt>
                <c:pt idx="621">
                  <c:v>591.24</c:v>
                </c:pt>
                <c:pt idx="622">
                  <c:v>585.51</c:v>
                </c:pt>
                <c:pt idx="623">
                  <c:v>585.51</c:v>
                </c:pt>
                <c:pt idx="624">
                  <c:v>599.24</c:v>
                </c:pt>
                <c:pt idx="625">
                  <c:v>604.63</c:v>
                </c:pt>
                <c:pt idx="626">
                  <c:v>604.63</c:v>
                </c:pt>
                <c:pt idx="627">
                  <c:v>604.63</c:v>
                </c:pt>
                <c:pt idx="628">
                  <c:v>630.20000000000005</c:v>
                </c:pt>
                <c:pt idx="629">
                  <c:v>617.89</c:v>
                </c:pt>
                <c:pt idx="630">
                  <c:v>610.72</c:v>
                </c:pt>
                <c:pt idx="631">
                  <c:v>610.72</c:v>
                </c:pt>
                <c:pt idx="632">
                  <c:v>615.86</c:v>
                </c:pt>
                <c:pt idx="633">
                  <c:v>615.86</c:v>
                </c:pt>
                <c:pt idx="634">
                  <c:v>615.86</c:v>
                </c:pt>
                <c:pt idx="635">
                  <c:v>608.33000000000004</c:v>
                </c:pt>
                <c:pt idx="636">
                  <c:v>594.25</c:v>
                </c:pt>
                <c:pt idx="637">
                  <c:v>617.12</c:v>
                </c:pt>
                <c:pt idx="638">
                  <c:v>611.29999999999995</c:v>
                </c:pt>
                <c:pt idx="639">
                  <c:v>612.77</c:v>
                </c:pt>
                <c:pt idx="640">
                  <c:v>612.77</c:v>
                </c:pt>
                <c:pt idx="641">
                  <c:v>612.77</c:v>
                </c:pt>
                <c:pt idx="642">
                  <c:v>612.77</c:v>
                </c:pt>
                <c:pt idx="643">
                  <c:v>616.46</c:v>
                </c:pt>
                <c:pt idx="644">
                  <c:v>623.5</c:v>
                </c:pt>
                <c:pt idx="645">
                  <c:v>636.45000000000005</c:v>
                </c:pt>
                <c:pt idx="646">
                  <c:v>647.49</c:v>
                </c:pt>
                <c:pt idx="647">
                  <c:v>647.49</c:v>
                </c:pt>
                <c:pt idx="648">
                  <c:v>647.49</c:v>
                </c:pt>
                <c:pt idx="649">
                  <c:v>659.88</c:v>
                </c:pt>
                <c:pt idx="650">
                  <c:v>674.33</c:v>
                </c:pt>
                <c:pt idx="651">
                  <c:v>676.49</c:v>
                </c:pt>
                <c:pt idx="652">
                  <c:v>687</c:v>
                </c:pt>
                <c:pt idx="653">
                  <c:v>689.18</c:v>
                </c:pt>
                <c:pt idx="654">
                  <c:v>689.18</c:v>
                </c:pt>
                <c:pt idx="655">
                  <c:v>689.18</c:v>
                </c:pt>
                <c:pt idx="656">
                  <c:v>697.46</c:v>
                </c:pt>
                <c:pt idx="657">
                  <c:v>704.19</c:v>
                </c:pt>
                <c:pt idx="658">
                  <c:v>704.87</c:v>
                </c:pt>
                <c:pt idx="659">
                  <c:v>711.99</c:v>
                </c:pt>
                <c:pt idx="660">
                  <c:v>714.52</c:v>
                </c:pt>
                <c:pt idx="661">
                  <c:v>714.52</c:v>
                </c:pt>
                <c:pt idx="662">
                  <c:v>714.52</c:v>
                </c:pt>
                <c:pt idx="663">
                  <c:v>717.4</c:v>
                </c:pt>
                <c:pt idx="664">
                  <c:v>719.8</c:v>
                </c:pt>
                <c:pt idx="665">
                  <c:v>725.38</c:v>
                </c:pt>
                <c:pt idx="666">
                  <c:v>728.56</c:v>
                </c:pt>
                <c:pt idx="667">
                  <c:v>736.67</c:v>
                </c:pt>
                <c:pt idx="668">
                  <c:v>736.67</c:v>
                </c:pt>
                <c:pt idx="669">
                  <c:v>736.67</c:v>
                </c:pt>
                <c:pt idx="670">
                  <c:v>736.67</c:v>
                </c:pt>
                <c:pt idx="671">
                  <c:v>716.37</c:v>
                </c:pt>
                <c:pt idx="672">
                  <c:v>703.77</c:v>
                </c:pt>
                <c:pt idx="673">
                  <c:v>694.84</c:v>
                </c:pt>
                <c:pt idx="674">
                  <c:v>683.55</c:v>
                </c:pt>
                <c:pt idx="675">
                  <c:v>683.55</c:v>
                </c:pt>
                <c:pt idx="676">
                  <c:v>683.55</c:v>
                </c:pt>
                <c:pt idx="677">
                  <c:v>668.13</c:v>
                </c:pt>
                <c:pt idx="678">
                  <c:v>657.5</c:v>
                </c:pt>
                <c:pt idx="679">
                  <c:v>673.7</c:v>
                </c:pt>
                <c:pt idx="680">
                  <c:v>658.24</c:v>
                </c:pt>
                <c:pt idx="681">
                  <c:v>668.2</c:v>
                </c:pt>
                <c:pt idx="682">
                  <c:v>668.2</c:v>
                </c:pt>
                <c:pt idx="683">
                  <c:v>668.2</c:v>
                </c:pt>
                <c:pt idx="684">
                  <c:v>655.04999999999995</c:v>
                </c:pt>
                <c:pt idx="685">
                  <c:v>640</c:v>
                </c:pt>
                <c:pt idx="686">
                  <c:v>656.47</c:v>
                </c:pt>
                <c:pt idx="687">
                  <c:v>627.92999999999995</c:v>
                </c:pt>
                <c:pt idx="688">
                  <c:v>625.66</c:v>
                </c:pt>
                <c:pt idx="689">
                  <c:v>625.66</c:v>
                </c:pt>
                <c:pt idx="690">
                  <c:v>625.66</c:v>
                </c:pt>
                <c:pt idx="691">
                  <c:v>597.99</c:v>
                </c:pt>
                <c:pt idx="692">
                  <c:v>605.71</c:v>
                </c:pt>
                <c:pt idx="693">
                  <c:v>619.55999999999995</c:v>
                </c:pt>
                <c:pt idx="694">
                  <c:v>590.64</c:v>
                </c:pt>
                <c:pt idx="695">
                  <c:v>607.6</c:v>
                </c:pt>
                <c:pt idx="696">
                  <c:v>607.6</c:v>
                </c:pt>
                <c:pt idx="697">
                  <c:v>607.6</c:v>
                </c:pt>
                <c:pt idx="698">
                  <c:v>604.9</c:v>
                </c:pt>
                <c:pt idx="699">
                  <c:v>582.36</c:v>
                </c:pt>
                <c:pt idx="700">
                  <c:v>584.05999999999995</c:v>
                </c:pt>
                <c:pt idx="701">
                  <c:v>586</c:v>
                </c:pt>
                <c:pt idx="702">
                  <c:v>596.25</c:v>
                </c:pt>
                <c:pt idx="703">
                  <c:v>596.25</c:v>
                </c:pt>
                <c:pt idx="704">
                  <c:v>596.25</c:v>
                </c:pt>
                <c:pt idx="705">
                  <c:v>618.85</c:v>
                </c:pt>
                <c:pt idx="706">
                  <c:v>626.30999999999995</c:v>
                </c:pt>
                <c:pt idx="707">
                  <c:v>610.98</c:v>
                </c:pt>
                <c:pt idx="708">
                  <c:v>602.58000000000004</c:v>
                </c:pt>
                <c:pt idx="709">
                  <c:v>576.74</c:v>
                </c:pt>
                <c:pt idx="710">
                  <c:v>576.74</c:v>
                </c:pt>
                <c:pt idx="711">
                  <c:v>576.74</c:v>
                </c:pt>
                <c:pt idx="712">
                  <c:v>576.36</c:v>
                </c:pt>
                <c:pt idx="713">
                  <c:v>586</c:v>
                </c:pt>
                <c:pt idx="714">
                  <c:v>583.92999999999995</c:v>
                </c:pt>
                <c:pt idx="715">
                  <c:v>531.62</c:v>
                </c:pt>
                <c:pt idx="716">
                  <c:v>504.73</c:v>
                </c:pt>
                <c:pt idx="717">
                  <c:v>504.73</c:v>
                </c:pt>
                <c:pt idx="718">
                  <c:v>504.73</c:v>
                </c:pt>
                <c:pt idx="719">
                  <c:v>516.25</c:v>
                </c:pt>
                <c:pt idx="720">
                  <c:v>510.45</c:v>
                </c:pt>
                <c:pt idx="721">
                  <c:v>585.77</c:v>
                </c:pt>
                <c:pt idx="722">
                  <c:v>546.29</c:v>
                </c:pt>
                <c:pt idx="723">
                  <c:v>543.57000000000005</c:v>
                </c:pt>
                <c:pt idx="724">
                  <c:v>543.57000000000005</c:v>
                </c:pt>
                <c:pt idx="725">
                  <c:v>543.57000000000005</c:v>
                </c:pt>
                <c:pt idx="726">
                  <c:v>531.48</c:v>
                </c:pt>
                <c:pt idx="727">
                  <c:v>521.52</c:v>
                </c:pt>
                <c:pt idx="728">
                  <c:v>502.31</c:v>
                </c:pt>
                <c:pt idx="729">
                  <c:v>501.48</c:v>
                </c:pt>
                <c:pt idx="730">
                  <c:v>501.48</c:v>
                </c:pt>
                <c:pt idx="731">
                  <c:v>501.48</c:v>
                </c:pt>
                <c:pt idx="732">
                  <c:v>501.48</c:v>
                </c:pt>
                <c:pt idx="733">
                  <c:v>484.66</c:v>
                </c:pt>
                <c:pt idx="734">
                  <c:v>500.28</c:v>
                </c:pt>
                <c:pt idx="735">
                  <c:v>520.27</c:v>
                </c:pt>
                <c:pt idx="736">
                  <c:v>533.15</c:v>
                </c:pt>
                <c:pt idx="737">
                  <c:v>547.27</c:v>
                </c:pt>
                <c:pt idx="738">
                  <c:v>547.27</c:v>
                </c:pt>
                <c:pt idx="739">
                  <c:v>547.27</c:v>
                </c:pt>
                <c:pt idx="740">
                  <c:v>549.74</c:v>
                </c:pt>
                <c:pt idx="741">
                  <c:v>554.44000000000005</c:v>
                </c:pt>
                <c:pt idx="742">
                  <c:v>549</c:v>
                </c:pt>
                <c:pt idx="743">
                  <c:v>572.21</c:v>
                </c:pt>
                <c:pt idx="744">
                  <c:v>597.02</c:v>
                </c:pt>
                <c:pt idx="745">
                  <c:v>597.02</c:v>
                </c:pt>
                <c:pt idx="746">
                  <c:v>597.02</c:v>
                </c:pt>
                <c:pt idx="747">
                  <c:v>599.27</c:v>
                </c:pt>
                <c:pt idx="748">
                  <c:v>587.30999999999995</c:v>
                </c:pt>
                <c:pt idx="749">
                  <c:v>596.80999999999995</c:v>
                </c:pt>
                <c:pt idx="750">
                  <c:v>598.01</c:v>
                </c:pt>
                <c:pt idx="751">
                  <c:v>592.49</c:v>
                </c:pt>
                <c:pt idx="752">
                  <c:v>592.49</c:v>
                </c:pt>
                <c:pt idx="753">
                  <c:v>592.49</c:v>
                </c:pt>
                <c:pt idx="754">
                  <c:v>639.42999999999995</c:v>
                </c:pt>
                <c:pt idx="755">
                  <c:v>656.03</c:v>
                </c:pt>
                <c:pt idx="756">
                  <c:v>659.36</c:v>
                </c:pt>
                <c:pt idx="757">
                  <c:v>643.88</c:v>
                </c:pt>
                <c:pt idx="758">
                  <c:v>640.34</c:v>
                </c:pt>
                <c:pt idx="759">
                  <c:v>640.34</c:v>
                </c:pt>
                <c:pt idx="760">
                  <c:v>640.34</c:v>
                </c:pt>
                <c:pt idx="761">
                  <c:v>640.42999999999995</c:v>
                </c:pt>
                <c:pt idx="762">
                  <c:v>637.1</c:v>
                </c:pt>
                <c:pt idx="763">
                  <c:v>635.5</c:v>
                </c:pt>
                <c:pt idx="764">
                  <c:v>636.57000000000005</c:v>
                </c:pt>
                <c:pt idx="765">
                  <c:v>627.05999999999995</c:v>
                </c:pt>
                <c:pt idx="766">
                  <c:v>627.05999999999995</c:v>
                </c:pt>
                <c:pt idx="767">
                  <c:v>627.05999999999995</c:v>
                </c:pt>
                <c:pt idx="768">
                  <c:v>627.05999999999995</c:v>
                </c:pt>
                <c:pt idx="769">
                  <c:v>642.32000000000005</c:v>
                </c:pt>
                <c:pt idx="770">
                  <c:v>643.58000000000004</c:v>
                </c:pt>
                <c:pt idx="771">
                  <c:v>645.04999999999995</c:v>
                </c:pt>
                <c:pt idx="772">
                  <c:v>647.49</c:v>
                </c:pt>
                <c:pt idx="773">
                  <c:v>647.49</c:v>
                </c:pt>
                <c:pt idx="774">
                  <c:v>647.49</c:v>
                </c:pt>
                <c:pt idx="775">
                  <c:v>670.9</c:v>
                </c:pt>
                <c:pt idx="776">
                  <c:v>666.85</c:v>
                </c:pt>
                <c:pt idx="777">
                  <c:v>687.95</c:v>
                </c:pt>
                <c:pt idx="778">
                  <c:v>684.62</c:v>
                </c:pt>
                <c:pt idx="779">
                  <c:v>697.71</c:v>
                </c:pt>
                <c:pt idx="780">
                  <c:v>697.71</c:v>
                </c:pt>
                <c:pt idx="781">
                  <c:v>697.71</c:v>
                </c:pt>
                <c:pt idx="782">
                  <c:v>694.06</c:v>
                </c:pt>
                <c:pt idx="783">
                  <c:v>702.4</c:v>
                </c:pt>
                <c:pt idx="784">
                  <c:v>694.14</c:v>
                </c:pt>
                <c:pt idx="785">
                  <c:v>693.36</c:v>
                </c:pt>
                <c:pt idx="786">
                  <c:v>682.87</c:v>
                </c:pt>
                <c:pt idx="787">
                  <c:v>682.87</c:v>
                </c:pt>
                <c:pt idx="788">
                  <c:v>682.87</c:v>
                </c:pt>
                <c:pt idx="789">
                  <c:v>702.12</c:v>
                </c:pt>
                <c:pt idx="790">
                  <c:v>697.23</c:v>
                </c:pt>
                <c:pt idx="791">
                  <c:v>695.77</c:v>
                </c:pt>
                <c:pt idx="792">
                  <c:v>695.77</c:v>
                </c:pt>
                <c:pt idx="793">
                  <c:v>682.35</c:v>
                </c:pt>
                <c:pt idx="794">
                  <c:v>682.35</c:v>
                </c:pt>
                <c:pt idx="795">
                  <c:v>682.35</c:v>
                </c:pt>
                <c:pt idx="796">
                  <c:v>698.53</c:v>
                </c:pt>
                <c:pt idx="797">
                  <c:v>712.2</c:v>
                </c:pt>
                <c:pt idx="798">
                  <c:v>708.68</c:v>
                </c:pt>
                <c:pt idx="799">
                  <c:v>726.09</c:v>
                </c:pt>
                <c:pt idx="800">
                  <c:v>733.63</c:v>
                </c:pt>
                <c:pt idx="801">
                  <c:v>733.63</c:v>
                </c:pt>
                <c:pt idx="802">
                  <c:v>733.63</c:v>
                </c:pt>
                <c:pt idx="803">
                  <c:v>738.09</c:v>
                </c:pt>
                <c:pt idx="804">
                  <c:v>719.22</c:v>
                </c:pt>
                <c:pt idx="805">
                  <c:v>713.57</c:v>
                </c:pt>
                <c:pt idx="806">
                  <c:v>719.01</c:v>
                </c:pt>
                <c:pt idx="807">
                  <c:v>719.01</c:v>
                </c:pt>
                <c:pt idx="808">
                  <c:v>719.01</c:v>
                </c:pt>
                <c:pt idx="809">
                  <c:v>719.01</c:v>
                </c:pt>
                <c:pt idx="810">
                  <c:v>718.35</c:v>
                </c:pt>
                <c:pt idx="811">
                  <c:v>720.67</c:v>
                </c:pt>
                <c:pt idx="812">
                  <c:v>732.78</c:v>
                </c:pt>
                <c:pt idx="813">
                  <c:v>727.24</c:v>
                </c:pt>
                <c:pt idx="814">
                  <c:v>717.51</c:v>
                </c:pt>
                <c:pt idx="815">
                  <c:v>717.51</c:v>
                </c:pt>
                <c:pt idx="816">
                  <c:v>717.51</c:v>
                </c:pt>
                <c:pt idx="817">
                  <c:v>720.92</c:v>
                </c:pt>
                <c:pt idx="818">
                  <c:v>710.39</c:v>
                </c:pt>
                <c:pt idx="819">
                  <c:v>702.91</c:v>
                </c:pt>
                <c:pt idx="820">
                  <c:v>701.41</c:v>
                </c:pt>
                <c:pt idx="821">
                  <c:v>704.28</c:v>
                </c:pt>
                <c:pt idx="822">
                  <c:v>704.28</c:v>
                </c:pt>
                <c:pt idx="823">
                  <c:v>704.28</c:v>
                </c:pt>
                <c:pt idx="824">
                  <c:v>712.96500000000003</c:v>
                </c:pt>
                <c:pt idx="825">
                  <c:v>704.81</c:v>
                </c:pt>
                <c:pt idx="826">
                  <c:v>713.58</c:v>
                </c:pt>
                <c:pt idx="827">
                  <c:v>714.8</c:v>
                </c:pt>
                <c:pt idx="828">
                  <c:v>712.68</c:v>
                </c:pt>
                <c:pt idx="829">
                  <c:v>712.68</c:v>
                </c:pt>
                <c:pt idx="830">
                  <c:v>712.68</c:v>
                </c:pt>
                <c:pt idx="831">
                  <c:v>717.63</c:v>
                </c:pt>
                <c:pt idx="832">
                  <c:v>700</c:v>
                </c:pt>
                <c:pt idx="833">
                  <c:v>695.21</c:v>
                </c:pt>
                <c:pt idx="834">
                  <c:v>773.44</c:v>
                </c:pt>
                <c:pt idx="835">
                  <c:v>750.01</c:v>
                </c:pt>
                <c:pt idx="836">
                  <c:v>750.01</c:v>
                </c:pt>
                <c:pt idx="837">
                  <c:v>750.01</c:v>
                </c:pt>
                <c:pt idx="838">
                  <c:v>776.37</c:v>
                </c:pt>
                <c:pt idx="839">
                  <c:v>763.46</c:v>
                </c:pt>
                <c:pt idx="840">
                  <c:v>771.99</c:v>
                </c:pt>
                <c:pt idx="841">
                  <c:v>761.83</c:v>
                </c:pt>
                <c:pt idx="842">
                  <c:v>769.3</c:v>
                </c:pt>
                <c:pt idx="843">
                  <c:v>769.3</c:v>
                </c:pt>
                <c:pt idx="844">
                  <c:v>769.3</c:v>
                </c:pt>
                <c:pt idx="845">
                  <c:v>765.87</c:v>
                </c:pt>
                <c:pt idx="846">
                  <c:v>790</c:v>
                </c:pt>
                <c:pt idx="847">
                  <c:v>780.08</c:v>
                </c:pt>
                <c:pt idx="848">
                  <c:v>782.13</c:v>
                </c:pt>
                <c:pt idx="849">
                  <c:v>785.23</c:v>
                </c:pt>
                <c:pt idx="850">
                  <c:v>785.23</c:v>
                </c:pt>
                <c:pt idx="851">
                  <c:v>785.23</c:v>
                </c:pt>
                <c:pt idx="852">
                  <c:v>767.37</c:v>
                </c:pt>
                <c:pt idx="853">
                  <c:v>751.48</c:v>
                </c:pt>
                <c:pt idx="854">
                  <c:v>747.72</c:v>
                </c:pt>
                <c:pt idx="855">
                  <c:v>739.1</c:v>
                </c:pt>
                <c:pt idx="856">
                  <c:v>754.79</c:v>
                </c:pt>
                <c:pt idx="857">
                  <c:v>754.79</c:v>
                </c:pt>
                <c:pt idx="858">
                  <c:v>754.79</c:v>
                </c:pt>
                <c:pt idx="859">
                  <c:v>753.3</c:v>
                </c:pt>
                <c:pt idx="860">
                  <c:v>754.1</c:v>
                </c:pt>
                <c:pt idx="861">
                  <c:v>747.38</c:v>
                </c:pt>
                <c:pt idx="862">
                  <c:v>751.11</c:v>
                </c:pt>
                <c:pt idx="863">
                  <c:v>738.7</c:v>
                </c:pt>
                <c:pt idx="864">
                  <c:v>738.7</c:v>
                </c:pt>
                <c:pt idx="865">
                  <c:v>738.7</c:v>
                </c:pt>
                <c:pt idx="866">
                  <c:v>738.7</c:v>
                </c:pt>
                <c:pt idx="867">
                  <c:v>735.11</c:v>
                </c:pt>
                <c:pt idx="868">
                  <c:v>737.05</c:v>
                </c:pt>
                <c:pt idx="869">
                  <c:v>748.65</c:v>
                </c:pt>
                <c:pt idx="870">
                  <c:v>752.45</c:v>
                </c:pt>
                <c:pt idx="871">
                  <c:v>752.45</c:v>
                </c:pt>
                <c:pt idx="872">
                  <c:v>752.45</c:v>
                </c:pt>
                <c:pt idx="873">
                  <c:v>752.3</c:v>
                </c:pt>
                <c:pt idx="874">
                  <c:v>765.7</c:v>
                </c:pt>
                <c:pt idx="875">
                  <c:v>751.98</c:v>
                </c:pt>
                <c:pt idx="876">
                  <c:v>750.9</c:v>
                </c:pt>
                <c:pt idx="877">
                  <c:v>755.59</c:v>
                </c:pt>
                <c:pt idx="878">
                  <c:v>755.59</c:v>
                </c:pt>
                <c:pt idx="879">
                  <c:v>755.59</c:v>
                </c:pt>
                <c:pt idx="880">
                  <c:v>764.7</c:v>
                </c:pt>
                <c:pt idx="881">
                  <c:v>779</c:v>
                </c:pt>
                <c:pt idx="882">
                  <c:v>775.71500000000003</c:v>
                </c:pt>
                <c:pt idx="883">
                  <c:v>780.25</c:v>
                </c:pt>
                <c:pt idx="884">
                  <c:v>778.38</c:v>
                </c:pt>
                <c:pt idx="885">
                  <c:v>778.38</c:v>
                </c:pt>
                <c:pt idx="886">
                  <c:v>778.38</c:v>
                </c:pt>
                <c:pt idx="887">
                  <c:v>765.16</c:v>
                </c:pt>
                <c:pt idx="888">
                  <c:v>755.4</c:v>
                </c:pt>
                <c:pt idx="889">
                  <c:v>760.66</c:v>
                </c:pt>
                <c:pt idx="890">
                  <c:v>748.91</c:v>
                </c:pt>
                <c:pt idx="891">
                  <c:v>743.75</c:v>
                </c:pt>
                <c:pt idx="892">
                  <c:v>743.75</c:v>
                </c:pt>
                <c:pt idx="893">
                  <c:v>743.75</c:v>
                </c:pt>
                <c:pt idx="894">
                  <c:v>743.4</c:v>
                </c:pt>
                <c:pt idx="895">
                  <c:v>734.38</c:v>
                </c:pt>
                <c:pt idx="896">
                  <c:v>717.34</c:v>
                </c:pt>
                <c:pt idx="897">
                  <c:v>727.05</c:v>
                </c:pt>
                <c:pt idx="898">
                  <c:v>710.56</c:v>
                </c:pt>
                <c:pt idx="899">
                  <c:v>710.56</c:v>
                </c:pt>
                <c:pt idx="900">
                  <c:v>710.56</c:v>
                </c:pt>
                <c:pt idx="901">
                  <c:v>715.66</c:v>
                </c:pt>
                <c:pt idx="902">
                  <c:v>713.08</c:v>
                </c:pt>
                <c:pt idx="903">
                  <c:v>717.84</c:v>
                </c:pt>
                <c:pt idx="904">
                  <c:v>733.51</c:v>
                </c:pt>
                <c:pt idx="905">
                  <c:v>705.3</c:v>
                </c:pt>
                <c:pt idx="906">
                  <c:v>705.3</c:v>
                </c:pt>
                <c:pt idx="907">
                  <c:v>705.3</c:v>
                </c:pt>
                <c:pt idx="908">
                  <c:v>715.7</c:v>
                </c:pt>
                <c:pt idx="909">
                  <c:v>708.65</c:v>
                </c:pt>
                <c:pt idx="910">
                  <c:v>717.55</c:v>
                </c:pt>
                <c:pt idx="911">
                  <c:v>712.07</c:v>
                </c:pt>
                <c:pt idx="912">
                  <c:v>716.91499999999996</c:v>
                </c:pt>
                <c:pt idx="913">
                  <c:v>716.91499999999996</c:v>
                </c:pt>
                <c:pt idx="914">
                  <c:v>716.91499999999996</c:v>
                </c:pt>
                <c:pt idx="915">
                  <c:v>732.17</c:v>
                </c:pt>
                <c:pt idx="916">
                  <c:v>733.27</c:v>
                </c:pt>
                <c:pt idx="917">
                  <c:v>733.41</c:v>
                </c:pt>
                <c:pt idx="918">
                  <c:v>734</c:v>
                </c:pt>
                <c:pt idx="919">
                  <c:v>738.36</c:v>
                </c:pt>
                <c:pt idx="920">
                  <c:v>738.36</c:v>
                </c:pt>
                <c:pt idx="921">
                  <c:v>738.36</c:v>
                </c:pt>
                <c:pt idx="922">
                  <c:v>750.82</c:v>
                </c:pt>
                <c:pt idx="923">
                  <c:v>751.44</c:v>
                </c:pt>
                <c:pt idx="924">
                  <c:v>751.67</c:v>
                </c:pt>
                <c:pt idx="925">
                  <c:v>666.47</c:v>
                </c:pt>
                <c:pt idx="926">
                  <c:v>648.35</c:v>
                </c:pt>
                <c:pt idx="927">
                  <c:v>648.35</c:v>
                </c:pt>
                <c:pt idx="928">
                  <c:v>648.35</c:v>
                </c:pt>
                <c:pt idx="929">
                  <c:v>637.71</c:v>
                </c:pt>
                <c:pt idx="930">
                  <c:v>627.32000000000005</c:v>
                </c:pt>
                <c:pt idx="931">
                  <c:v>635.95000000000005</c:v>
                </c:pt>
                <c:pt idx="932">
                  <c:v>618.94000000000005</c:v>
                </c:pt>
                <c:pt idx="933">
                  <c:v>621.71</c:v>
                </c:pt>
                <c:pt idx="934">
                  <c:v>621.71</c:v>
                </c:pt>
                <c:pt idx="935">
                  <c:v>621.71</c:v>
                </c:pt>
                <c:pt idx="936">
                  <c:v>631.76</c:v>
                </c:pt>
                <c:pt idx="937">
                  <c:v>627.08000000000004</c:v>
                </c:pt>
                <c:pt idx="938">
                  <c:v>609.01</c:v>
                </c:pt>
                <c:pt idx="939">
                  <c:v>609.89</c:v>
                </c:pt>
                <c:pt idx="940">
                  <c:v>609.46</c:v>
                </c:pt>
                <c:pt idx="941">
                  <c:v>609.46</c:v>
                </c:pt>
                <c:pt idx="942">
                  <c:v>609.46</c:v>
                </c:pt>
                <c:pt idx="943">
                  <c:v>602.01</c:v>
                </c:pt>
                <c:pt idx="944">
                  <c:v>597.69000000000005</c:v>
                </c:pt>
                <c:pt idx="945">
                  <c:v>590.32000000000005</c:v>
                </c:pt>
                <c:pt idx="946">
                  <c:v>589.15</c:v>
                </c:pt>
                <c:pt idx="947">
                  <c:v>594.25</c:v>
                </c:pt>
                <c:pt idx="948">
                  <c:v>594.25</c:v>
                </c:pt>
                <c:pt idx="949">
                  <c:v>594.25</c:v>
                </c:pt>
                <c:pt idx="950">
                  <c:v>613.04999999999995</c:v>
                </c:pt>
                <c:pt idx="951">
                  <c:v>636.22</c:v>
                </c:pt>
                <c:pt idx="952">
                  <c:v>633.61</c:v>
                </c:pt>
                <c:pt idx="953">
                  <c:v>633.61</c:v>
                </c:pt>
                <c:pt idx="954">
                  <c:v>647.95000000000005</c:v>
                </c:pt>
                <c:pt idx="955">
                  <c:v>647.95000000000005</c:v>
                </c:pt>
                <c:pt idx="956">
                  <c:v>647.95000000000005</c:v>
                </c:pt>
                <c:pt idx="957">
                  <c:v>640.87</c:v>
                </c:pt>
                <c:pt idx="958">
                  <c:v>647.1</c:v>
                </c:pt>
                <c:pt idx="959">
                  <c:v>639.6</c:v>
                </c:pt>
                <c:pt idx="960">
                  <c:v>661.53</c:v>
                </c:pt>
                <c:pt idx="961">
                  <c:v>673.42</c:v>
                </c:pt>
                <c:pt idx="962">
                  <c:v>673.42</c:v>
                </c:pt>
                <c:pt idx="963">
                  <c:v>673.42</c:v>
                </c:pt>
                <c:pt idx="964">
                  <c:v>666.8</c:v>
                </c:pt>
                <c:pt idx="965">
                  <c:v>656.96</c:v>
                </c:pt>
                <c:pt idx="966">
                  <c:v>650.13</c:v>
                </c:pt>
                <c:pt idx="967">
                  <c:v>652.71</c:v>
                </c:pt>
                <c:pt idx="968">
                  <c:v>644.23</c:v>
                </c:pt>
                <c:pt idx="969">
                  <c:v>644.23</c:v>
                </c:pt>
                <c:pt idx="970">
                  <c:v>644.23</c:v>
                </c:pt>
                <c:pt idx="971">
                  <c:v>647.51</c:v>
                </c:pt>
                <c:pt idx="972">
                  <c:v>657.15</c:v>
                </c:pt>
                <c:pt idx="973">
                  <c:v>649.5</c:v>
                </c:pt>
                <c:pt idx="974">
                  <c:v>664.45</c:v>
                </c:pt>
                <c:pt idx="975">
                  <c:v>658.77</c:v>
                </c:pt>
                <c:pt idx="976">
                  <c:v>658.77</c:v>
                </c:pt>
                <c:pt idx="977">
                  <c:v>658.77</c:v>
                </c:pt>
                <c:pt idx="978">
                  <c:v>661.5</c:v>
                </c:pt>
                <c:pt idx="979">
                  <c:v>664.94</c:v>
                </c:pt>
                <c:pt idx="980">
                  <c:v>667.55</c:v>
                </c:pt>
                <c:pt idx="981">
                  <c:v>667.55</c:v>
                </c:pt>
                <c:pt idx="982">
                  <c:v>663.29</c:v>
                </c:pt>
                <c:pt idx="983">
                  <c:v>663.29</c:v>
                </c:pt>
                <c:pt idx="984">
                  <c:v>663.29</c:v>
                </c:pt>
                <c:pt idx="985">
                  <c:v>658.69</c:v>
                </c:pt>
                <c:pt idx="986">
                  <c:v>665.95</c:v>
                </c:pt>
                <c:pt idx="987">
                  <c:v>660.09</c:v>
                </c:pt>
                <c:pt idx="988">
                  <c:v>660.09</c:v>
                </c:pt>
                <c:pt idx="989">
                  <c:v>650.41</c:v>
                </c:pt>
                <c:pt idx="990">
                  <c:v>650.41</c:v>
                </c:pt>
                <c:pt idx="991">
                  <c:v>650.41</c:v>
                </c:pt>
                <c:pt idx="992">
                  <c:v>658.79</c:v>
                </c:pt>
                <c:pt idx="993">
                  <c:v>660.62</c:v>
                </c:pt>
                <c:pt idx="994">
                  <c:v>648.69000000000005</c:v>
                </c:pt>
                <c:pt idx="995">
                  <c:v>646.05999999999995</c:v>
                </c:pt>
                <c:pt idx="996">
                  <c:v>653.05999999999995</c:v>
                </c:pt>
                <c:pt idx="997">
                  <c:v>653.05999999999995</c:v>
                </c:pt>
                <c:pt idx="998">
                  <c:v>653.05999999999995</c:v>
                </c:pt>
                <c:pt idx="999">
                  <c:v>641.97</c:v>
                </c:pt>
                <c:pt idx="1000">
                  <c:v>631.09</c:v>
                </c:pt>
                <c:pt idx="1001">
                  <c:v>615.52</c:v>
                </c:pt>
                <c:pt idx="1002">
                  <c:v>620.79999999999995</c:v>
                </c:pt>
                <c:pt idx="1003">
                  <c:v>620.25</c:v>
                </c:pt>
                <c:pt idx="1004">
                  <c:v>620.25</c:v>
                </c:pt>
                <c:pt idx="1005">
                  <c:v>620.25</c:v>
                </c:pt>
                <c:pt idx="1006">
                  <c:v>620.25</c:v>
                </c:pt>
                <c:pt idx="1007">
                  <c:v>604.12</c:v>
                </c:pt>
                <c:pt idx="1008">
                  <c:v>612.96</c:v>
                </c:pt>
                <c:pt idx="1009">
                  <c:v>647.63</c:v>
                </c:pt>
                <c:pt idx="1010">
                  <c:v>658.76</c:v>
                </c:pt>
                <c:pt idx="1011">
                  <c:v>658.76</c:v>
                </c:pt>
                <c:pt idx="1012">
                  <c:v>658.76</c:v>
                </c:pt>
                <c:pt idx="1013">
                  <c:v>672.36</c:v>
                </c:pt>
                <c:pt idx="1014">
                  <c:v>672.97</c:v>
                </c:pt>
                <c:pt idx="1015">
                  <c:v>668.73</c:v>
                </c:pt>
                <c:pt idx="1016">
                  <c:v>738.31</c:v>
                </c:pt>
                <c:pt idx="1017">
                  <c:v>716.5</c:v>
                </c:pt>
                <c:pt idx="1018">
                  <c:v>716.5</c:v>
                </c:pt>
                <c:pt idx="1019">
                  <c:v>716.5</c:v>
                </c:pt>
                <c:pt idx="1020">
                  <c:v>706.41</c:v>
                </c:pt>
                <c:pt idx="1021">
                  <c:v>691.7</c:v>
                </c:pt>
                <c:pt idx="1022">
                  <c:v>668.99</c:v>
                </c:pt>
                <c:pt idx="1023">
                  <c:v>670.21</c:v>
                </c:pt>
                <c:pt idx="1024">
                  <c:v>661.46</c:v>
                </c:pt>
                <c:pt idx="1025">
                  <c:v>661.46</c:v>
                </c:pt>
                <c:pt idx="1026">
                  <c:v>661.46</c:v>
                </c:pt>
                <c:pt idx="1027">
                  <c:v>677.22</c:v>
                </c:pt>
                <c:pt idx="1028">
                  <c:v>670.72</c:v>
                </c:pt>
                <c:pt idx="1029">
                  <c:v>668.69</c:v>
                </c:pt>
                <c:pt idx="1030">
                  <c:v>649.80999999999995</c:v>
                </c:pt>
                <c:pt idx="1031">
                  <c:v>639.77</c:v>
                </c:pt>
                <c:pt idx="1032">
                  <c:v>639.77</c:v>
                </c:pt>
                <c:pt idx="1033">
                  <c:v>639.77</c:v>
                </c:pt>
                <c:pt idx="1034">
                  <c:v>639.77</c:v>
                </c:pt>
                <c:pt idx="1035">
                  <c:v>639.29</c:v>
                </c:pt>
                <c:pt idx="1036">
                  <c:v>643.22</c:v>
                </c:pt>
                <c:pt idx="1037">
                  <c:v>644.78</c:v>
                </c:pt>
                <c:pt idx="1038">
                  <c:v>655.66</c:v>
                </c:pt>
                <c:pt idx="1039">
                  <c:v>655.66</c:v>
                </c:pt>
                <c:pt idx="1040">
                  <c:v>655.66</c:v>
                </c:pt>
                <c:pt idx="1041">
                  <c:v>637.25</c:v>
                </c:pt>
                <c:pt idx="1042">
                  <c:v>639.29999999999995</c:v>
                </c:pt>
                <c:pt idx="1043">
                  <c:v>653.69000000000005</c:v>
                </c:pt>
                <c:pt idx="1044">
                  <c:v>657.01</c:v>
                </c:pt>
                <c:pt idx="1045">
                  <c:v>648.17999999999995</c:v>
                </c:pt>
                <c:pt idx="1046">
                  <c:v>647.85</c:v>
                </c:pt>
                <c:pt idx="1047">
                  <c:v>648.17999999999995</c:v>
                </c:pt>
                <c:pt idx="1048">
                  <c:v>653.55999999999995</c:v>
                </c:pt>
                <c:pt idx="1049">
                  <c:v>655.08000000000004</c:v>
                </c:pt>
                <c:pt idx="1050">
                  <c:v>667.73</c:v>
                </c:pt>
                <c:pt idx="1051">
                  <c:v>660.57</c:v>
                </c:pt>
                <c:pt idx="1052">
                  <c:v>644.86</c:v>
                </c:pt>
                <c:pt idx="1053">
                  <c:v>644.86</c:v>
                </c:pt>
                <c:pt idx="1054">
                  <c:v>644.86</c:v>
                </c:pt>
                <c:pt idx="1055">
                  <c:v>647.39</c:v>
                </c:pt>
                <c:pt idx="1056">
                  <c:v>654.07000000000005</c:v>
                </c:pt>
                <c:pt idx="1057">
                  <c:v>654.86</c:v>
                </c:pt>
                <c:pt idx="1058">
                  <c:v>638.17999999999995</c:v>
                </c:pt>
                <c:pt idx="1059">
                  <c:v>613.71</c:v>
                </c:pt>
                <c:pt idx="1060">
                  <c:v>613.71</c:v>
                </c:pt>
                <c:pt idx="1061">
                  <c:v>613.71</c:v>
                </c:pt>
                <c:pt idx="1062">
                  <c:v>627.45000000000005</c:v>
                </c:pt>
                <c:pt idx="1063">
                  <c:v>622.66</c:v>
                </c:pt>
                <c:pt idx="1064">
                  <c:v>615.67999999999995</c:v>
                </c:pt>
                <c:pt idx="1065">
                  <c:v>606.70000000000005</c:v>
                </c:pt>
                <c:pt idx="1066">
                  <c:v>593.66</c:v>
                </c:pt>
                <c:pt idx="1067">
                  <c:v>593.66</c:v>
                </c:pt>
                <c:pt idx="1068">
                  <c:v>593.66</c:v>
                </c:pt>
                <c:pt idx="1069">
                  <c:v>604.05999999999995</c:v>
                </c:pt>
                <c:pt idx="1070">
                  <c:v>592.91999999999996</c:v>
                </c:pt>
                <c:pt idx="1071">
                  <c:v>594.89</c:v>
                </c:pt>
                <c:pt idx="1072">
                  <c:v>547.54</c:v>
                </c:pt>
                <c:pt idx="1073">
                  <c:v>525.72</c:v>
                </c:pt>
                <c:pt idx="1074">
                  <c:v>525.72</c:v>
                </c:pt>
                <c:pt idx="1075">
                  <c:v>525.72</c:v>
                </c:pt>
                <c:pt idx="1076">
                  <c:v>536.38</c:v>
                </c:pt>
                <c:pt idx="1077">
                  <c:v>572.13</c:v>
                </c:pt>
                <c:pt idx="1078">
                  <c:v>579.23</c:v>
                </c:pt>
                <c:pt idx="1079">
                  <c:v>574.46</c:v>
                </c:pt>
                <c:pt idx="1080">
                  <c:v>574.46</c:v>
                </c:pt>
                <c:pt idx="1081">
                  <c:v>574.46</c:v>
                </c:pt>
                <c:pt idx="1082">
                  <c:v>574.46</c:v>
                </c:pt>
                <c:pt idx="1083">
                  <c:v>573.02</c:v>
                </c:pt>
                <c:pt idx="1084">
                  <c:v>575.04999999999995</c:v>
                </c:pt>
                <c:pt idx="1085">
                  <c:v>612.41999999999996</c:v>
                </c:pt>
                <c:pt idx="1086">
                  <c:v>628.39</c:v>
                </c:pt>
                <c:pt idx="1087">
                  <c:v>629.86</c:v>
                </c:pt>
                <c:pt idx="1088">
                  <c:v>629.86</c:v>
                </c:pt>
                <c:pt idx="1089">
                  <c:v>629.86</c:v>
                </c:pt>
                <c:pt idx="1090">
                  <c:v>634.53</c:v>
                </c:pt>
                <c:pt idx="1091">
                  <c:v>662.49</c:v>
                </c:pt>
                <c:pt idx="1092">
                  <c:v>671.58</c:v>
                </c:pt>
                <c:pt idx="1093">
                  <c:v>676.87</c:v>
                </c:pt>
                <c:pt idx="1094">
                  <c:v>676.87</c:v>
                </c:pt>
              </c:numCache>
            </c:numRef>
          </c:val>
          <c:smooth val="0"/>
          <c:extLst>
            <c:ext xmlns:c16="http://schemas.microsoft.com/office/drawing/2014/chart" uri="{C3380CC4-5D6E-409C-BE32-E72D297353CC}">
              <c16:uniqueId val="{00000000-6581-47EC-9E2F-D7F497CD9E76}"/>
            </c:ext>
          </c:extLst>
        </c:ser>
        <c:dLbls>
          <c:showLegendKey val="0"/>
          <c:showVal val="0"/>
          <c:showCatName val="0"/>
          <c:showSerName val="0"/>
          <c:showPercent val="0"/>
          <c:showBubbleSize val="0"/>
        </c:dLbls>
        <c:marker val="1"/>
        <c:smooth val="0"/>
        <c:axId val="2085423231"/>
        <c:axId val="2071215679"/>
      </c:lineChart>
      <c:lineChart>
        <c:grouping val="standard"/>
        <c:varyColors val="0"/>
        <c:ser>
          <c:idx val="1"/>
          <c:order val="1"/>
          <c:tx>
            <c:v>S&amp;P 500</c:v>
          </c:tx>
          <c:spPr>
            <a:ln w="12700" cap="rnd">
              <a:solidFill>
                <a:schemeClr val="bg1">
                  <a:lumMod val="50000"/>
                </a:schemeClr>
              </a:solidFill>
              <a:round/>
            </a:ln>
            <a:effectLst/>
          </c:spPr>
          <c:marker>
            <c:symbol val="none"/>
          </c:marker>
          <c:cat>
            <c:numRef>
              <c:f>'DIY Grundmodell'!$R$93:$R$1187</c:f>
              <c:numCache>
                <c:formatCode>dd/mm/yy;@</c:formatCode>
                <c:ptCount val="1095"/>
                <c:pt idx="0">
                  <c:v>45035</c:v>
                </c:pt>
                <c:pt idx="1">
                  <c:v>45036</c:v>
                </c:pt>
                <c:pt idx="2">
                  <c:v>45037</c:v>
                </c:pt>
                <c:pt idx="3">
                  <c:v>45038</c:v>
                </c:pt>
                <c:pt idx="4">
                  <c:v>45039</c:v>
                </c:pt>
                <c:pt idx="5">
                  <c:v>45040</c:v>
                </c:pt>
                <c:pt idx="6">
                  <c:v>45041</c:v>
                </c:pt>
                <c:pt idx="7">
                  <c:v>45042</c:v>
                </c:pt>
                <c:pt idx="8">
                  <c:v>45043</c:v>
                </c:pt>
                <c:pt idx="9">
                  <c:v>45044</c:v>
                </c:pt>
                <c:pt idx="10">
                  <c:v>45045</c:v>
                </c:pt>
                <c:pt idx="11">
                  <c:v>45046</c:v>
                </c:pt>
                <c:pt idx="12">
                  <c:v>45047</c:v>
                </c:pt>
                <c:pt idx="13">
                  <c:v>45048</c:v>
                </c:pt>
                <c:pt idx="14">
                  <c:v>45049</c:v>
                </c:pt>
                <c:pt idx="15">
                  <c:v>45050</c:v>
                </c:pt>
                <c:pt idx="16">
                  <c:v>45051</c:v>
                </c:pt>
                <c:pt idx="17">
                  <c:v>45052</c:v>
                </c:pt>
                <c:pt idx="18">
                  <c:v>45053</c:v>
                </c:pt>
                <c:pt idx="19">
                  <c:v>45054</c:v>
                </c:pt>
                <c:pt idx="20">
                  <c:v>45055</c:v>
                </c:pt>
                <c:pt idx="21">
                  <c:v>45056</c:v>
                </c:pt>
                <c:pt idx="22">
                  <c:v>45057</c:v>
                </c:pt>
                <c:pt idx="23">
                  <c:v>45058</c:v>
                </c:pt>
                <c:pt idx="24">
                  <c:v>45059</c:v>
                </c:pt>
                <c:pt idx="25">
                  <c:v>45060</c:v>
                </c:pt>
                <c:pt idx="26">
                  <c:v>45061</c:v>
                </c:pt>
                <c:pt idx="27">
                  <c:v>45062</c:v>
                </c:pt>
                <c:pt idx="28">
                  <c:v>45063</c:v>
                </c:pt>
                <c:pt idx="29">
                  <c:v>45064</c:v>
                </c:pt>
                <c:pt idx="30">
                  <c:v>45065</c:v>
                </c:pt>
                <c:pt idx="31">
                  <c:v>45066</c:v>
                </c:pt>
                <c:pt idx="32">
                  <c:v>45067</c:v>
                </c:pt>
                <c:pt idx="33">
                  <c:v>45068</c:v>
                </c:pt>
                <c:pt idx="34">
                  <c:v>45069</c:v>
                </c:pt>
                <c:pt idx="35">
                  <c:v>45070</c:v>
                </c:pt>
                <c:pt idx="36">
                  <c:v>45071</c:v>
                </c:pt>
                <c:pt idx="37">
                  <c:v>45072</c:v>
                </c:pt>
                <c:pt idx="38">
                  <c:v>45073</c:v>
                </c:pt>
                <c:pt idx="39">
                  <c:v>45074</c:v>
                </c:pt>
                <c:pt idx="40">
                  <c:v>45075</c:v>
                </c:pt>
                <c:pt idx="41">
                  <c:v>45076</c:v>
                </c:pt>
                <c:pt idx="42">
                  <c:v>45077</c:v>
                </c:pt>
                <c:pt idx="43">
                  <c:v>45078</c:v>
                </c:pt>
                <c:pt idx="44">
                  <c:v>45079</c:v>
                </c:pt>
                <c:pt idx="45">
                  <c:v>45080</c:v>
                </c:pt>
                <c:pt idx="46">
                  <c:v>45081</c:v>
                </c:pt>
                <c:pt idx="47">
                  <c:v>45082</c:v>
                </c:pt>
                <c:pt idx="48">
                  <c:v>45083</c:v>
                </c:pt>
                <c:pt idx="49">
                  <c:v>45084</c:v>
                </c:pt>
                <c:pt idx="50">
                  <c:v>45085</c:v>
                </c:pt>
                <c:pt idx="51">
                  <c:v>45086</c:v>
                </c:pt>
                <c:pt idx="52">
                  <c:v>45087</c:v>
                </c:pt>
                <c:pt idx="53">
                  <c:v>45088</c:v>
                </c:pt>
                <c:pt idx="54">
                  <c:v>45089</c:v>
                </c:pt>
                <c:pt idx="55">
                  <c:v>45090</c:v>
                </c:pt>
                <c:pt idx="56">
                  <c:v>45091</c:v>
                </c:pt>
                <c:pt idx="57">
                  <c:v>45092</c:v>
                </c:pt>
                <c:pt idx="58">
                  <c:v>45093</c:v>
                </c:pt>
                <c:pt idx="59">
                  <c:v>45094</c:v>
                </c:pt>
                <c:pt idx="60">
                  <c:v>45095</c:v>
                </c:pt>
                <c:pt idx="61">
                  <c:v>45096</c:v>
                </c:pt>
                <c:pt idx="62">
                  <c:v>45097</c:v>
                </c:pt>
                <c:pt idx="63">
                  <c:v>45098</c:v>
                </c:pt>
                <c:pt idx="64">
                  <c:v>45099</c:v>
                </c:pt>
                <c:pt idx="65">
                  <c:v>45100</c:v>
                </c:pt>
                <c:pt idx="66">
                  <c:v>45101</c:v>
                </c:pt>
                <c:pt idx="67">
                  <c:v>45102</c:v>
                </c:pt>
                <c:pt idx="68">
                  <c:v>45103</c:v>
                </c:pt>
                <c:pt idx="69">
                  <c:v>45104</c:v>
                </c:pt>
                <c:pt idx="70">
                  <c:v>45105</c:v>
                </c:pt>
                <c:pt idx="71">
                  <c:v>45106</c:v>
                </c:pt>
                <c:pt idx="72">
                  <c:v>45107</c:v>
                </c:pt>
                <c:pt idx="73">
                  <c:v>45108</c:v>
                </c:pt>
                <c:pt idx="74">
                  <c:v>45109</c:v>
                </c:pt>
                <c:pt idx="75">
                  <c:v>45110</c:v>
                </c:pt>
                <c:pt idx="76">
                  <c:v>45111</c:v>
                </c:pt>
                <c:pt idx="77">
                  <c:v>45112</c:v>
                </c:pt>
                <c:pt idx="78">
                  <c:v>45113</c:v>
                </c:pt>
                <c:pt idx="79">
                  <c:v>45114</c:v>
                </c:pt>
                <c:pt idx="80">
                  <c:v>45115</c:v>
                </c:pt>
                <c:pt idx="81">
                  <c:v>45116</c:v>
                </c:pt>
                <c:pt idx="82">
                  <c:v>45117</c:v>
                </c:pt>
                <c:pt idx="83">
                  <c:v>45118</c:v>
                </c:pt>
                <c:pt idx="84">
                  <c:v>45119</c:v>
                </c:pt>
                <c:pt idx="85">
                  <c:v>45120</c:v>
                </c:pt>
                <c:pt idx="86">
                  <c:v>45121</c:v>
                </c:pt>
                <c:pt idx="87">
                  <c:v>45122</c:v>
                </c:pt>
                <c:pt idx="88">
                  <c:v>45123</c:v>
                </c:pt>
                <c:pt idx="89">
                  <c:v>45124</c:v>
                </c:pt>
                <c:pt idx="90">
                  <c:v>45125</c:v>
                </c:pt>
                <c:pt idx="91">
                  <c:v>45126</c:v>
                </c:pt>
                <c:pt idx="92">
                  <c:v>45127</c:v>
                </c:pt>
                <c:pt idx="93">
                  <c:v>45128</c:v>
                </c:pt>
                <c:pt idx="94">
                  <c:v>45129</c:v>
                </c:pt>
                <c:pt idx="95">
                  <c:v>45130</c:v>
                </c:pt>
                <c:pt idx="96">
                  <c:v>45131</c:v>
                </c:pt>
                <c:pt idx="97">
                  <c:v>45132</c:v>
                </c:pt>
                <c:pt idx="98">
                  <c:v>45133</c:v>
                </c:pt>
                <c:pt idx="99">
                  <c:v>45134</c:v>
                </c:pt>
                <c:pt idx="100">
                  <c:v>45135</c:v>
                </c:pt>
                <c:pt idx="101">
                  <c:v>45136</c:v>
                </c:pt>
                <c:pt idx="102">
                  <c:v>45137</c:v>
                </c:pt>
                <c:pt idx="103">
                  <c:v>45138</c:v>
                </c:pt>
                <c:pt idx="104">
                  <c:v>45139</c:v>
                </c:pt>
                <c:pt idx="105">
                  <c:v>45140</c:v>
                </c:pt>
                <c:pt idx="106">
                  <c:v>45141</c:v>
                </c:pt>
                <c:pt idx="107">
                  <c:v>45142</c:v>
                </c:pt>
                <c:pt idx="108">
                  <c:v>45143</c:v>
                </c:pt>
                <c:pt idx="109">
                  <c:v>45144</c:v>
                </c:pt>
                <c:pt idx="110">
                  <c:v>45145</c:v>
                </c:pt>
                <c:pt idx="111">
                  <c:v>45146</c:v>
                </c:pt>
                <c:pt idx="112">
                  <c:v>45147</c:v>
                </c:pt>
                <c:pt idx="113">
                  <c:v>45148</c:v>
                </c:pt>
                <c:pt idx="114">
                  <c:v>45149</c:v>
                </c:pt>
                <c:pt idx="115">
                  <c:v>45150</c:v>
                </c:pt>
                <c:pt idx="116">
                  <c:v>45151</c:v>
                </c:pt>
                <c:pt idx="117">
                  <c:v>45152</c:v>
                </c:pt>
                <c:pt idx="118">
                  <c:v>45153</c:v>
                </c:pt>
                <c:pt idx="119">
                  <c:v>45154</c:v>
                </c:pt>
                <c:pt idx="120">
                  <c:v>45155</c:v>
                </c:pt>
                <c:pt idx="121">
                  <c:v>45156</c:v>
                </c:pt>
                <c:pt idx="122">
                  <c:v>45157</c:v>
                </c:pt>
                <c:pt idx="123">
                  <c:v>45158</c:v>
                </c:pt>
                <c:pt idx="124">
                  <c:v>45159</c:v>
                </c:pt>
                <c:pt idx="125">
                  <c:v>45160</c:v>
                </c:pt>
                <c:pt idx="126">
                  <c:v>45161</c:v>
                </c:pt>
                <c:pt idx="127">
                  <c:v>45162</c:v>
                </c:pt>
                <c:pt idx="128">
                  <c:v>45163</c:v>
                </c:pt>
                <c:pt idx="129">
                  <c:v>45164</c:v>
                </c:pt>
                <c:pt idx="130">
                  <c:v>45165</c:v>
                </c:pt>
                <c:pt idx="131">
                  <c:v>45166</c:v>
                </c:pt>
                <c:pt idx="132">
                  <c:v>45167</c:v>
                </c:pt>
                <c:pt idx="133">
                  <c:v>45168</c:v>
                </c:pt>
                <c:pt idx="134">
                  <c:v>45169</c:v>
                </c:pt>
                <c:pt idx="135">
                  <c:v>45170</c:v>
                </c:pt>
                <c:pt idx="136">
                  <c:v>45171</c:v>
                </c:pt>
                <c:pt idx="137">
                  <c:v>45172</c:v>
                </c:pt>
                <c:pt idx="138">
                  <c:v>45173</c:v>
                </c:pt>
                <c:pt idx="139">
                  <c:v>45174</c:v>
                </c:pt>
                <c:pt idx="140">
                  <c:v>45175</c:v>
                </c:pt>
                <c:pt idx="141">
                  <c:v>45176</c:v>
                </c:pt>
                <c:pt idx="142">
                  <c:v>45177</c:v>
                </c:pt>
                <c:pt idx="143">
                  <c:v>45178</c:v>
                </c:pt>
                <c:pt idx="144">
                  <c:v>45179</c:v>
                </c:pt>
                <c:pt idx="145">
                  <c:v>45180</c:v>
                </c:pt>
                <c:pt idx="146">
                  <c:v>45181</c:v>
                </c:pt>
                <c:pt idx="147">
                  <c:v>45182</c:v>
                </c:pt>
                <c:pt idx="148">
                  <c:v>45183</c:v>
                </c:pt>
                <c:pt idx="149">
                  <c:v>45184</c:v>
                </c:pt>
                <c:pt idx="150">
                  <c:v>45185</c:v>
                </c:pt>
                <c:pt idx="151">
                  <c:v>45186</c:v>
                </c:pt>
                <c:pt idx="152">
                  <c:v>45187</c:v>
                </c:pt>
                <c:pt idx="153">
                  <c:v>45188</c:v>
                </c:pt>
                <c:pt idx="154">
                  <c:v>45189</c:v>
                </c:pt>
                <c:pt idx="155">
                  <c:v>45190</c:v>
                </c:pt>
                <c:pt idx="156">
                  <c:v>45191</c:v>
                </c:pt>
                <c:pt idx="157">
                  <c:v>45192</c:v>
                </c:pt>
                <c:pt idx="158">
                  <c:v>45193</c:v>
                </c:pt>
                <c:pt idx="159">
                  <c:v>45194</c:v>
                </c:pt>
                <c:pt idx="160">
                  <c:v>45195</c:v>
                </c:pt>
                <c:pt idx="161">
                  <c:v>45196</c:v>
                </c:pt>
                <c:pt idx="162">
                  <c:v>45197</c:v>
                </c:pt>
                <c:pt idx="163">
                  <c:v>45198</c:v>
                </c:pt>
                <c:pt idx="164">
                  <c:v>45199</c:v>
                </c:pt>
                <c:pt idx="165">
                  <c:v>45200</c:v>
                </c:pt>
                <c:pt idx="166">
                  <c:v>45201</c:v>
                </c:pt>
                <c:pt idx="167">
                  <c:v>45202</c:v>
                </c:pt>
                <c:pt idx="168">
                  <c:v>45203</c:v>
                </c:pt>
                <c:pt idx="169">
                  <c:v>45204</c:v>
                </c:pt>
                <c:pt idx="170">
                  <c:v>45205</c:v>
                </c:pt>
                <c:pt idx="171">
                  <c:v>45206</c:v>
                </c:pt>
                <c:pt idx="172">
                  <c:v>45207</c:v>
                </c:pt>
                <c:pt idx="173">
                  <c:v>45208</c:v>
                </c:pt>
                <c:pt idx="174">
                  <c:v>45209</c:v>
                </c:pt>
                <c:pt idx="175">
                  <c:v>45210</c:v>
                </c:pt>
                <c:pt idx="176">
                  <c:v>45211</c:v>
                </c:pt>
                <c:pt idx="177">
                  <c:v>45212</c:v>
                </c:pt>
                <c:pt idx="178">
                  <c:v>45213</c:v>
                </c:pt>
                <c:pt idx="179">
                  <c:v>45214</c:v>
                </c:pt>
                <c:pt idx="180">
                  <c:v>45215</c:v>
                </c:pt>
                <c:pt idx="181">
                  <c:v>45216</c:v>
                </c:pt>
                <c:pt idx="182">
                  <c:v>45217</c:v>
                </c:pt>
                <c:pt idx="183">
                  <c:v>45218</c:v>
                </c:pt>
                <c:pt idx="184">
                  <c:v>45219</c:v>
                </c:pt>
                <c:pt idx="185">
                  <c:v>45220</c:v>
                </c:pt>
                <c:pt idx="186">
                  <c:v>45221</c:v>
                </c:pt>
                <c:pt idx="187">
                  <c:v>45222</c:v>
                </c:pt>
                <c:pt idx="188">
                  <c:v>45223</c:v>
                </c:pt>
                <c:pt idx="189">
                  <c:v>45224</c:v>
                </c:pt>
                <c:pt idx="190">
                  <c:v>45225</c:v>
                </c:pt>
                <c:pt idx="191">
                  <c:v>45226</c:v>
                </c:pt>
                <c:pt idx="192">
                  <c:v>45227</c:v>
                </c:pt>
                <c:pt idx="193">
                  <c:v>45228</c:v>
                </c:pt>
                <c:pt idx="194">
                  <c:v>45229</c:v>
                </c:pt>
                <c:pt idx="195">
                  <c:v>45230</c:v>
                </c:pt>
                <c:pt idx="196">
                  <c:v>45231</c:v>
                </c:pt>
                <c:pt idx="197">
                  <c:v>45232</c:v>
                </c:pt>
                <c:pt idx="198">
                  <c:v>45233</c:v>
                </c:pt>
                <c:pt idx="199">
                  <c:v>45234</c:v>
                </c:pt>
                <c:pt idx="200">
                  <c:v>45235</c:v>
                </c:pt>
                <c:pt idx="201">
                  <c:v>45236</c:v>
                </c:pt>
                <c:pt idx="202">
                  <c:v>45237</c:v>
                </c:pt>
                <c:pt idx="203">
                  <c:v>45238</c:v>
                </c:pt>
                <c:pt idx="204">
                  <c:v>45239</c:v>
                </c:pt>
                <c:pt idx="205">
                  <c:v>45240</c:v>
                </c:pt>
                <c:pt idx="206">
                  <c:v>45241</c:v>
                </c:pt>
                <c:pt idx="207">
                  <c:v>45242</c:v>
                </c:pt>
                <c:pt idx="208">
                  <c:v>45243</c:v>
                </c:pt>
                <c:pt idx="209">
                  <c:v>45244</c:v>
                </c:pt>
                <c:pt idx="210">
                  <c:v>45245</c:v>
                </c:pt>
                <c:pt idx="211">
                  <c:v>45246</c:v>
                </c:pt>
                <c:pt idx="212">
                  <c:v>45247</c:v>
                </c:pt>
                <c:pt idx="213">
                  <c:v>45248</c:v>
                </c:pt>
                <c:pt idx="214">
                  <c:v>45249</c:v>
                </c:pt>
                <c:pt idx="215">
                  <c:v>45250</c:v>
                </c:pt>
                <c:pt idx="216">
                  <c:v>45251</c:v>
                </c:pt>
                <c:pt idx="217">
                  <c:v>45252</c:v>
                </c:pt>
                <c:pt idx="218">
                  <c:v>45253</c:v>
                </c:pt>
                <c:pt idx="219">
                  <c:v>45254</c:v>
                </c:pt>
                <c:pt idx="220">
                  <c:v>45255</c:v>
                </c:pt>
                <c:pt idx="221">
                  <c:v>45256</c:v>
                </c:pt>
                <c:pt idx="222">
                  <c:v>45257</c:v>
                </c:pt>
                <c:pt idx="223">
                  <c:v>45258</c:v>
                </c:pt>
                <c:pt idx="224">
                  <c:v>45259</c:v>
                </c:pt>
                <c:pt idx="225">
                  <c:v>45260</c:v>
                </c:pt>
                <c:pt idx="226">
                  <c:v>45261</c:v>
                </c:pt>
                <c:pt idx="227">
                  <c:v>45262</c:v>
                </c:pt>
                <c:pt idx="228">
                  <c:v>45263</c:v>
                </c:pt>
                <c:pt idx="229">
                  <c:v>45264</c:v>
                </c:pt>
                <c:pt idx="230">
                  <c:v>45265</c:v>
                </c:pt>
                <c:pt idx="231">
                  <c:v>45266</c:v>
                </c:pt>
                <c:pt idx="232">
                  <c:v>45267</c:v>
                </c:pt>
                <c:pt idx="233">
                  <c:v>45268</c:v>
                </c:pt>
                <c:pt idx="234">
                  <c:v>45269</c:v>
                </c:pt>
                <c:pt idx="235">
                  <c:v>45270</c:v>
                </c:pt>
                <c:pt idx="236">
                  <c:v>45271</c:v>
                </c:pt>
                <c:pt idx="237">
                  <c:v>45272</c:v>
                </c:pt>
                <c:pt idx="238">
                  <c:v>45273</c:v>
                </c:pt>
                <c:pt idx="239">
                  <c:v>45274</c:v>
                </c:pt>
                <c:pt idx="240">
                  <c:v>45275</c:v>
                </c:pt>
                <c:pt idx="241">
                  <c:v>45276</c:v>
                </c:pt>
                <c:pt idx="242">
                  <c:v>45277</c:v>
                </c:pt>
                <c:pt idx="243">
                  <c:v>45278</c:v>
                </c:pt>
                <c:pt idx="244">
                  <c:v>45279</c:v>
                </c:pt>
                <c:pt idx="245">
                  <c:v>45280</c:v>
                </c:pt>
                <c:pt idx="246">
                  <c:v>45281</c:v>
                </c:pt>
                <c:pt idx="247">
                  <c:v>45282</c:v>
                </c:pt>
                <c:pt idx="248">
                  <c:v>45283</c:v>
                </c:pt>
                <c:pt idx="249">
                  <c:v>45284</c:v>
                </c:pt>
                <c:pt idx="250">
                  <c:v>45285</c:v>
                </c:pt>
                <c:pt idx="251">
                  <c:v>45286</c:v>
                </c:pt>
                <c:pt idx="252">
                  <c:v>45287</c:v>
                </c:pt>
                <c:pt idx="253">
                  <c:v>45288</c:v>
                </c:pt>
                <c:pt idx="254">
                  <c:v>45289</c:v>
                </c:pt>
                <c:pt idx="255">
                  <c:v>45290</c:v>
                </c:pt>
                <c:pt idx="256">
                  <c:v>45291</c:v>
                </c:pt>
                <c:pt idx="257">
                  <c:v>45292</c:v>
                </c:pt>
                <c:pt idx="258">
                  <c:v>45293</c:v>
                </c:pt>
                <c:pt idx="259">
                  <c:v>45294</c:v>
                </c:pt>
                <c:pt idx="260">
                  <c:v>45295</c:v>
                </c:pt>
                <c:pt idx="261">
                  <c:v>45296</c:v>
                </c:pt>
                <c:pt idx="262">
                  <c:v>45297</c:v>
                </c:pt>
                <c:pt idx="263">
                  <c:v>45298</c:v>
                </c:pt>
                <c:pt idx="264">
                  <c:v>45299</c:v>
                </c:pt>
                <c:pt idx="265">
                  <c:v>45300</c:v>
                </c:pt>
                <c:pt idx="266">
                  <c:v>45301</c:v>
                </c:pt>
                <c:pt idx="267">
                  <c:v>45302</c:v>
                </c:pt>
                <c:pt idx="268">
                  <c:v>45303</c:v>
                </c:pt>
                <c:pt idx="269">
                  <c:v>45304</c:v>
                </c:pt>
                <c:pt idx="270">
                  <c:v>45305</c:v>
                </c:pt>
                <c:pt idx="271">
                  <c:v>45306</c:v>
                </c:pt>
                <c:pt idx="272">
                  <c:v>45307</c:v>
                </c:pt>
                <c:pt idx="273">
                  <c:v>45308</c:v>
                </c:pt>
                <c:pt idx="274">
                  <c:v>45309</c:v>
                </c:pt>
                <c:pt idx="275">
                  <c:v>45310</c:v>
                </c:pt>
                <c:pt idx="276">
                  <c:v>45311</c:v>
                </c:pt>
                <c:pt idx="277">
                  <c:v>45312</c:v>
                </c:pt>
                <c:pt idx="278">
                  <c:v>45313</c:v>
                </c:pt>
                <c:pt idx="279">
                  <c:v>45314</c:v>
                </c:pt>
                <c:pt idx="280">
                  <c:v>45315</c:v>
                </c:pt>
                <c:pt idx="281">
                  <c:v>45316</c:v>
                </c:pt>
                <c:pt idx="282">
                  <c:v>45317</c:v>
                </c:pt>
                <c:pt idx="283">
                  <c:v>45318</c:v>
                </c:pt>
                <c:pt idx="284">
                  <c:v>45319</c:v>
                </c:pt>
                <c:pt idx="285">
                  <c:v>45320</c:v>
                </c:pt>
                <c:pt idx="286">
                  <c:v>45321</c:v>
                </c:pt>
                <c:pt idx="287">
                  <c:v>45322</c:v>
                </c:pt>
                <c:pt idx="288">
                  <c:v>45323</c:v>
                </c:pt>
                <c:pt idx="289">
                  <c:v>45324</c:v>
                </c:pt>
                <c:pt idx="290">
                  <c:v>45325</c:v>
                </c:pt>
                <c:pt idx="291">
                  <c:v>45326</c:v>
                </c:pt>
                <c:pt idx="292">
                  <c:v>45327</c:v>
                </c:pt>
                <c:pt idx="293">
                  <c:v>45328</c:v>
                </c:pt>
                <c:pt idx="294">
                  <c:v>45329</c:v>
                </c:pt>
                <c:pt idx="295">
                  <c:v>45330</c:v>
                </c:pt>
                <c:pt idx="296">
                  <c:v>45331</c:v>
                </c:pt>
                <c:pt idx="297">
                  <c:v>45332</c:v>
                </c:pt>
                <c:pt idx="298">
                  <c:v>45333</c:v>
                </c:pt>
                <c:pt idx="299">
                  <c:v>45334</c:v>
                </c:pt>
                <c:pt idx="300">
                  <c:v>45335</c:v>
                </c:pt>
                <c:pt idx="301">
                  <c:v>45336</c:v>
                </c:pt>
                <c:pt idx="302">
                  <c:v>45337</c:v>
                </c:pt>
                <c:pt idx="303">
                  <c:v>45338</c:v>
                </c:pt>
                <c:pt idx="304">
                  <c:v>45339</c:v>
                </c:pt>
                <c:pt idx="305">
                  <c:v>45340</c:v>
                </c:pt>
                <c:pt idx="306">
                  <c:v>45341</c:v>
                </c:pt>
                <c:pt idx="307">
                  <c:v>45342</c:v>
                </c:pt>
                <c:pt idx="308">
                  <c:v>45343</c:v>
                </c:pt>
                <c:pt idx="309">
                  <c:v>45344</c:v>
                </c:pt>
                <c:pt idx="310">
                  <c:v>45345</c:v>
                </c:pt>
                <c:pt idx="311">
                  <c:v>45346</c:v>
                </c:pt>
                <c:pt idx="312">
                  <c:v>45347</c:v>
                </c:pt>
                <c:pt idx="313">
                  <c:v>45348</c:v>
                </c:pt>
                <c:pt idx="314">
                  <c:v>45349</c:v>
                </c:pt>
                <c:pt idx="315">
                  <c:v>45350</c:v>
                </c:pt>
                <c:pt idx="316">
                  <c:v>45351</c:v>
                </c:pt>
                <c:pt idx="317">
                  <c:v>45352</c:v>
                </c:pt>
                <c:pt idx="318">
                  <c:v>45353</c:v>
                </c:pt>
                <c:pt idx="319">
                  <c:v>45354</c:v>
                </c:pt>
                <c:pt idx="320">
                  <c:v>45355</c:v>
                </c:pt>
                <c:pt idx="321">
                  <c:v>45356</c:v>
                </c:pt>
                <c:pt idx="322">
                  <c:v>45357</c:v>
                </c:pt>
                <c:pt idx="323">
                  <c:v>45358</c:v>
                </c:pt>
                <c:pt idx="324">
                  <c:v>45359</c:v>
                </c:pt>
                <c:pt idx="325">
                  <c:v>45360</c:v>
                </c:pt>
                <c:pt idx="326">
                  <c:v>45361</c:v>
                </c:pt>
                <c:pt idx="327">
                  <c:v>45362</c:v>
                </c:pt>
                <c:pt idx="328">
                  <c:v>45363</c:v>
                </c:pt>
                <c:pt idx="329">
                  <c:v>45364</c:v>
                </c:pt>
                <c:pt idx="330">
                  <c:v>45365</c:v>
                </c:pt>
                <c:pt idx="331">
                  <c:v>45366</c:v>
                </c:pt>
                <c:pt idx="332">
                  <c:v>45367</c:v>
                </c:pt>
                <c:pt idx="333">
                  <c:v>45368</c:v>
                </c:pt>
                <c:pt idx="334">
                  <c:v>45369</c:v>
                </c:pt>
                <c:pt idx="335">
                  <c:v>45370</c:v>
                </c:pt>
                <c:pt idx="336">
                  <c:v>45371</c:v>
                </c:pt>
                <c:pt idx="337">
                  <c:v>45372</c:v>
                </c:pt>
                <c:pt idx="338">
                  <c:v>45373</c:v>
                </c:pt>
                <c:pt idx="339">
                  <c:v>45374</c:v>
                </c:pt>
                <c:pt idx="340">
                  <c:v>45375</c:v>
                </c:pt>
                <c:pt idx="341">
                  <c:v>45376</c:v>
                </c:pt>
                <c:pt idx="342">
                  <c:v>45377</c:v>
                </c:pt>
                <c:pt idx="343">
                  <c:v>45378</c:v>
                </c:pt>
                <c:pt idx="344">
                  <c:v>45379</c:v>
                </c:pt>
                <c:pt idx="345">
                  <c:v>45380</c:v>
                </c:pt>
                <c:pt idx="346">
                  <c:v>45381</c:v>
                </c:pt>
                <c:pt idx="347">
                  <c:v>45382</c:v>
                </c:pt>
                <c:pt idx="348">
                  <c:v>45383</c:v>
                </c:pt>
                <c:pt idx="349">
                  <c:v>45384</c:v>
                </c:pt>
                <c:pt idx="350">
                  <c:v>45385</c:v>
                </c:pt>
                <c:pt idx="351">
                  <c:v>45386</c:v>
                </c:pt>
                <c:pt idx="352">
                  <c:v>45387</c:v>
                </c:pt>
                <c:pt idx="353">
                  <c:v>45388</c:v>
                </c:pt>
                <c:pt idx="354">
                  <c:v>45389</c:v>
                </c:pt>
                <c:pt idx="355">
                  <c:v>45390</c:v>
                </c:pt>
                <c:pt idx="356">
                  <c:v>45391</c:v>
                </c:pt>
                <c:pt idx="357">
                  <c:v>45392</c:v>
                </c:pt>
                <c:pt idx="358">
                  <c:v>45393</c:v>
                </c:pt>
                <c:pt idx="359">
                  <c:v>45394</c:v>
                </c:pt>
                <c:pt idx="360">
                  <c:v>45395</c:v>
                </c:pt>
                <c:pt idx="361">
                  <c:v>45396</c:v>
                </c:pt>
                <c:pt idx="362">
                  <c:v>45397</c:v>
                </c:pt>
                <c:pt idx="363">
                  <c:v>45398</c:v>
                </c:pt>
                <c:pt idx="364">
                  <c:v>45399</c:v>
                </c:pt>
                <c:pt idx="365">
                  <c:v>45400</c:v>
                </c:pt>
                <c:pt idx="366">
                  <c:v>45401</c:v>
                </c:pt>
                <c:pt idx="367">
                  <c:v>45402</c:v>
                </c:pt>
                <c:pt idx="368">
                  <c:v>45403</c:v>
                </c:pt>
                <c:pt idx="369">
                  <c:v>45404</c:v>
                </c:pt>
                <c:pt idx="370">
                  <c:v>45405</c:v>
                </c:pt>
                <c:pt idx="371">
                  <c:v>45406</c:v>
                </c:pt>
                <c:pt idx="372">
                  <c:v>45407</c:v>
                </c:pt>
                <c:pt idx="373">
                  <c:v>45408</c:v>
                </c:pt>
                <c:pt idx="374">
                  <c:v>45409</c:v>
                </c:pt>
                <c:pt idx="375">
                  <c:v>45410</c:v>
                </c:pt>
                <c:pt idx="376">
                  <c:v>45411</c:v>
                </c:pt>
                <c:pt idx="377">
                  <c:v>45412</c:v>
                </c:pt>
                <c:pt idx="378">
                  <c:v>45413</c:v>
                </c:pt>
                <c:pt idx="379">
                  <c:v>45414</c:v>
                </c:pt>
                <c:pt idx="380">
                  <c:v>45415</c:v>
                </c:pt>
                <c:pt idx="381">
                  <c:v>45416</c:v>
                </c:pt>
                <c:pt idx="382">
                  <c:v>45417</c:v>
                </c:pt>
                <c:pt idx="383">
                  <c:v>45418</c:v>
                </c:pt>
                <c:pt idx="384">
                  <c:v>45419</c:v>
                </c:pt>
                <c:pt idx="385">
                  <c:v>45420</c:v>
                </c:pt>
                <c:pt idx="386">
                  <c:v>45421</c:v>
                </c:pt>
                <c:pt idx="387">
                  <c:v>45422</c:v>
                </c:pt>
                <c:pt idx="388">
                  <c:v>45423</c:v>
                </c:pt>
                <c:pt idx="389">
                  <c:v>45424</c:v>
                </c:pt>
                <c:pt idx="390">
                  <c:v>45425</c:v>
                </c:pt>
                <c:pt idx="391">
                  <c:v>45426</c:v>
                </c:pt>
                <c:pt idx="392">
                  <c:v>45427</c:v>
                </c:pt>
                <c:pt idx="393">
                  <c:v>45428</c:v>
                </c:pt>
                <c:pt idx="394">
                  <c:v>45429</c:v>
                </c:pt>
                <c:pt idx="395">
                  <c:v>45430</c:v>
                </c:pt>
                <c:pt idx="396">
                  <c:v>45431</c:v>
                </c:pt>
                <c:pt idx="397">
                  <c:v>45432</c:v>
                </c:pt>
                <c:pt idx="398">
                  <c:v>45433</c:v>
                </c:pt>
                <c:pt idx="399">
                  <c:v>45434</c:v>
                </c:pt>
                <c:pt idx="400">
                  <c:v>45435</c:v>
                </c:pt>
                <c:pt idx="401">
                  <c:v>45436</c:v>
                </c:pt>
                <c:pt idx="402">
                  <c:v>45437</c:v>
                </c:pt>
                <c:pt idx="403">
                  <c:v>45438</c:v>
                </c:pt>
                <c:pt idx="404">
                  <c:v>45439</c:v>
                </c:pt>
                <c:pt idx="405">
                  <c:v>45440</c:v>
                </c:pt>
                <c:pt idx="406">
                  <c:v>45441</c:v>
                </c:pt>
                <c:pt idx="407">
                  <c:v>45442</c:v>
                </c:pt>
                <c:pt idx="408">
                  <c:v>45443</c:v>
                </c:pt>
                <c:pt idx="409">
                  <c:v>45444</c:v>
                </c:pt>
                <c:pt idx="410">
                  <c:v>45445</c:v>
                </c:pt>
                <c:pt idx="411">
                  <c:v>45446</c:v>
                </c:pt>
                <c:pt idx="412">
                  <c:v>45447</c:v>
                </c:pt>
                <c:pt idx="413">
                  <c:v>45448</c:v>
                </c:pt>
                <c:pt idx="414">
                  <c:v>45449</c:v>
                </c:pt>
                <c:pt idx="415">
                  <c:v>45450</c:v>
                </c:pt>
                <c:pt idx="416">
                  <c:v>45451</c:v>
                </c:pt>
                <c:pt idx="417">
                  <c:v>45452</c:v>
                </c:pt>
                <c:pt idx="418">
                  <c:v>45453</c:v>
                </c:pt>
                <c:pt idx="419">
                  <c:v>45454</c:v>
                </c:pt>
                <c:pt idx="420">
                  <c:v>45455</c:v>
                </c:pt>
                <c:pt idx="421">
                  <c:v>45456</c:v>
                </c:pt>
                <c:pt idx="422">
                  <c:v>45457</c:v>
                </c:pt>
                <c:pt idx="423">
                  <c:v>45458</c:v>
                </c:pt>
                <c:pt idx="424">
                  <c:v>45459</c:v>
                </c:pt>
                <c:pt idx="425">
                  <c:v>45460</c:v>
                </c:pt>
                <c:pt idx="426">
                  <c:v>45461</c:v>
                </c:pt>
                <c:pt idx="427">
                  <c:v>45462</c:v>
                </c:pt>
                <c:pt idx="428">
                  <c:v>45463</c:v>
                </c:pt>
                <c:pt idx="429">
                  <c:v>45464</c:v>
                </c:pt>
                <c:pt idx="430">
                  <c:v>45465</c:v>
                </c:pt>
                <c:pt idx="431">
                  <c:v>45466</c:v>
                </c:pt>
                <c:pt idx="432">
                  <c:v>45467</c:v>
                </c:pt>
                <c:pt idx="433">
                  <c:v>45468</c:v>
                </c:pt>
                <c:pt idx="434">
                  <c:v>45469</c:v>
                </c:pt>
                <c:pt idx="435">
                  <c:v>45470</c:v>
                </c:pt>
                <c:pt idx="436">
                  <c:v>45471</c:v>
                </c:pt>
                <c:pt idx="437">
                  <c:v>45472</c:v>
                </c:pt>
                <c:pt idx="438">
                  <c:v>45473</c:v>
                </c:pt>
                <c:pt idx="439">
                  <c:v>45474</c:v>
                </c:pt>
                <c:pt idx="440">
                  <c:v>45475</c:v>
                </c:pt>
                <c:pt idx="441">
                  <c:v>45476</c:v>
                </c:pt>
                <c:pt idx="442">
                  <c:v>45477</c:v>
                </c:pt>
                <c:pt idx="443">
                  <c:v>45478</c:v>
                </c:pt>
                <c:pt idx="444">
                  <c:v>45479</c:v>
                </c:pt>
                <c:pt idx="445">
                  <c:v>45480</c:v>
                </c:pt>
                <c:pt idx="446">
                  <c:v>45481</c:v>
                </c:pt>
                <c:pt idx="447">
                  <c:v>45482</c:v>
                </c:pt>
                <c:pt idx="448">
                  <c:v>45483</c:v>
                </c:pt>
                <c:pt idx="449">
                  <c:v>45484</c:v>
                </c:pt>
                <c:pt idx="450">
                  <c:v>45485</c:v>
                </c:pt>
                <c:pt idx="451">
                  <c:v>45486</c:v>
                </c:pt>
                <c:pt idx="452">
                  <c:v>45487</c:v>
                </c:pt>
                <c:pt idx="453">
                  <c:v>45488</c:v>
                </c:pt>
                <c:pt idx="454">
                  <c:v>45489</c:v>
                </c:pt>
                <c:pt idx="455">
                  <c:v>45490</c:v>
                </c:pt>
                <c:pt idx="456">
                  <c:v>45491</c:v>
                </c:pt>
                <c:pt idx="457">
                  <c:v>45492</c:v>
                </c:pt>
                <c:pt idx="458">
                  <c:v>45493</c:v>
                </c:pt>
                <c:pt idx="459">
                  <c:v>45494</c:v>
                </c:pt>
                <c:pt idx="460">
                  <c:v>45495</c:v>
                </c:pt>
                <c:pt idx="461">
                  <c:v>45496</c:v>
                </c:pt>
                <c:pt idx="462">
                  <c:v>45497</c:v>
                </c:pt>
                <c:pt idx="463">
                  <c:v>45498</c:v>
                </c:pt>
                <c:pt idx="464">
                  <c:v>45499</c:v>
                </c:pt>
                <c:pt idx="465">
                  <c:v>45500</c:v>
                </c:pt>
                <c:pt idx="466">
                  <c:v>45501</c:v>
                </c:pt>
                <c:pt idx="467">
                  <c:v>45502</c:v>
                </c:pt>
                <c:pt idx="468">
                  <c:v>45503</c:v>
                </c:pt>
                <c:pt idx="469">
                  <c:v>45504</c:v>
                </c:pt>
                <c:pt idx="470">
                  <c:v>45505</c:v>
                </c:pt>
                <c:pt idx="471">
                  <c:v>45506</c:v>
                </c:pt>
                <c:pt idx="472">
                  <c:v>45507</c:v>
                </c:pt>
                <c:pt idx="473">
                  <c:v>45508</c:v>
                </c:pt>
                <c:pt idx="474">
                  <c:v>45509</c:v>
                </c:pt>
                <c:pt idx="475">
                  <c:v>45510</c:v>
                </c:pt>
                <c:pt idx="476">
                  <c:v>45511</c:v>
                </c:pt>
                <c:pt idx="477">
                  <c:v>45512</c:v>
                </c:pt>
                <c:pt idx="478">
                  <c:v>45513</c:v>
                </c:pt>
                <c:pt idx="479">
                  <c:v>45514</c:v>
                </c:pt>
                <c:pt idx="480">
                  <c:v>45515</c:v>
                </c:pt>
                <c:pt idx="481">
                  <c:v>45516</c:v>
                </c:pt>
                <c:pt idx="482">
                  <c:v>45517</c:v>
                </c:pt>
                <c:pt idx="483">
                  <c:v>45518</c:v>
                </c:pt>
                <c:pt idx="484">
                  <c:v>45519</c:v>
                </c:pt>
                <c:pt idx="485">
                  <c:v>45520</c:v>
                </c:pt>
                <c:pt idx="486">
                  <c:v>45521</c:v>
                </c:pt>
                <c:pt idx="487">
                  <c:v>45522</c:v>
                </c:pt>
                <c:pt idx="488">
                  <c:v>45523</c:v>
                </c:pt>
                <c:pt idx="489">
                  <c:v>45524</c:v>
                </c:pt>
                <c:pt idx="490">
                  <c:v>45525</c:v>
                </c:pt>
                <c:pt idx="491">
                  <c:v>45526</c:v>
                </c:pt>
                <c:pt idx="492">
                  <c:v>45527</c:v>
                </c:pt>
                <c:pt idx="493">
                  <c:v>45528</c:v>
                </c:pt>
                <c:pt idx="494">
                  <c:v>45529</c:v>
                </c:pt>
                <c:pt idx="495">
                  <c:v>45530</c:v>
                </c:pt>
                <c:pt idx="496">
                  <c:v>45531</c:v>
                </c:pt>
                <c:pt idx="497">
                  <c:v>45532</c:v>
                </c:pt>
                <c:pt idx="498">
                  <c:v>45533</c:v>
                </c:pt>
                <c:pt idx="499">
                  <c:v>45534</c:v>
                </c:pt>
                <c:pt idx="500">
                  <c:v>45535</c:v>
                </c:pt>
                <c:pt idx="501">
                  <c:v>45536</c:v>
                </c:pt>
                <c:pt idx="502">
                  <c:v>45537</c:v>
                </c:pt>
                <c:pt idx="503">
                  <c:v>45538</c:v>
                </c:pt>
                <c:pt idx="504">
                  <c:v>45539</c:v>
                </c:pt>
                <c:pt idx="505">
                  <c:v>45540</c:v>
                </c:pt>
                <c:pt idx="506">
                  <c:v>45541</c:v>
                </c:pt>
                <c:pt idx="507">
                  <c:v>45542</c:v>
                </c:pt>
                <c:pt idx="508">
                  <c:v>45543</c:v>
                </c:pt>
                <c:pt idx="509">
                  <c:v>45544</c:v>
                </c:pt>
                <c:pt idx="510">
                  <c:v>45545</c:v>
                </c:pt>
                <c:pt idx="511">
                  <c:v>45546</c:v>
                </c:pt>
                <c:pt idx="512">
                  <c:v>45547</c:v>
                </c:pt>
                <c:pt idx="513">
                  <c:v>45548</c:v>
                </c:pt>
                <c:pt idx="514">
                  <c:v>45549</c:v>
                </c:pt>
                <c:pt idx="515">
                  <c:v>45550</c:v>
                </c:pt>
                <c:pt idx="516">
                  <c:v>45551</c:v>
                </c:pt>
                <c:pt idx="517">
                  <c:v>45552</c:v>
                </c:pt>
                <c:pt idx="518">
                  <c:v>45553</c:v>
                </c:pt>
                <c:pt idx="519">
                  <c:v>45554</c:v>
                </c:pt>
                <c:pt idx="520">
                  <c:v>45555</c:v>
                </c:pt>
                <c:pt idx="521">
                  <c:v>45556</c:v>
                </c:pt>
                <c:pt idx="522">
                  <c:v>45557</c:v>
                </c:pt>
                <c:pt idx="523">
                  <c:v>45558</c:v>
                </c:pt>
                <c:pt idx="524">
                  <c:v>45559</c:v>
                </c:pt>
                <c:pt idx="525">
                  <c:v>45560</c:v>
                </c:pt>
                <c:pt idx="526">
                  <c:v>45561</c:v>
                </c:pt>
                <c:pt idx="527">
                  <c:v>45562</c:v>
                </c:pt>
                <c:pt idx="528">
                  <c:v>45563</c:v>
                </c:pt>
                <c:pt idx="529">
                  <c:v>45564</c:v>
                </c:pt>
                <c:pt idx="530">
                  <c:v>45565</c:v>
                </c:pt>
                <c:pt idx="531">
                  <c:v>45566</c:v>
                </c:pt>
                <c:pt idx="532">
                  <c:v>45567</c:v>
                </c:pt>
                <c:pt idx="533">
                  <c:v>45568</c:v>
                </c:pt>
                <c:pt idx="534">
                  <c:v>45569</c:v>
                </c:pt>
                <c:pt idx="535">
                  <c:v>45570</c:v>
                </c:pt>
                <c:pt idx="536">
                  <c:v>45571</c:v>
                </c:pt>
                <c:pt idx="537">
                  <c:v>45572</c:v>
                </c:pt>
                <c:pt idx="538">
                  <c:v>45573</c:v>
                </c:pt>
                <c:pt idx="539">
                  <c:v>45574</c:v>
                </c:pt>
                <c:pt idx="540">
                  <c:v>45575</c:v>
                </c:pt>
                <c:pt idx="541">
                  <c:v>45576</c:v>
                </c:pt>
                <c:pt idx="542">
                  <c:v>45577</c:v>
                </c:pt>
                <c:pt idx="543">
                  <c:v>45578</c:v>
                </c:pt>
                <c:pt idx="544">
                  <c:v>45579</c:v>
                </c:pt>
                <c:pt idx="545">
                  <c:v>45580</c:v>
                </c:pt>
                <c:pt idx="546">
                  <c:v>45581</c:v>
                </c:pt>
                <c:pt idx="547">
                  <c:v>45582</c:v>
                </c:pt>
                <c:pt idx="548">
                  <c:v>45583</c:v>
                </c:pt>
                <c:pt idx="549">
                  <c:v>45584</c:v>
                </c:pt>
                <c:pt idx="550">
                  <c:v>45585</c:v>
                </c:pt>
                <c:pt idx="551">
                  <c:v>45586</c:v>
                </c:pt>
                <c:pt idx="552">
                  <c:v>45587</c:v>
                </c:pt>
                <c:pt idx="553">
                  <c:v>45588</c:v>
                </c:pt>
                <c:pt idx="554">
                  <c:v>45589</c:v>
                </c:pt>
                <c:pt idx="555">
                  <c:v>45590</c:v>
                </c:pt>
                <c:pt idx="556">
                  <c:v>45591</c:v>
                </c:pt>
                <c:pt idx="557">
                  <c:v>45592</c:v>
                </c:pt>
                <c:pt idx="558">
                  <c:v>45593</c:v>
                </c:pt>
                <c:pt idx="559">
                  <c:v>45594</c:v>
                </c:pt>
                <c:pt idx="560">
                  <c:v>45595</c:v>
                </c:pt>
                <c:pt idx="561">
                  <c:v>45596</c:v>
                </c:pt>
                <c:pt idx="562">
                  <c:v>45597</c:v>
                </c:pt>
                <c:pt idx="563">
                  <c:v>45598</c:v>
                </c:pt>
                <c:pt idx="564">
                  <c:v>45599</c:v>
                </c:pt>
                <c:pt idx="565">
                  <c:v>45600</c:v>
                </c:pt>
                <c:pt idx="566">
                  <c:v>45601</c:v>
                </c:pt>
                <c:pt idx="567">
                  <c:v>45602</c:v>
                </c:pt>
                <c:pt idx="568">
                  <c:v>45603</c:v>
                </c:pt>
                <c:pt idx="569">
                  <c:v>45604</c:v>
                </c:pt>
                <c:pt idx="570">
                  <c:v>45605</c:v>
                </c:pt>
                <c:pt idx="571">
                  <c:v>45606</c:v>
                </c:pt>
                <c:pt idx="572">
                  <c:v>45607</c:v>
                </c:pt>
                <c:pt idx="573">
                  <c:v>45608</c:v>
                </c:pt>
                <c:pt idx="574">
                  <c:v>45609</c:v>
                </c:pt>
                <c:pt idx="575">
                  <c:v>45610</c:v>
                </c:pt>
                <c:pt idx="576">
                  <c:v>45611</c:v>
                </c:pt>
                <c:pt idx="577">
                  <c:v>45612</c:v>
                </c:pt>
                <c:pt idx="578">
                  <c:v>45613</c:v>
                </c:pt>
                <c:pt idx="579">
                  <c:v>45614</c:v>
                </c:pt>
                <c:pt idx="580">
                  <c:v>45615</c:v>
                </c:pt>
                <c:pt idx="581">
                  <c:v>45616</c:v>
                </c:pt>
                <c:pt idx="582">
                  <c:v>45617</c:v>
                </c:pt>
                <c:pt idx="583">
                  <c:v>45618</c:v>
                </c:pt>
                <c:pt idx="584">
                  <c:v>45619</c:v>
                </c:pt>
                <c:pt idx="585">
                  <c:v>45620</c:v>
                </c:pt>
                <c:pt idx="586">
                  <c:v>45621</c:v>
                </c:pt>
                <c:pt idx="587">
                  <c:v>45622</c:v>
                </c:pt>
                <c:pt idx="588">
                  <c:v>45623</c:v>
                </c:pt>
                <c:pt idx="589">
                  <c:v>45624</c:v>
                </c:pt>
                <c:pt idx="590">
                  <c:v>45625</c:v>
                </c:pt>
                <c:pt idx="591">
                  <c:v>45626</c:v>
                </c:pt>
                <c:pt idx="592">
                  <c:v>45627</c:v>
                </c:pt>
                <c:pt idx="593">
                  <c:v>45628</c:v>
                </c:pt>
                <c:pt idx="594">
                  <c:v>45629</c:v>
                </c:pt>
                <c:pt idx="595">
                  <c:v>45630</c:v>
                </c:pt>
                <c:pt idx="596">
                  <c:v>45631</c:v>
                </c:pt>
                <c:pt idx="597">
                  <c:v>45632</c:v>
                </c:pt>
                <c:pt idx="598">
                  <c:v>45633</c:v>
                </c:pt>
                <c:pt idx="599">
                  <c:v>45634</c:v>
                </c:pt>
                <c:pt idx="600">
                  <c:v>45635</c:v>
                </c:pt>
                <c:pt idx="601">
                  <c:v>45636</c:v>
                </c:pt>
                <c:pt idx="602">
                  <c:v>45637</c:v>
                </c:pt>
                <c:pt idx="603">
                  <c:v>45638</c:v>
                </c:pt>
                <c:pt idx="604">
                  <c:v>45639</c:v>
                </c:pt>
                <c:pt idx="605">
                  <c:v>45640</c:v>
                </c:pt>
                <c:pt idx="606">
                  <c:v>45641</c:v>
                </c:pt>
                <c:pt idx="607">
                  <c:v>45642</c:v>
                </c:pt>
                <c:pt idx="608">
                  <c:v>45643</c:v>
                </c:pt>
                <c:pt idx="609">
                  <c:v>45644</c:v>
                </c:pt>
                <c:pt idx="610">
                  <c:v>45645</c:v>
                </c:pt>
                <c:pt idx="611">
                  <c:v>45646</c:v>
                </c:pt>
                <c:pt idx="612">
                  <c:v>45647</c:v>
                </c:pt>
                <c:pt idx="613">
                  <c:v>45648</c:v>
                </c:pt>
                <c:pt idx="614">
                  <c:v>45649</c:v>
                </c:pt>
                <c:pt idx="615">
                  <c:v>45650</c:v>
                </c:pt>
                <c:pt idx="616">
                  <c:v>45651</c:v>
                </c:pt>
                <c:pt idx="617">
                  <c:v>45652</c:v>
                </c:pt>
                <c:pt idx="618">
                  <c:v>45653</c:v>
                </c:pt>
                <c:pt idx="619">
                  <c:v>45654</c:v>
                </c:pt>
                <c:pt idx="620">
                  <c:v>45655</c:v>
                </c:pt>
                <c:pt idx="621">
                  <c:v>45656</c:v>
                </c:pt>
                <c:pt idx="622">
                  <c:v>45657</c:v>
                </c:pt>
                <c:pt idx="623">
                  <c:v>45658</c:v>
                </c:pt>
                <c:pt idx="624">
                  <c:v>45659</c:v>
                </c:pt>
                <c:pt idx="625">
                  <c:v>45660</c:v>
                </c:pt>
                <c:pt idx="626">
                  <c:v>45661</c:v>
                </c:pt>
                <c:pt idx="627">
                  <c:v>45662</c:v>
                </c:pt>
                <c:pt idx="628">
                  <c:v>45663</c:v>
                </c:pt>
                <c:pt idx="629">
                  <c:v>45664</c:v>
                </c:pt>
                <c:pt idx="630">
                  <c:v>45665</c:v>
                </c:pt>
                <c:pt idx="631">
                  <c:v>45666</c:v>
                </c:pt>
                <c:pt idx="632">
                  <c:v>45667</c:v>
                </c:pt>
                <c:pt idx="633">
                  <c:v>45668</c:v>
                </c:pt>
                <c:pt idx="634">
                  <c:v>45669</c:v>
                </c:pt>
                <c:pt idx="635">
                  <c:v>45670</c:v>
                </c:pt>
                <c:pt idx="636">
                  <c:v>45671</c:v>
                </c:pt>
                <c:pt idx="637">
                  <c:v>45672</c:v>
                </c:pt>
                <c:pt idx="638">
                  <c:v>45673</c:v>
                </c:pt>
                <c:pt idx="639">
                  <c:v>45674</c:v>
                </c:pt>
                <c:pt idx="640">
                  <c:v>45675</c:v>
                </c:pt>
                <c:pt idx="641">
                  <c:v>45676</c:v>
                </c:pt>
                <c:pt idx="642">
                  <c:v>45677</c:v>
                </c:pt>
                <c:pt idx="643">
                  <c:v>45678</c:v>
                </c:pt>
                <c:pt idx="644">
                  <c:v>45679</c:v>
                </c:pt>
                <c:pt idx="645">
                  <c:v>45680</c:v>
                </c:pt>
                <c:pt idx="646">
                  <c:v>45681</c:v>
                </c:pt>
                <c:pt idx="647">
                  <c:v>45682</c:v>
                </c:pt>
                <c:pt idx="648">
                  <c:v>45683</c:v>
                </c:pt>
                <c:pt idx="649">
                  <c:v>45684</c:v>
                </c:pt>
                <c:pt idx="650">
                  <c:v>45685</c:v>
                </c:pt>
                <c:pt idx="651">
                  <c:v>45686</c:v>
                </c:pt>
                <c:pt idx="652">
                  <c:v>45687</c:v>
                </c:pt>
                <c:pt idx="653">
                  <c:v>45688</c:v>
                </c:pt>
                <c:pt idx="654">
                  <c:v>45689</c:v>
                </c:pt>
                <c:pt idx="655">
                  <c:v>45690</c:v>
                </c:pt>
                <c:pt idx="656">
                  <c:v>45691</c:v>
                </c:pt>
                <c:pt idx="657">
                  <c:v>45692</c:v>
                </c:pt>
                <c:pt idx="658">
                  <c:v>45693</c:v>
                </c:pt>
                <c:pt idx="659">
                  <c:v>45694</c:v>
                </c:pt>
                <c:pt idx="660">
                  <c:v>45695</c:v>
                </c:pt>
                <c:pt idx="661">
                  <c:v>45696</c:v>
                </c:pt>
                <c:pt idx="662">
                  <c:v>45697</c:v>
                </c:pt>
                <c:pt idx="663">
                  <c:v>45698</c:v>
                </c:pt>
                <c:pt idx="664">
                  <c:v>45699</c:v>
                </c:pt>
                <c:pt idx="665">
                  <c:v>45700</c:v>
                </c:pt>
                <c:pt idx="666">
                  <c:v>45701</c:v>
                </c:pt>
                <c:pt idx="667">
                  <c:v>45702</c:v>
                </c:pt>
                <c:pt idx="668">
                  <c:v>45703</c:v>
                </c:pt>
                <c:pt idx="669">
                  <c:v>45704</c:v>
                </c:pt>
                <c:pt idx="670">
                  <c:v>45705</c:v>
                </c:pt>
                <c:pt idx="671">
                  <c:v>45706</c:v>
                </c:pt>
                <c:pt idx="672">
                  <c:v>45707</c:v>
                </c:pt>
                <c:pt idx="673">
                  <c:v>45708</c:v>
                </c:pt>
                <c:pt idx="674">
                  <c:v>45709</c:v>
                </c:pt>
                <c:pt idx="675">
                  <c:v>45710</c:v>
                </c:pt>
                <c:pt idx="676">
                  <c:v>45711</c:v>
                </c:pt>
                <c:pt idx="677">
                  <c:v>45712</c:v>
                </c:pt>
                <c:pt idx="678">
                  <c:v>45713</c:v>
                </c:pt>
                <c:pt idx="679">
                  <c:v>45714</c:v>
                </c:pt>
                <c:pt idx="680">
                  <c:v>45715</c:v>
                </c:pt>
                <c:pt idx="681">
                  <c:v>45716</c:v>
                </c:pt>
                <c:pt idx="682">
                  <c:v>45717</c:v>
                </c:pt>
                <c:pt idx="683">
                  <c:v>45718</c:v>
                </c:pt>
                <c:pt idx="684">
                  <c:v>45719</c:v>
                </c:pt>
                <c:pt idx="685">
                  <c:v>45720</c:v>
                </c:pt>
                <c:pt idx="686">
                  <c:v>45721</c:v>
                </c:pt>
                <c:pt idx="687">
                  <c:v>45722</c:v>
                </c:pt>
                <c:pt idx="688">
                  <c:v>45723</c:v>
                </c:pt>
                <c:pt idx="689">
                  <c:v>45724</c:v>
                </c:pt>
                <c:pt idx="690">
                  <c:v>45725</c:v>
                </c:pt>
                <c:pt idx="691">
                  <c:v>45726</c:v>
                </c:pt>
                <c:pt idx="692">
                  <c:v>45727</c:v>
                </c:pt>
                <c:pt idx="693">
                  <c:v>45728</c:v>
                </c:pt>
                <c:pt idx="694">
                  <c:v>45729</c:v>
                </c:pt>
                <c:pt idx="695">
                  <c:v>45730</c:v>
                </c:pt>
                <c:pt idx="696">
                  <c:v>45731</c:v>
                </c:pt>
                <c:pt idx="697">
                  <c:v>45732</c:v>
                </c:pt>
                <c:pt idx="698">
                  <c:v>45733</c:v>
                </c:pt>
                <c:pt idx="699">
                  <c:v>45734</c:v>
                </c:pt>
                <c:pt idx="700">
                  <c:v>45735</c:v>
                </c:pt>
                <c:pt idx="701">
                  <c:v>45736</c:v>
                </c:pt>
                <c:pt idx="702">
                  <c:v>45737</c:v>
                </c:pt>
                <c:pt idx="703">
                  <c:v>45738</c:v>
                </c:pt>
                <c:pt idx="704">
                  <c:v>45739</c:v>
                </c:pt>
                <c:pt idx="705">
                  <c:v>45740</c:v>
                </c:pt>
                <c:pt idx="706">
                  <c:v>45741</c:v>
                </c:pt>
                <c:pt idx="707">
                  <c:v>45742</c:v>
                </c:pt>
                <c:pt idx="708">
                  <c:v>45743</c:v>
                </c:pt>
                <c:pt idx="709">
                  <c:v>45744</c:v>
                </c:pt>
                <c:pt idx="710">
                  <c:v>45745</c:v>
                </c:pt>
                <c:pt idx="711">
                  <c:v>45746</c:v>
                </c:pt>
                <c:pt idx="712">
                  <c:v>45747</c:v>
                </c:pt>
                <c:pt idx="713">
                  <c:v>45748</c:v>
                </c:pt>
                <c:pt idx="714">
                  <c:v>45749</c:v>
                </c:pt>
                <c:pt idx="715">
                  <c:v>45750</c:v>
                </c:pt>
                <c:pt idx="716">
                  <c:v>45751</c:v>
                </c:pt>
                <c:pt idx="717">
                  <c:v>45752</c:v>
                </c:pt>
                <c:pt idx="718">
                  <c:v>45753</c:v>
                </c:pt>
                <c:pt idx="719">
                  <c:v>45754</c:v>
                </c:pt>
                <c:pt idx="720">
                  <c:v>45755</c:v>
                </c:pt>
                <c:pt idx="721">
                  <c:v>45756</c:v>
                </c:pt>
                <c:pt idx="722">
                  <c:v>45757</c:v>
                </c:pt>
                <c:pt idx="723">
                  <c:v>45758</c:v>
                </c:pt>
                <c:pt idx="724">
                  <c:v>45759</c:v>
                </c:pt>
                <c:pt idx="725">
                  <c:v>45760</c:v>
                </c:pt>
                <c:pt idx="726">
                  <c:v>45761</c:v>
                </c:pt>
                <c:pt idx="727">
                  <c:v>45762</c:v>
                </c:pt>
                <c:pt idx="728">
                  <c:v>45763</c:v>
                </c:pt>
                <c:pt idx="729">
                  <c:v>45764</c:v>
                </c:pt>
                <c:pt idx="730">
                  <c:v>45765</c:v>
                </c:pt>
                <c:pt idx="731">
                  <c:v>45766</c:v>
                </c:pt>
                <c:pt idx="732">
                  <c:v>45767</c:v>
                </c:pt>
                <c:pt idx="733">
                  <c:v>45768</c:v>
                </c:pt>
                <c:pt idx="734">
                  <c:v>45769</c:v>
                </c:pt>
                <c:pt idx="735">
                  <c:v>45770</c:v>
                </c:pt>
                <c:pt idx="736">
                  <c:v>45771</c:v>
                </c:pt>
                <c:pt idx="737">
                  <c:v>45772</c:v>
                </c:pt>
                <c:pt idx="738">
                  <c:v>45773</c:v>
                </c:pt>
                <c:pt idx="739">
                  <c:v>45774</c:v>
                </c:pt>
                <c:pt idx="740">
                  <c:v>45775</c:v>
                </c:pt>
                <c:pt idx="741">
                  <c:v>45776</c:v>
                </c:pt>
                <c:pt idx="742">
                  <c:v>45777</c:v>
                </c:pt>
                <c:pt idx="743">
                  <c:v>45778</c:v>
                </c:pt>
                <c:pt idx="744">
                  <c:v>45779</c:v>
                </c:pt>
                <c:pt idx="745">
                  <c:v>45780</c:v>
                </c:pt>
                <c:pt idx="746">
                  <c:v>45781</c:v>
                </c:pt>
                <c:pt idx="747">
                  <c:v>45782</c:v>
                </c:pt>
                <c:pt idx="748">
                  <c:v>45783</c:v>
                </c:pt>
                <c:pt idx="749">
                  <c:v>45784</c:v>
                </c:pt>
                <c:pt idx="750">
                  <c:v>45785</c:v>
                </c:pt>
                <c:pt idx="751">
                  <c:v>45786</c:v>
                </c:pt>
                <c:pt idx="752">
                  <c:v>45787</c:v>
                </c:pt>
                <c:pt idx="753">
                  <c:v>45788</c:v>
                </c:pt>
                <c:pt idx="754">
                  <c:v>45789</c:v>
                </c:pt>
                <c:pt idx="755">
                  <c:v>45790</c:v>
                </c:pt>
                <c:pt idx="756">
                  <c:v>45791</c:v>
                </c:pt>
                <c:pt idx="757">
                  <c:v>45792</c:v>
                </c:pt>
                <c:pt idx="758">
                  <c:v>45793</c:v>
                </c:pt>
                <c:pt idx="759">
                  <c:v>45794</c:v>
                </c:pt>
                <c:pt idx="760">
                  <c:v>45795</c:v>
                </c:pt>
                <c:pt idx="761">
                  <c:v>45796</c:v>
                </c:pt>
                <c:pt idx="762">
                  <c:v>45797</c:v>
                </c:pt>
                <c:pt idx="763">
                  <c:v>45798</c:v>
                </c:pt>
                <c:pt idx="764">
                  <c:v>45799</c:v>
                </c:pt>
                <c:pt idx="765">
                  <c:v>45800</c:v>
                </c:pt>
                <c:pt idx="766">
                  <c:v>45801</c:v>
                </c:pt>
                <c:pt idx="767">
                  <c:v>45802</c:v>
                </c:pt>
                <c:pt idx="768">
                  <c:v>45803</c:v>
                </c:pt>
                <c:pt idx="769">
                  <c:v>45804</c:v>
                </c:pt>
                <c:pt idx="770">
                  <c:v>45805</c:v>
                </c:pt>
                <c:pt idx="771">
                  <c:v>45806</c:v>
                </c:pt>
                <c:pt idx="772">
                  <c:v>45807</c:v>
                </c:pt>
                <c:pt idx="773">
                  <c:v>45808</c:v>
                </c:pt>
                <c:pt idx="774">
                  <c:v>45809</c:v>
                </c:pt>
                <c:pt idx="775">
                  <c:v>45810</c:v>
                </c:pt>
                <c:pt idx="776">
                  <c:v>45811</c:v>
                </c:pt>
                <c:pt idx="777">
                  <c:v>45812</c:v>
                </c:pt>
                <c:pt idx="778">
                  <c:v>45813</c:v>
                </c:pt>
                <c:pt idx="779">
                  <c:v>45814</c:v>
                </c:pt>
                <c:pt idx="780">
                  <c:v>45815</c:v>
                </c:pt>
                <c:pt idx="781">
                  <c:v>45816</c:v>
                </c:pt>
                <c:pt idx="782">
                  <c:v>45817</c:v>
                </c:pt>
                <c:pt idx="783">
                  <c:v>45818</c:v>
                </c:pt>
                <c:pt idx="784">
                  <c:v>45819</c:v>
                </c:pt>
                <c:pt idx="785">
                  <c:v>45820</c:v>
                </c:pt>
                <c:pt idx="786">
                  <c:v>45821</c:v>
                </c:pt>
                <c:pt idx="787">
                  <c:v>45822</c:v>
                </c:pt>
                <c:pt idx="788">
                  <c:v>45823</c:v>
                </c:pt>
                <c:pt idx="789">
                  <c:v>45824</c:v>
                </c:pt>
                <c:pt idx="790">
                  <c:v>45825</c:v>
                </c:pt>
                <c:pt idx="791">
                  <c:v>45826</c:v>
                </c:pt>
                <c:pt idx="792">
                  <c:v>45827</c:v>
                </c:pt>
                <c:pt idx="793">
                  <c:v>45828</c:v>
                </c:pt>
                <c:pt idx="794">
                  <c:v>45829</c:v>
                </c:pt>
                <c:pt idx="795">
                  <c:v>45830</c:v>
                </c:pt>
                <c:pt idx="796">
                  <c:v>45831</c:v>
                </c:pt>
                <c:pt idx="797">
                  <c:v>45832</c:v>
                </c:pt>
                <c:pt idx="798">
                  <c:v>45833</c:v>
                </c:pt>
                <c:pt idx="799">
                  <c:v>45834</c:v>
                </c:pt>
                <c:pt idx="800">
                  <c:v>45835</c:v>
                </c:pt>
                <c:pt idx="801">
                  <c:v>45836</c:v>
                </c:pt>
                <c:pt idx="802">
                  <c:v>45837</c:v>
                </c:pt>
                <c:pt idx="803">
                  <c:v>45838</c:v>
                </c:pt>
                <c:pt idx="804">
                  <c:v>45839</c:v>
                </c:pt>
                <c:pt idx="805">
                  <c:v>45840</c:v>
                </c:pt>
                <c:pt idx="806">
                  <c:v>45841</c:v>
                </c:pt>
                <c:pt idx="807">
                  <c:v>45842</c:v>
                </c:pt>
                <c:pt idx="808">
                  <c:v>45843</c:v>
                </c:pt>
                <c:pt idx="809">
                  <c:v>45844</c:v>
                </c:pt>
                <c:pt idx="810">
                  <c:v>45845</c:v>
                </c:pt>
                <c:pt idx="811">
                  <c:v>45846</c:v>
                </c:pt>
                <c:pt idx="812">
                  <c:v>45847</c:v>
                </c:pt>
                <c:pt idx="813">
                  <c:v>45848</c:v>
                </c:pt>
                <c:pt idx="814">
                  <c:v>45849</c:v>
                </c:pt>
                <c:pt idx="815">
                  <c:v>45850</c:v>
                </c:pt>
                <c:pt idx="816">
                  <c:v>45851</c:v>
                </c:pt>
                <c:pt idx="817">
                  <c:v>45852</c:v>
                </c:pt>
                <c:pt idx="818">
                  <c:v>45853</c:v>
                </c:pt>
                <c:pt idx="819">
                  <c:v>45854</c:v>
                </c:pt>
                <c:pt idx="820">
                  <c:v>45855</c:v>
                </c:pt>
                <c:pt idx="821">
                  <c:v>45856</c:v>
                </c:pt>
                <c:pt idx="822">
                  <c:v>45857</c:v>
                </c:pt>
                <c:pt idx="823">
                  <c:v>45858</c:v>
                </c:pt>
                <c:pt idx="824">
                  <c:v>45859</c:v>
                </c:pt>
                <c:pt idx="825">
                  <c:v>45860</c:v>
                </c:pt>
                <c:pt idx="826">
                  <c:v>45861</c:v>
                </c:pt>
                <c:pt idx="827">
                  <c:v>45862</c:v>
                </c:pt>
                <c:pt idx="828">
                  <c:v>45863</c:v>
                </c:pt>
                <c:pt idx="829">
                  <c:v>45864</c:v>
                </c:pt>
                <c:pt idx="830">
                  <c:v>45865</c:v>
                </c:pt>
                <c:pt idx="831">
                  <c:v>45866</c:v>
                </c:pt>
                <c:pt idx="832">
                  <c:v>45867</c:v>
                </c:pt>
                <c:pt idx="833">
                  <c:v>45868</c:v>
                </c:pt>
                <c:pt idx="834">
                  <c:v>45869</c:v>
                </c:pt>
                <c:pt idx="835">
                  <c:v>45870</c:v>
                </c:pt>
                <c:pt idx="836">
                  <c:v>45871</c:v>
                </c:pt>
                <c:pt idx="837">
                  <c:v>45872</c:v>
                </c:pt>
                <c:pt idx="838">
                  <c:v>45873</c:v>
                </c:pt>
                <c:pt idx="839">
                  <c:v>45874</c:v>
                </c:pt>
                <c:pt idx="840">
                  <c:v>45875</c:v>
                </c:pt>
                <c:pt idx="841">
                  <c:v>45876</c:v>
                </c:pt>
                <c:pt idx="842">
                  <c:v>45877</c:v>
                </c:pt>
                <c:pt idx="843">
                  <c:v>45878</c:v>
                </c:pt>
                <c:pt idx="844">
                  <c:v>45879</c:v>
                </c:pt>
                <c:pt idx="845">
                  <c:v>45880</c:v>
                </c:pt>
                <c:pt idx="846">
                  <c:v>45881</c:v>
                </c:pt>
                <c:pt idx="847">
                  <c:v>45882</c:v>
                </c:pt>
                <c:pt idx="848">
                  <c:v>45883</c:v>
                </c:pt>
                <c:pt idx="849">
                  <c:v>45884</c:v>
                </c:pt>
                <c:pt idx="850">
                  <c:v>45885</c:v>
                </c:pt>
                <c:pt idx="851">
                  <c:v>45886</c:v>
                </c:pt>
                <c:pt idx="852">
                  <c:v>45887</c:v>
                </c:pt>
                <c:pt idx="853">
                  <c:v>45888</c:v>
                </c:pt>
                <c:pt idx="854">
                  <c:v>45889</c:v>
                </c:pt>
                <c:pt idx="855">
                  <c:v>45890</c:v>
                </c:pt>
                <c:pt idx="856">
                  <c:v>45891</c:v>
                </c:pt>
                <c:pt idx="857">
                  <c:v>45892</c:v>
                </c:pt>
                <c:pt idx="858">
                  <c:v>45893</c:v>
                </c:pt>
                <c:pt idx="859">
                  <c:v>45894</c:v>
                </c:pt>
                <c:pt idx="860">
                  <c:v>45895</c:v>
                </c:pt>
                <c:pt idx="861">
                  <c:v>45896</c:v>
                </c:pt>
                <c:pt idx="862">
                  <c:v>45897</c:v>
                </c:pt>
                <c:pt idx="863">
                  <c:v>45898</c:v>
                </c:pt>
                <c:pt idx="864">
                  <c:v>45899</c:v>
                </c:pt>
                <c:pt idx="865">
                  <c:v>45900</c:v>
                </c:pt>
                <c:pt idx="866">
                  <c:v>45901</c:v>
                </c:pt>
                <c:pt idx="867">
                  <c:v>45902</c:v>
                </c:pt>
                <c:pt idx="868">
                  <c:v>45903</c:v>
                </c:pt>
                <c:pt idx="869">
                  <c:v>45904</c:v>
                </c:pt>
                <c:pt idx="870">
                  <c:v>45905</c:v>
                </c:pt>
                <c:pt idx="871">
                  <c:v>45906</c:v>
                </c:pt>
                <c:pt idx="872">
                  <c:v>45907</c:v>
                </c:pt>
                <c:pt idx="873">
                  <c:v>45908</c:v>
                </c:pt>
                <c:pt idx="874">
                  <c:v>45909</c:v>
                </c:pt>
                <c:pt idx="875">
                  <c:v>45910</c:v>
                </c:pt>
                <c:pt idx="876">
                  <c:v>45911</c:v>
                </c:pt>
                <c:pt idx="877">
                  <c:v>45912</c:v>
                </c:pt>
                <c:pt idx="878">
                  <c:v>45913</c:v>
                </c:pt>
                <c:pt idx="879">
                  <c:v>45914</c:v>
                </c:pt>
                <c:pt idx="880">
                  <c:v>45915</c:v>
                </c:pt>
                <c:pt idx="881">
                  <c:v>45916</c:v>
                </c:pt>
                <c:pt idx="882">
                  <c:v>45917</c:v>
                </c:pt>
                <c:pt idx="883">
                  <c:v>45918</c:v>
                </c:pt>
                <c:pt idx="884">
                  <c:v>45919</c:v>
                </c:pt>
                <c:pt idx="885">
                  <c:v>45920</c:v>
                </c:pt>
                <c:pt idx="886">
                  <c:v>45921</c:v>
                </c:pt>
                <c:pt idx="887">
                  <c:v>45922</c:v>
                </c:pt>
                <c:pt idx="888">
                  <c:v>45923</c:v>
                </c:pt>
                <c:pt idx="889">
                  <c:v>45924</c:v>
                </c:pt>
                <c:pt idx="890">
                  <c:v>45925</c:v>
                </c:pt>
                <c:pt idx="891">
                  <c:v>45926</c:v>
                </c:pt>
                <c:pt idx="892">
                  <c:v>45927</c:v>
                </c:pt>
                <c:pt idx="893">
                  <c:v>45928</c:v>
                </c:pt>
                <c:pt idx="894">
                  <c:v>45929</c:v>
                </c:pt>
                <c:pt idx="895">
                  <c:v>45930</c:v>
                </c:pt>
                <c:pt idx="896">
                  <c:v>45931</c:v>
                </c:pt>
                <c:pt idx="897">
                  <c:v>45932</c:v>
                </c:pt>
                <c:pt idx="898">
                  <c:v>45933</c:v>
                </c:pt>
                <c:pt idx="899">
                  <c:v>45934</c:v>
                </c:pt>
                <c:pt idx="900">
                  <c:v>45935</c:v>
                </c:pt>
                <c:pt idx="901">
                  <c:v>45936</c:v>
                </c:pt>
                <c:pt idx="902">
                  <c:v>45937</c:v>
                </c:pt>
                <c:pt idx="903">
                  <c:v>45938</c:v>
                </c:pt>
                <c:pt idx="904">
                  <c:v>45939</c:v>
                </c:pt>
                <c:pt idx="905">
                  <c:v>45940</c:v>
                </c:pt>
                <c:pt idx="906">
                  <c:v>45941</c:v>
                </c:pt>
                <c:pt idx="907">
                  <c:v>45942</c:v>
                </c:pt>
                <c:pt idx="908">
                  <c:v>45943</c:v>
                </c:pt>
                <c:pt idx="909">
                  <c:v>45944</c:v>
                </c:pt>
                <c:pt idx="910">
                  <c:v>45945</c:v>
                </c:pt>
                <c:pt idx="911">
                  <c:v>45946</c:v>
                </c:pt>
                <c:pt idx="912">
                  <c:v>45947</c:v>
                </c:pt>
                <c:pt idx="913">
                  <c:v>45948</c:v>
                </c:pt>
                <c:pt idx="914">
                  <c:v>45949</c:v>
                </c:pt>
                <c:pt idx="915">
                  <c:v>45950</c:v>
                </c:pt>
                <c:pt idx="916">
                  <c:v>45951</c:v>
                </c:pt>
                <c:pt idx="917">
                  <c:v>45952</c:v>
                </c:pt>
                <c:pt idx="918">
                  <c:v>45953</c:v>
                </c:pt>
                <c:pt idx="919">
                  <c:v>45954</c:v>
                </c:pt>
                <c:pt idx="920">
                  <c:v>45955</c:v>
                </c:pt>
                <c:pt idx="921">
                  <c:v>45956</c:v>
                </c:pt>
                <c:pt idx="922">
                  <c:v>45957</c:v>
                </c:pt>
                <c:pt idx="923">
                  <c:v>45958</c:v>
                </c:pt>
                <c:pt idx="924">
                  <c:v>45959</c:v>
                </c:pt>
                <c:pt idx="925">
                  <c:v>45960</c:v>
                </c:pt>
                <c:pt idx="926">
                  <c:v>45961</c:v>
                </c:pt>
                <c:pt idx="927">
                  <c:v>45962</c:v>
                </c:pt>
                <c:pt idx="928">
                  <c:v>45963</c:v>
                </c:pt>
                <c:pt idx="929">
                  <c:v>45964</c:v>
                </c:pt>
                <c:pt idx="930">
                  <c:v>45965</c:v>
                </c:pt>
                <c:pt idx="931">
                  <c:v>45966</c:v>
                </c:pt>
                <c:pt idx="932">
                  <c:v>45967</c:v>
                </c:pt>
                <c:pt idx="933">
                  <c:v>45968</c:v>
                </c:pt>
                <c:pt idx="934">
                  <c:v>45969</c:v>
                </c:pt>
                <c:pt idx="935">
                  <c:v>45970</c:v>
                </c:pt>
                <c:pt idx="936">
                  <c:v>45971</c:v>
                </c:pt>
                <c:pt idx="937">
                  <c:v>45972</c:v>
                </c:pt>
                <c:pt idx="938">
                  <c:v>45973</c:v>
                </c:pt>
                <c:pt idx="939">
                  <c:v>45974</c:v>
                </c:pt>
                <c:pt idx="940">
                  <c:v>45975</c:v>
                </c:pt>
                <c:pt idx="941">
                  <c:v>45976</c:v>
                </c:pt>
                <c:pt idx="942">
                  <c:v>45977</c:v>
                </c:pt>
                <c:pt idx="943">
                  <c:v>45978</c:v>
                </c:pt>
                <c:pt idx="944">
                  <c:v>45979</c:v>
                </c:pt>
                <c:pt idx="945">
                  <c:v>45980</c:v>
                </c:pt>
                <c:pt idx="946">
                  <c:v>45981</c:v>
                </c:pt>
                <c:pt idx="947">
                  <c:v>45982</c:v>
                </c:pt>
                <c:pt idx="948">
                  <c:v>45983</c:v>
                </c:pt>
                <c:pt idx="949">
                  <c:v>45984</c:v>
                </c:pt>
                <c:pt idx="950">
                  <c:v>45985</c:v>
                </c:pt>
                <c:pt idx="951">
                  <c:v>45986</c:v>
                </c:pt>
                <c:pt idx="952">
                  <c:v>45987</c:v>
                </c:pt>
                <c:pt idx="953">
                  <c:v>45988</c:v>
                </c:pt>
                <c:pt idx="954">
                  <c:v>45989</c:v>
                </c:pt>
                <c:pt idx="955">
                  <c:v>45990</c:v>
                </c:pt>
                <c:pt idx="956">
                  <c:v>45991</c:v>
                </c:pt>
                <c:pt idx="957">
                  <c:v>45992</c:v>
                </c:pt>
                <c:pt idx="958">
                  <c:v>45993</c:v>
                </c:pt>
                <c:pt idx="959">
                  <c:v>45994</c:v>
                </c:pt>
                <c:pt idx="960">
                  <c:v>45995</c:v>
                </c:pt>
                <c:pt idx="961">
                  <c:v>45996</c:v>
                </c:pt>
                <c:pt idx="962">
                  <c:v>45997</c:v>
                </c:pt>
                <c:pt idx="963">
                  <c:v>45998</c:v>
                </c:pt>
                <c:pt idx="964">
                  <c:v>45999</c:v>
                </c:pt>
                <c:pt idx="965">
                  <c:v>46000</c:v>
                </c:pt>
                <c:pt idx="966">
                  <c:v>46001</c:v>
                </c:pt>
                <c:pt idx="967">
                  <c:v>46002</c:v>
                </c:pt>
                <c:pt idx="968">
                  <c:v>46003</c:v>
                </c:pt>
                <c:pt idx="969">
                  <c:v>46004</c:v>
                </c:pt>
                <c:pt idx="970">
                  <c:v>46005</c:v>
                </c:pt>
                <c:pt idx="971">
                  <c:v>46006</c:v>
                </c:pt>
                <c:pt idx="972">
                  <c:v>46007</c:v>
                </c:pt>
                <c:pt idx="973">
                  <c:v>46008</c:v>
                </c:pt>
                <c:pt idx="974">
                  <c:v>46009</c:v>
                </c:pt>
                <c:pt idx="975">
                  <c:v>46010</c:v>
                </c:pt>
                <c:pt idx="976">
                  <c:v>46011</c:v>
                </c:pt>
                <c:pt idx="977">
                  <c:v>46012</c:v>
                </c:pt>
                <c:pt idx="978">
                  <c:v>46013</c:v>
                </c:pt>
                <c:pt idx="979">
                  <c:v>46014</c:v>
                </c:pt>
                <c:pt idx="980">
                  <c:v>46015</c:v>
                </c:pt>
                <c:pt idx="981">
                  <c:v>46016</c:v>
                </c:pt>
                <c:pt idx="982">
                  <c:v>46017</c:v>
                </c:pt>
                <c:pt idx="983">
                  <c:v>46018</c:v>
                </c:pt>
                <c:pt idx="984">
                  <c:v>46019</c:v>
                </c:pt>
                <c:pt idx="985">
                  <c:v>46020</c:v>
                </c:pt>
                <c:pt idx="986">
                  <c:v>46021</c:v>
                </c:pt>
                <c:pt idx="987">
                  <c:v>46022</c:v>
                </c:pt>
                <c:pt idx="988">
                  <c:v>46023</c:v>
                </c:pt>
                <c:pt idx="989">
                  <c:v>46024</c:v>
                </c:pt>
                <c:pt idx="990">
                  <c:v>46025</c:v>
                </c:pt>
                <c:pt idx="991">
                  <c:v>46026</c:v>
                </c:pt>
                <c:pt idx="992">
                  <c:v>46027</c:v>
                </c:pt>
                <c:pt idx="993">
                  <c:v>46028</c:v>
                </c:pt>
                <c:pt idx="994">
                  <c:v>46029</c:v>
                </c:pt>
                <c:pt idx="995">
                  <c:v>46030</c:v>
                </c:pt>
                <c:pt idx="996">
                  <c:v>46031</c:v>
                </c:pt>
                <c:pt idx="997">
                  <c:v>46032</c:v>
                </c:pt>
                <c:pt idx="998">
                  <c:v>46033</c:v>
                </c:pt>
                <c:pt idx="999">
                  <c:v>46034</c:v>
                </c:pt>
                <c:pt idx="1000">
                  <c:v>46035</c:v>
                </c:pt>
                <c:pt idx="1001">
                  <c:v>46036</c:v>
                </c:pt>
                <c:pt idx="1002">
                  <c:v>46037</c:v>
                </c:pt>
                <c:pt idx="1003">
                  <c:v>46038</c:v>
                </c:pt>
                <c:pt idx="1004">
                  <c:v>46039</c:v>
                </c:pt>
                <c:pt idx="1005">
                  <c:v>46040</c:v>
                </c:pt>
                <c:pt idx="1006">
                  <c:v>46041</c:v>
                </c:pt>
                <c:pt idx="1007">
                  <c:v>46042</c:v>
                </c:pt>
                <c:pt idx="1008">
                  <c:v>46043</c:v>
                </c:pt>
                <c:pt idx="1009">
                  <c:v>46044</c:v>
                </c:pt>
                <c:pt idx="1010">
                  <c:v>46045</c:v>
                </c:pt>
                <c:pt idx="1011">
                  <c:v>46046</c:v>
                </c:pt>
                <c:pt idx="1012">
                  <c:v>46047</c:v>
                </c:pt>
                <c:pt idx="1013">
                  <c:v>46048</c:v>
                </c:pt>
                <c:pt idx="1014">
                  <c:v>46049</c:v>
                </c:pt>
                <c:pt idx="1015">
                  <c:v>46050</c:v>
                </c:pt>
                <c:pt idx="1016">
                  <c:v>46051</c:v>
                </c:pt>
                <c:pt idx="1017">
                  <c:v>46052</c:v>
                </c:pt>
                <c:pt idx="1018">
                  <c:v>46053</c:v>
                </c:pt>
                <c:pt idx="1019">
                  <c:v>46054</c:v>
                </c:pt>
                <c:pt idx="1020">
                  <c:v>46055</c:v>
                </c:pt>
                <c:pt idx="1021">
                  <c:v>46056</c:v>
                </c:pt>
                <c:pt idx="1022">
                  <c:v>46057</c:v>
                </c:pt>
                <c:pt idx="1023">
                  <c:v>46058</c:v>
                </c:pt>
                <c:pt idx="1024">
                  <c:v>46059</c:v>
                </c:pt>
                <c:pt idx="1025">
                  <c:v>46060</c:v>
                </c:pt>
                <c:pt idx="1026">
                  <c:v>46061</c:v>
                </c:pt>
                <c:pt idx="1027">
                  <c:v>46062</c:v>
                </c:pt>
                <c:pt idx="1028">
                  <c:v>46063</c:v>
                </c:pt>
                <c:pt idx="1029">
                  <c:v>46064</c:v>
                </c:pt>
                <c:pt idx="1030">
                  <c:v>46065</c:v>
                </c:pt>
                <c:pt idx="1031">
                  <c:v>46066</c:v>
                </c:pt>
                <c:pt idx="1032">
                  <c:v>46067</c:v>
                </c:pt>
                <c:pt idx="1033">
                  <c:v>46068</c:v>
                </c:pt>
                <c:pt idx="1034">
                  <c:v>46069</c:v>
                </c:pt>
                <c:pt idx="1035">
                  <c:v>46070</c:v>
                </c:pt>
                <c:pt idx="1036">
                  <c:v>46071</c:v>
                </c:pt>
                <c:pt idx="1037">
                  <c:v>46072</c:v>
                </c:pt>
                <c:pt idx="1038">
                  <c:v>46073</c:v>
                </c:pt>
                <c:pt idx="1039">
                  <c:v>46074</c:v>
                </c:pt>
                <c:pt idx="1040">
                  <c:v>46075</c:v>
                </c:pt>
                <c:pt idx="1041">
                  <c:v>46076</c:v>
                </c:pt>
                <c:pt idx="1042">
                  <c:v>46077</c:v>
                </c:pt>
                <c:pt idx="1043">
                  <c:v>46078</c:v>
                </c:pt>
                <c:pt idx="1044">
                  <c:v>46079</c:v>
                </c:pt>
                <c:pt idx="1045">
                  <c:v>46080</c:v>
                </c:pt>
                <c:pt idx="1046">
                  <c:v>46081</c:v>
                </c:pt>
                <c:pt idx="1047">
                  <c:v>46082</c:v>
                </c:pt>
                <c:pt idx="1048">
                  <c:v>46083</c:v>
                </c:pt>
                <c:pt idx="1049">
                  <c:v>46084</c:v>
                </c:pt>
                <c:pt idx="1050">
                  <c:v>46085</c:v>
                </c:pt>
                <c:pt idx="1051">
                  <c:v>46086</c:v>
                </c:pt>
                <c:pt idx="1052">
                  <c:v>46087</c:v>
                </c:pt>
                <c:pt idx="1053">
                  <c:v>46088</c:v>
                </c:pt>
                <c:pt idx="1054">
                  <c:v>46089</c:v>
                </c:pt>
                <c:pt idx="1055">
                  <c:v>46090</c:v>
                </c:pt>
                <c:pt idx="1056">
                  <c:v>46091</c:v>
                </c:pt>
                <c:pt idx="1057">
                  <c:v>46092</c:v>
                </c:pt>
                <c:pt idx="1058">
                  <c:v>46093</c:v>
                </c:pt>
                <c:pt idx="1059">
                  <c:v>46094</c:v>
                </c:pt>
                <c:pt idx="1060">
                  <c:v>46095</c:v>
                </c:pt>
                <c:pt idx="1061">
                  <c:v>46096</c:v>
                </c:pt>
                <c:pt idx="1062">
                  <c:v>46097</c:v>
                </c:pt>
                <c:pt idx="1063">
                  <c:v>46098</c:v>
                </c:pt>
                <c:pt idx="1064">
                  <c:v>46099</c:v>
                </c:pt>
                <c:pt idx="1065">
                  <c:v>46100</c:v>
                </c:pt>
                <c:pt idx="1066">
                  <c:v>46101</c:v>
                </c:pt>
                <c:pt idx="1067">
                  <c:v>46102</c:v>
                </c:pt>
                <c:pt idx="1068">
                  <c:v>46103</c:v>
                </c:pt>
                <c:pt idx="1069">
                  <c:v>46104</c:v>
                </c:pt>
                <c:pt idx="1070">
                  <c:v>46105</c:v>
                </c:pt>
                <c:pt idx="1071">
                  <c:v>46106</c:v>
                </c:pt>
                <c:pt idx="1072">
                  <c:v>46107</c:v>
                </c:pt>
                <c:pt idx="1073">
                  <c:v>46108</c:v>
                </c:pt>
                <c:pt idx="1074">
                  <c:v>46109</c:v>
                </c:pt>
                <c:pt idx="1075">
                  <c:v>46110</c:v>
                </c:pt>
                <c:pt idx="1076">
                  <c:v>46111</c:v>
                </c:pt>
                <c:pt idx="1077">
                  <c:v>46112</c:v>
                </c:pt>
                <c:pt idx="1078">
                  <c:v>46113</c:v>
                </c:pt>
                <c:pt idx="1079">
                  <c:v>46114</c:v>
                </c:pt>
                <c:pt idx="1080">
                  <c:v>46115</c:v>
                </c:pt>
                <c:pt idx="1081">
                  <c:v>46116</c:v>
                </c:pt>
                <c:pt idx="1082">
                  <c:v>46117</c:v>
                </c:pt>
                <c:pt idx="1083">
                  <c:v>46118</c:v>
                </c:pt>
                <c:pt idx="1084">
                  <c:v>46119</c:v>
                </c:pt>
                <c:pt idx="1085">
                  <c:v>46120</c:v>
                </c:pt>
                <c:pt idx="1086">
                  <c:v>46121</c:v>
                </c:pt>
                <c:pt idx="1087">
                  <c:v>46122</c:v>
                </c:pt>
                <c:pt idx="1088">
                  <c:v>46123</c:v>
                </c:pt>
                <c:pt idx="1089">
                  <c:v>46124</c:v>
                </c:pt>
                <c:pt idx="1090">
                  <c:v>46125</c:v>
                </c:pt>
                <c:pt idx="1091">
                  <c:v>46126</c:v>
                </c:pt>
                <c:pt idx="1092">
                  <c:v>46127</c:v>
                </c:pt>
                <c:pt idx="1093">
                  <c:v>46128</c:v>
                </c:pt>
                <c:pt idx="1094">
                  <c:v>46129</c:v>
                </c:pt>
              </c:numCache>
            </c:numRef>
          </c:cat>
          <c:val>
            <c:numRef>
              <c:f>'DIY Grundmodell'!$X$93:$X$1187</c:f>
              <c:numCache>
                <c:formatCode>#,##0</c:formatCode>
                <c:ptCount val="1095"/>
                <c:pt idx="0">
                  <c:v>4154.5189899999996</c:v>
                </c:pt>
                <c:pt idx="1">
                  <c:v>4129.7923700000001</c:v>
                </c:pt>
                <c:pt idx="2">
                  <c:v>4133.5213199999998</c:v>
                </c:pt>
                <c:pt idx="3">
                  <c:v>4133.5213199999998</c:v>
                </c:pt>
                <c:pt idx="4">
                  <c:v>4133.5213199999998</c:v>
                </c:pt>
                <c:pt idx="5">
                  <c:v>4137.0445900000004</c:v>
                </c:pt>
                <c:pt idx="6">
                  <c:v>4071.6304300000002</c:v>
                </c:pt>
                <c:pt idx="7">
                  <c:v>4055.9877799999999</c:v>
                </c:pt>
                <c:pt idx="8">
                  <c:v>4135.3522300000004</c:v>
                </c:pt>
                <c:pt idx="9">
                  <c:v>4169.4813999999997</c:v>
                </c:pt>
                <c:pt idx="10">
                  <c:v>4169.4813999999997</c:v>
                </c:pt>
                <c:pt idx="11">
                  <c:v>4169.4813999999997</c:v>
                </c:pt>
                <c:pt idx="12">
                  <c:v>4167.8668900000002</c:v>
                </c:pt>
                <c:pt idx="13">
                  <c:v>4119.5804500000004</c:v>
                </c:pt>
                <c:pt idx="14">
                  <c:v>4090.7522199999999</c:v>
                </c:pt>
                <c:pt idx="15">
                  <c:v>4061.2168900000001</c:v>
                </c:pt>
                <c:pt idx="16">
                  <c:v>4136.25335</c:v>
                </c:pt>
                <c:pt idx="17">
                  <c:v>4136.25335</c:v>
                </c:pt>
                <c:pt idx="18">
                  <c:v>4136.25335</c:v>
                </c:pt>
                <c:pt idx="19">
                  <c:v>4138.1229800000001</c:v>
                </c:pt>
                <c:pt idx="20">
                  <c:v>4119.1733700000004</c:v>
                </c:pt>
                <c:pt idx="21">
                  <c:v>4137.6421899999996</c:v>
                </c:pt>
                <c:pt idx="22">
                  <c:v>4130.6212699999996</c:v>
                </c:pt>
                <c:pt idx="23">
                  <c:v>4124.0810199999996</c:v>
                </c:pt>
                <c:pt idx="24">
                  <c:v>4124.0810199999996</c:v>
                </c:pt>
                <c:pt idx="25">
                  <c:v>4124.0810199999996</c:v>
                </c:pt>
                <c:pt idx="26">
                  <c:v>4136.2842099999998</c:v>
                </c:pt>
                <c:pt idx="27">
                  <c:v>4109.8970099999997</c:v>
                </c:pt>
                <c:pt idx="28">
                  <c:v>4158.7707700000001</c:v>
                </c:pt>
                <c:pt idx="29">
                  <c:v>4198.0509499999998</c:v>
                </c:pt>
                <c:pt idx="30">
                  <c:v>4191.9797900000003</c:v>
                </c:pt>
                <c:pt idx="31">
                  <c:v>4191.9797900000003</c:v>
                </c:pt>
                <c:pt idx="32">
                  <c:v>4191.9797900000003</c:v>
                </c:pt>
                <c:pt idx="33">
                  <c:v>4192.6306999999997</c:v>
                </c:pt>
                <c:pt idx="34">
                  <c:v>4145.5751899999996</c:v>
                </c:pt>
                <c:pt idx="35">
                  <c:v>4115.2385700000004</c:v>
                </c:pt>
                <c:pt idx="36">
                  <c:v>4151.2798700000003</c:v>
                </c:pt>
                <c:pt idx="37">
                  <c:v>4205.4525299999996</c:v>
                </c:pt>
                <c:pt idx="38">
                  <c:v>4205.4525299999996</c:v>
                </c:pt>
                <c:pt idx="39">
                  <c:v>4205.4525299999996</c:v>
                </c:pt>
                <c:pt idx="40">
                  <c:v>4205.4525299999996</c:v>
                </c:pt>
                <c:pt idx="41">
                  <c:v>4205.5206900000003</c:v>
                </c:pt>
                <c:pt idx="42">
                  <c:v>4179.82546</c:v>
                </c:pt>
                <c:pt idx="43">
                  <c:v>4221.0202200000003</c:v>
                </c:pt>
                <c:pt idx="44">
                  <c:v>4282.3655699999999</c:v>
                </c:pt>
                <c:pt idx="45">
                  <c:v>4282.3655699999999</c:v>
                </c:pt>
                <c:pt idx="46">
                  <c:v>4282.3655699999999</c:v>
                </c:pt>
                <c:pt idx="47">
                  <c:v>4273.7941899999996</c:v>
                </c:pt>
                <c:pt idx="48">
                  <c:v>4283.8483900000001</c:v>
                </c:pt>
                <c:pt idx="49">
                  <c:v>4267.5184600000002</c:v>
                </c:pt>
                <c:pt idx="50">
                  <c:v>4293.9277700000002</c:v>
                </c:pt>
                <c:pt idx="51">
                  <c:v>4298.8573100000003</c:v>
                </c:pt>
                <c:pt idx="52">
                  <c:v>4298.8573100000003</c:v>
                </c:pt>
                <c:pt idx="53">
                  <c:v>4298.8573100000003</c:v>
                </c:pt>
                <c:pt idx="54">
                  <c:v>4338.93444</c:v>
                </c:pt>
                <c:pt idx="55">
                  <c:v>4369.0063899999996</c:v>
                </c:pt>
                <c:pt idx="56">
                  <c:v>4372.5894399999997</c:v>
                </c:pt>
                <c:pt idx="57">
                  <c:v>4425.8442599999998</c:v>
                </c:pt>
                <c:pt idx="58">
                  <c:v>4409.5943600000001</c:v>
                </c:pt>
                <c:pt idx="59">
                  <c:v>4409.5943600000001</c:v>
                </c:pt>
                <c:pt idx="60">
                  <c:v>4409.5943600000001</c:v>
                </c:pt>
                <c:pt idx="61">
                  <c:v>4409.5943600000001</c:v>
                </c:pt>
                <c:pt idx="62">
                  <c:v>4388.7097599999997</c:v>
                </c:pt>
                <c:pt idx="63">
                  <c:v>4365.6898300000003</c:v>
                </c:pt>
                <c:pt idx="64">
                  <c:v>4381.89048</c:v>
                </c:pt>
                <c:pt idx="65">
                  <c:v>4348.3306700000003</c:v>
                </c:pt>
                <c:pt idx="66">
                  <c:v>4348.3306700000003</c:v>
                </c:pt>
                <c:pt idx="67">
                  <c:v>4348.3306700000003</c:v>
                </c:pt>
                <c:pt idx="68">
                  <c:v>4328.82161</c:v>
                </c:pt>
                <c:pt idx="69">
                  <c:v>4378.4053199999998</c:v>
                </c:pt>
                <c:pt idx="70">
                  <c:v>4376.8637099999996</c:v>
                </c:pt>
                <c:pt idx="71">
                  <c:v>4396.4434199999996</c:v>
                </c:pt>
                <c:pt idx="72">
                  <c:v>4450.3813099999998</c:v>
                </c:pt>
                <c:pt idx="73">
                  <c:v>4450.3813099999998</c:v>
                </c:pt>
                <c:pt idx="74">
                  <c:v>4450.3813099999998</c:v>
                </c:pt>
                <c:pt idx="75">
                  <c:v>4455.5938800000004</c:v>
                </c:pt>
                <c:pt idx="76">
                  <c:v>4455.5938800000004</c:v>
                </c:pt>
                <c:pt idx="77">
                  <c:v>4446.8247700000002</c:v>
                </c:pt>
                <c:pt idx="78">
                  <c:v>4411.5907299999999</c:v>
                </c:pt>
                <c:pt idx="79">
                  <c:v>4398.9526599999999</c:v>
                </c:pt>
                <c:pt idx="80">
                  <c:v>4398.9526599999999</c:v>
                </c:pt>
                <c:pt idx="81">
                  <c:v>4398.9526599999999</c:v>
                </c:pt>
                <c:pt idx="82">
                  <c:v>4409.5258000000003</c:v>
                </c:pt>
                <c:pt idx="83">
                  <c:v>4439.2563300000002</c:v>
                </c:pt>
                <c:pt idx="84">
                  <c:v>4472.1603299999997</c:v>
                </c:pt>
                <c:pt idx="85">
                  <c:v>4510.0418</c:v>
                </c:pt>
                <c:pt idx="86">
                  <c:v>4505.4203399999997</c:v>
                </c:pt>
                <c:pt idx="87">
                  <c:v>4505.4203399999997</c:v>
                </c:pt>
                <c:pt idx="88">
                  <c:v>4505.4203399999997</c:v>
                </c:pt>
                <c:pt idx="89">
                  <c:v>4522.7930999999999</c:v>
                </c:pt>
                <c:pt idx="90">
                  <c:v>4554.9769500000002</c:v>
                </c:pt>
                <c:pt idx="91">
                  <c:v>4565.7167099999997</c:v>
                </c:pt>
                <c:pt idx="92">
                  <c:v>4534.8675499999999</c:v>
                </c:pt>
                <c:pt idx="93">
                  <c:v>4536.3385399999997</c:v>
                </c:pt>
                <c:pt idx="94">
                  <c:v>4536.3385399999997</c:v>
                </c:pt>
                <c:pt idx="95">
                  <c:v>4536.3385399999997</c:v>
                </c:pt>
                <c:pt idx="96">
                  <c:v>4554.6424399999996</c:v>
                </c:pt>
                <c:pt idx="97">
                  <c:v>4567.4637000000002</c:v>
                </c:pt>
                <c:pt idx="98">
                  <c:v>4566.7517200000002</c:v>
                </c:pt>
                <c:pt idx="99">
                  <c:v>4537.4118600000002</c:v>
                </c:pt>
                <c:pt idx="100">
                  <c:v>4582.2313299999996</c:v>
                </c:pt>
                <c:pt idx="101">
                  <c:v>4582.2313299999996</c:v>
                </c:pt>
                <c:pt idx="102">
                  <c:v>4582.2313299999996</c:v>
                </c:pt>
                <c:pt idx="103">
                  <c:v>4588.9611400000003</c:v>
                </c:pt>
                <c:pt idx="104">
                  <c:v>4576.7291500000001</c:v>
                </c:pt>
                <c:pt idx="105">
                  <c:v>4513.3938600000001</c:v>
                </c:pt>
                <c:pt idx="106">
                  <c:v>4501.8856699999997</c:v>
                </c:pt>
                <c:pt idx="107">
                  <c:v>4478.0338400000001</c:v>
                </c:pt>
                <c:pt idx="108">
                  <c:v>4478.0338400000001</c:v>
                </c:pt>
                <c:pt idx="109">
                  <c:v>4478.0338400000001</c:v>
                </c:pt>
                <c:pt idx="110">
                  <c:v>4518.4433600000002</c:v>
                </c:pt>
                <c:pt idx="111">
                  <c:v>4499.3772600000002</c:v>
                </c:pt>
                <c:pt idx="112">
                  <c:v>4467.7140900000004</c:v>
                </c:pt>
                <c:pt idx="113">
                  <c:v>4468.8347700000004</c:v>
                </c:pt>
                <c:pt idx="114">
                  <c:v>4464.0545599999996</c:v>
                </c:pt>
                <c:pt idx="115">
                  <c:v>4464.0545599999996</c:v>
                </c:pt>
                <c:pt idx="116">
                  <c:v>4464.0545599999996</c:v>
                </c:pt>
                <c:pt idx="117">
                  <c:v>4489.7183299999997</c:v>
                </c:pt>
                <c:pt idx="118">
                  <c:v>4437.85905</c:v>
                </c:pt>
                <c:pt idx="119">
                  <c:v>4404.3334699999996</c:v>
                </c:pt>
                <c:pt idx="120">
                  <c:v>4370.36006</c:v>
                </c:pt>
                <c:pt idx="121">
                  <c:v>4369.7115000000003</c:v>
                </c:pt>
                <c:pt idx="122">
                  <c:v>4369.7115000000003</c:v>
                </c:pt>
                <c:pt idx="123">
                  <c:v>4369.7115000000003</c:v>
                </c:pt>
                <c:pt idx="124">
                  <c:v>4399.7691000000004</c:v>
                </c:pt>
                <c:pt idx="125">
                  <c:v>4387.5487000000003</c:v>
                </c:pt>
                <c:pt idx="126">
                  <c:v>4436.0117399999999</c:v>
                </c:pt>
                <c:pt idx="127">
                  <c:v>4376.31495</c:v>
                </c:pt>
                <c:pt idx="128">
                  <c:v>4405.7057299999997</c:v>
                </c:pt>
                <c:pt idx="129">
                  <c:v>4405.7057299999997</c:v>
                </c:pt>
                <c:pt idx="130">
                  <c:v>4405.7057299999997</c:v>
                </c:pt>
                <c:pt idx="131">
                  <c:v>4433.3056500000002</c:v>
                </c:pt>
                <c:pt idx="132">
                  <c:v>4497.6316699999998</c:v>
                </c:pt>
                <c:pt idx="133">
                  <c:v>4514.8652599999996</c:v>
                </c:pt>
                <c:pt idx="134">
                  <c:v>4507.6617900000001</c:v>
                </c:pt>
                <c:pt idx="135">
                  <c:v>4515.7673999999997</c:v>
                </c:pt>
                <c:pt idx="136">
                  <c:v>4515.7673999999997</c:v>
                </c:pt>
                <c:pt idx="137">
                  <c:v>4515.7673999999997</c:v>
                </c:pt>
                <c:pt idx="138">
                  <c:v>4515.7673999999997</c:v>
                </c:pt>
                <c:pt idx="139">
                  <c:v>4496.8272800000004</c:v>
                </c:pt>
                <c:pt idx="140">
                  <c:v>4465.4847600000003</c:v>
                </c:pt>
                <c:pt idx="141">
                  <c:v>4451.1379800000004</c:v>
                </c:pt>
                <c:pt idx="142">
                  <c:v>4457.4893099999999</c:v>
                </c:pt>
                <c:pt idx="143">
                  <c:v>4457.4893099999999</c:v>
                </c:pt>
                <c:pt idx="144">
                  <c:v>4457.4893099999999</c:v>
                </c:pt>
                <c:pt idx="145">
                  <c:v>4487.4638599999998</c:v>
                </c:pt>
                <c:pt idx="146">
                  <c:v>4461.9049199999999</c:v>
                </c:pt>
                <c:pt idx="147">
                  <c:v>4467.44193</c:v>
                </c:pt>
                <c:pt idx="148">
                  <c:v>4505.0962799999998</c:v>
                </c:pt>
                <c:pt idx="149">
                  <c:v>4450.31628</c:v>
                </c:pt>
                <c:pt idx="150">
                  <c:v>4450.31628</c:v>
                </c:pt>
                <c:pt idx="151">
                  <c:v>4450.31628</c:v>
                </c:pt>
                <c:pt idx="152">
                  <c:v>4453.5338000000002</c:v>
                </c:pt>
                <c:pt idx="153">
                  <c:v>4443.9475000000002</c:v>
                </c:pt>
                <c:pt idx="154">
                  <c:v>4402.2035400000004</c:v>
                </c:pt>
                <c:pt idx="155">
                  <c:v>4330.0048500000003</c:v>
                </c:pt>
                <c:pt idx="156">
                  <c:v>4320.0571300000001</c:v>
                </c:pt>
                <c:pt idx="157">
                  <c:v>4320.0571300000001</c:v>
                </c:pt>
                <c:pt idx="158">
                  <c:v>4320.0571300000001</c:v>
                </c:pt>
                <c:pt idx="159">
                  <c:v>4337.4449800000002</c:v>
                </c:pt>
                <c:pt idx="160">
                  <c:v>4273.5283099999997</c:v>
                </c:pt>
                <c:pt idx="161">
                  <c:v>4274.5094099999997</c:v>
                </c:pt>
                <c:pt idx="162">
                  <c:v>4299.7019899999996</c:v>
                </c:pt>
                <c:pt idx="163">
                  <c:v>4288.0541199999998</c:v>
                </c:pt>
                <c:pt idx="164">
                  <c:v>4288.0541199999998</c:v>
                </c:pt>
                <c:pt idx="165">
                  <c:v>4288.0541199999998</c:v>
                </c:pt>
                <c:pt idx="166">
                  <c:v>4288.3906999999999</c:v>
                </c:pt>
                <c:pt idx="167">
                  <c:v>4229.4530299999997</c:v>
                </c:pt>
                <c:pt idx="168">
                  <c:v>4263.7511400000003</c:v>
                </c:pt>
                <c:pt idx="169">
                  <c:v>4258.1858099999999</c:v>
                </c:pt>
                <c:pt idx="170">
                  <c:v>4308.5022600000002</c:v>
                </c:pt>
                <c:pt idx="171">
                  <c:v>4308.5022600000002</c:v>
                </c:pt>
                <c:pt idx="172">
                  <c:v>4308.5022600000002</c:v>
                </c:pt>
                <c:pt idx="173">
                  <c:v>4335.6575199999997</c:v>
                </c:pt>
                <c:pt idx="174">
                  <c:v>4358.2378600000002</c:v>
                </c:pt>
                <c:pt idx="175">
                  <c:v>4376.9451799999997</c:v>
                </c:pt>
                <c:pt idx="176">
                  <c:v>4349.6057799999999</c:v>
                </c:pt>
                <c:pt idx="177">
                  <c:v>4327.7830299999996</c:v>
                </c:pt>
                <c:pt idx="178">
                  <c:v>4327.7830299999996</c:v>
                </c:pt>
                <c:pt idx="179">
                  <c:v>4327.7830299999996</c:v>
                </c:pt>
                <c:pt idx="180">
                  <c:v>4373.6348099999996</c:v>
                </c:pt>
                <c:pt idx="181">
                  <c:v>4373.1959900000002</c:v>
                </c:pt>
                <c:pt idx="182">
                  <c:v>4314.6006500000003</c:v>
                </c:pt>
                <c:pt idx="183">
                  <c:v>4277.9974300000003</c:v>
                </c:pt>
                <c:pt idx="184">
                  <c:v>4224.1594800000003</c:v>
                </c:pt>
                <c:pt idx="185">
                  <c:v>4224.1594800000003</c:v>
                </c:pt>
                <c:pt idx="186">
                  <c:v>4224.1594800000003</c:v>
                </c:pt>
                <c:pt idx="187">
                  <c:v>4217.0433899999998</c:v>
                </c:pt>
                <c:pt idx="188">
                  <c:v>4247.6768400000001</c:v>
                </c:pt>
                <c:pt idx="189">
                  <c:v>4186.7652500000004</c:v>
                </c:pt>
                <c:pt idx="190">
                  <c:v>4137.2308400000002</c:v>
                </c:pt>
                <c:pt idx="191">
                  <c:v>4117.3738300000005</c:v>
                </c:pt>
                <c:pt idx="192">
                  <c:v>4117.3738300000005</c:v>
                </c:pt>
                <c:pt idx="193">
                  <c:v>4117.3738300000005</c:v>
                </c:pt>
                <c:pt idx="194">
                  <c:v>4166.8151399999997</c:v>
                </c:pt>
                <c:pt idx="195">
                  <c:v>4193.8009599999996</c:v>
                </c:pt>
                <c:pt idx="196">
                  <c:v>4237.8556500000004</c:v>
                </c:pt>
                <c:pt idx="197">
                  <c:v>4317.7754800000002</c:v>
                </c:pt>
                <c:pt idx="198">
                  <c:v>4358.33518</c:v>
                </c:pt>
                <c:pt idx="199">
                  <c:v>4358.33518</c:v>
                </c:pt>
                <c:pt idx="200">
                  <c:v>4358.33518</c:v>
                </c:pt>
                <c:pt idx="201">
                  <c:v>4365.9780199999996</c:v>
                </c:pt>
                <c:pt idx="202">
                  <c:v>4378.37914</c:v>
                </c:pt>
                <c:pt idx="203">
                  <c:v>4382.7837799999998</c:v>
                </c:pt>
                <c:pt idx="204">
                  <c:v>4347.3493200000003</c:v>
                </c:pt>
                <c:pt idx="205">
                  <c:v>4415.2446900000004</c:v>
                </c:pt>
                <c:pt idx="206">
                  <c:v>4415.2446900000004</c:v>
                </c:pt>
                <c:pt idx="207">
                  <c:v>4415.2446900000004</c:v>
                </c:pt>
                <c:pt idx="208">
                  <c:v>4411.5548900000003</c:v>
                </c:pt>
                <c:pt idx="209">
                  <c:v>4495.7015899999997</c:v>
                </c:pt>
                <c:pt idx="210">
                  <c:v>4502.8788299999997</c:v>
                </c:pt>
                <c:pt idx="211">
                  <c:v>4508.2434999999996</c:v>
                </c:pt>
                <c:pt idx="212">
                  <c:v>4514.0178599999999</c:v>
                </c:pt>
                <c:pt idx="213">
                  <c:v>4514.0178599999999</c:v>
                </c:pt>
                <c:pt idx="214">
                  <c:v>4514.0178599999999</c:v>
                </c:pt>
                <c:pt idx="215">
                  <c:v>4547.3774899999999</c:v>
                </c:pt>
                <c:pt idx="216">
                  <c:v>4538.1916600000004</c:v>
                </c:pt>
                <c:pt idx="217">
                  <c:v>4556.6192199999996</c:v>
                </c:pt>
                <c:pt idx="218">
                  <c:v>4556.6192199999996</c:v>
                </c:pt>
                <c:pt idx="219">
                  <c:v>4559.3352100000002</c:v>
                </c:pt>
                <c:pt idx="220">
                  <c:v>4559.3352100000002</c:v>
                </c:pt>
                <c:pt idx="221">
                  <c:v>4559.3352100000002</c:v>
                </c:pt>
                <c:pt idx="222">
                  <c:v>4550.4280500000004</c:v>
                </c:pt>
                <c:pt idx="223">
                  <c:v>4554.8905599999998</c:v>
                </c:pt>
                <c:pt idx="224">
                  <c:v>4550.5823200000004</c:v>
                </c:pt>
                <c:pt idx="225">
                  <c:v>4567.79864</c:v>
                </c:pt>
                <c:pt idx="226">
                  <c:v>4594.6315800000002</c:v>
                </c:pt>
                <c:pt idx="227">
                  <c:v>4594.6315800000002</c:v>
                </c:pt>
                <c:pt idx="228">
                  <c:v>4594.6315800000002</c:v>
                </c:pt>
                <c:pt idx="229">
                  <c:v>4569.7815600000004</c:v>
                </c:pt>
                <c:pt idx="230">
                  <c:v>4567.1829699999998</c:v>
                </c:pt>
                <c:pt idx="231">
                  <c:v>4549.3373799999999</c:v>
                </c:pt>
                <c:pt idx="232">
                  <c:v>4585.58619</c:v>
                </c:pt>
                <c:pt idx="233">
                  <c:v>4604.3722500000003</c:v>
                </c:pt>
                <c:pt idx="234">
                  <c:v>4604.3722500000003</c:v>
                </c:pt>
                <c:pt idx="235">
                  <c:v>4604.3722500000003</c:v>
                </c:pt>
                <c:pt idx="236">
                  <c:v>4622.4407700000002</c:v>
                </c:pt>
                <c:pt idx="237">
                  <c:v>4643.7017699999997</c:v>
                </c:pt>
                <c:pt idx="238">
                  <c:v>4707.0913600000003</c:v>
                </c:pt>
                <c:pt idx="239">
                  <c:v>4719.5519199999999</c:v>
                </c:pt>
                <c:pt idx="240">
                  <c:v>4719.1906499999996</c:v>
                </c:pt>
                <c:pt idx="241">
                  <c:v>4719.1906499999996</c:v>
                </c:pt>
                <c:pt idx="242">
                  <c:v>4719.1906499999996</c:v>
                </c:pt>
                <c:pt idx="243">
                  <c:v>4740.5560100000002</c:v>
                </c:pt>
                <c:pt idx="244">
                  <c:v>4768.3653700000004</c:v>
                </c:pt>
                <c:pt idx="245">
                  <c:v>4698.3519500000002</c:v>
                </c:pt>
                <c:pt idx="246">
                  <c:v>4746.7456400000001</c:v>
                </c:pt>
                <c:pt idx="247">
                  <c:v>4754.6314499999999</c:v>
                </c:pt>
                <c:pt idx="248">
                  <c:v>4754.6314499999999</c:v>
                </c:pt>
                <c:pt idx="249">
                  <c:v>4754.6314499999999</c:v>
                </c:pt>
                <c:pt idx="250">
                  <c:v>4754.6314499999999</c:v>
                </c:pt>
                <c:pt idx="251">
                  <c:v>4774.7506000000003</c:v>
                </c:pt>
                <c:pt idx="252">
                  <c:v>4781.5788000000002</c:v>
                </c:pt>
                <c:pt idx="253">
                  <c:v>4783.3473800000002</c:v>
                </c:pt>
                <c:pt idx="254">
                  <c:v>4769.8294100000003</c:v>
                </c:pt>
                <c:pt idx="255">
                  <c:v>4769.8294100000003</c:v>
                </c:pt>
                <c:pt idx="256">
                  <c:v>4769.8294100000003</c:v>
                </c:pt>
                <c:pt idx="257">
                  <c:v>4769.8294100000003</c:v>
                </c:pt>
                <c:pt idx="258">
                  <c:v>4742.8294900000001</c:v>
                </c:pt>
                <c:pt idx="259">
                  <c:v>4704.8110900000001</c:v>
                </c:pt>
                <c:pt idx="260">
                  <c:v>4688.6760100000001</c:v>
                </c:pt>
                <c:pt idx="261">
                  <c:v>4697.2449399999996</c:v>
                </c:pt>
                <c:pt idx="262">
                  <c:v>4697.2449399999996</c:v>
                </c:pt>
                <c:pt idx="263">
                  <c:v>4697.2449399999996</c:v>
                </c:pt>
                <c:pt idx="264">
                  <c:v>4763.5372799999996</c:v>
                </c:pt>
                <c:pt idx="265">
                  <c:v>4756.4965400000001</c:v>
                </c:pt>
                <c:pt idx="266">
                  <c:v>4783.4491200000002</c:v>
                </c:pt>
                <c:pt idx="267">
                  <c:v>4780.2424700000001</c:v>
                </c:pt>
                <c:pt idx="268">
                  <c:v>4783.8310700000002</c:v>
                </c:pt>
                <c:pt idx="269">
                  <c:v>4783.8310700000002</c:v>
                </c:pt>
                <c:pt idx="270">
                  <c:v>4783.8310700000002</c:v>
                </c:pt>
                <c:pt idx="271">
                  <c:v>4783.8310700000002</c:v>
                </c:pt>
                <c:pt idx="272">
                  <c:v>4765.9760200000001</c:v>
                </c:pt>
                <c:pt idx="273">
                  <c:v>4739.2081399999997</c:v>
                </c:pt>
                <c:pt idx="274">
                  <c:v>4780.9376499999998</c:v>
                </c:pt>
                <c:pt idx="275">
                  <c:v>4839.81142</c:v>
                </c:pt>
                <c:pt idx="276">
                  <c:v>4839.81142</c:v>
                </c:pt>
                <c:pt idx="277">
                  <c:v>4839.81142</c:v>
                </c:pt>
                <c:pt idx="278">
                  <c:v>4850.4256699999996</c:v>
                </c:pt>
                <c:pt idx="279">
                  <c:v>4864.5967199999996</c:v>
                </c:pt>
                <c:pt idx="280">
                  <c:v>4868.5539200000003</c:v>
                </c:pt>
                <c:pt idx="281">
                  <c:v>4894.1555799999996</c:v>
                </c:pt>
                <c:pt idx="282">
                  <c:v>4890.9705100000001</c:v>
                </c:pt>
                <c:pt idx="283">
                  <c:v>4890.9705100000001</c:v>
                </c:pt>
                <c:pt idx="284">
                  <c:v>4890.9705100000001</c:v>
                </c:pt>
                <c:pt idx="285">
                  <c:v>4927.9288200000001</c:v>
                </c:pt>
                <c:pt idx="286">
                  <c:v>4924.9738900000002</c:v>
                </c:pt>
                <c:pt idx="287">
                  <c:v>4845.6471799999999</c:v>
                </c:pt>
                <c:pt idx="288">
                  <c:v>4906.1940400000003</c:v>
                </c:pt>
                <c:pt idx="289">
                  <c:v>4958.6138899999996</c:v>
                </c:pt>
                <c:pt idx="290">
                  <c:v>4958.6138899999996</c:v>
                </c:pt>
                <c:pt idx="291">
                  <c:v>4958.6138899999996</c:v>
                </c:pt>
                <c:pt idx="292">
                  <c:v>4942.8058799999999</c:v>
                </c:pt>
                <c:pt idx="293">
                  <c:v>4954.2305100000003</c:v>
                </c:pt>
                <c:pt idx="294">
                  <c:v>4995.0558499999997</c:v>
                </c:pt>
                <c:pt idx="295">
                  <c:v>4997.9053700000004</c:v>
                </c:pt>
                <c:pt idx="296">
                  <c:v>5026.6085800000001</c:v>
                </c:pt>
                <c:pt idx="297">
                  <c:v>5026.6085800000001</c:v>
                </c:pt>
                <c:pt idx="298">
                  <c:v>5026.6085800000001</c:v>
                </c:pt>
                <c:pt idx="299">
                  <c:v>5021.8444799999997</c:v>
                </c:pt>
                <c:pt idx="300">
                  <c:v>4953.16795</c:v>
                </c:pt>
                <c:pt idx="301">
                  <c:v>5000.6200699999999</c:v>
                </c:pt>
                <c:pt idx="302">
                  <c:v>5029.7347099999997</c:v>
                </c:pt>
                <c:pt idx="303">
                  <c:v>5005.5684499999998</c:v>
                </c:pt>
                <c:pt idx="304">
                  <c:v>5005.5684499999998</c:v>
                </c:pt>
                <c:pt idx="305">
                  <c:v>5005.5684499999998</c:v>
                </c:pt>
                <c:pt idx="306">
                  <c:v>5005.5684499999998</c:v>
                </c:pt>
                <c:pt idx="307">
                  <c:v>4975.51127</c:v>
                </c:pt>
                <c:pt idx="308">
                  <c:v>4981.7969999999996</c:v>
                </c:pt>
                <c:pt idx="309">
                  <c:v>5087.0324300000002</c:v>
                </c:pt>
                <c:pt idx="310">
                  <c:v>5088.7999499999996</c:v>
                </c:pt>
                <c:pt idx="311">
                  <c:v>5088.7999499999996</c:v>
                </c:pt>
                <c:pt idx="312">
                  <c:v>5088.7999499999996</c:v>
                </c:pt>
                <c:pt idx="313">
                  <c:v>5069.5305099999996</c:v>
                </c:pt>
                <c:pt idx="314">
                  <c:v>5078.1825200000003</c:v>
                </c:pt>
                <c:pt idx="315">
                  <c:v>5069.7565100000002</c:v>
                </c:pt>
                <c:pt idx="316">
                  <c:v>5096.2695000000003</c:v>
                </c:pt>
                <c:pt idx="317">
                  <c:v>5137.0838000000003</c:v>
                </c:pt>
                <c:pt idx="318">
                  <c:v>5137.0838000000003</c:v>
                </c:pt>
                <c:pt idx="319">
                  <c:v>5137.0838000000003</c:v>
                </c:pt>
                <c:pt idx="320">
                  <c:v>5130.9491500000004</c:v>
                </c:pt>
                <c:pt idx="321">
                  <c:v>5078.6540000000005</c:v>
                </c:pt>
                <c:pt idx="322">
                  <c:v>5104.7571600000001</c:v>
                </c:pt>
                <c:pt idx="323">
                  <c:v>5157.3592799999997</c:v>
                </c:pt>
                <c:pt idx="324">
                  <c:v>5123.6910900000003</c:v>
                </c:pt>
                <c:pt idx="325">
                  <c:v>5123.6910900000003</c:v>
                </c:pt>
                <c:pt idx="326">
                  <c:v>5123.6910900000003</c:v>
                </c:pt>
                <c:pt idx="327">
                  <c:v>5117.9367599999996</c:v>
                </c:pt>
                <c:pt idx="328">
                  <c:v>5175.2676199999996</c:v>
                </c:pt>
                <c:pt idx="329">
                  <c:v>5165.31185</c:v>
                </c:pt>
                <c:pt idx="330">
                  <c:v>5150.4799199999998</c:v>
                </c:pt>
                <c:pt idx="331">
                  <c:v>5117.0882199999996</c:v>
                </c:pt>
                <c:pt idx="332">
                  <c:v>5117.0882199999996</c:v>
                </c:pt>
                <c:pt idx="333">
                  <c:v>5117.0882199999996</c:v>
                </c:pt>
                <c:pt idx="334">
                  <c:v>5149.4174700000003</c:v>
                </c:pt>
                <c:pt idx="335">
                  <c:v>5178.5092599999998</c:v>
                </c:pt>
                <c:pt idx="336">
                  <c:v>5224.6232399999999</c:v>
                </c:pt>
                <c:pt idx="337">
                  <c:v>5241.5328</c:v>
                </c:pt>
                <c:pt idx="338">
                  <c:v>5234.1800599999997</c:v>
                </c:pt>
                <c:pt idx="339">
                  <c:v>5234.1800599999997</c:v>
                </c:pt>
                <c:pt idx="340">
                  <c:v>5234.1800599999997</c:v>
                </c:pt>
                <c:pt idx="341">
                  <c:v>5218.1866200000004</c:v>
                </c:pt>
                <c:pt idx="342">
                  <c:v>5203.5842000000002</c:v>
                </c:pt>
                <c:pt idx="343">
                  <c:v>5248.4931299999998</c:v>
                </c:pt>
                <c:pt idx="344">
                  <c:v>5254.3544000000002</c:v>
                </c:pt>
                <c:pt idx="345">
                  <c:v>5254.3544000000002</c:v>
                </c:pt>
                <c:pt idx="346">
                  <c:v>5254.3544000000002</c:v>
                </c:pt>
                <c:pt idx="347">
                  <c:v>5254.3544000000002</c:v>
                </c:pt>
                <c:pt idx="348">
                  <c:v>5243.7729499999996</c:v>
                </c:pt>
                <c:pt idx="349">
                  <c:v>5205.8110900000001</c:v>
                </c:pt>
                <c:pt idx="350">
                  <c:v>5211.4860900000003</c:v>
                </c:pt>
                <c:pt idx="351">
                  <c:v>5147.2089800000003</c:v>
                </c:pt>
                <c:pt idx="352">
                  <c:v>5204.3351400000001</c:v>
                </c:pt>
                <c:pt idx="353">
                  <c:v>5204.3351400000001</c:v>
                </c:pt>
                <c:pt idx="354">
                  <c:v>5204.3351400000001</c:v>
                </c:pt>
                <c:pt idx="355">
                  <c:v>5202.3919299999998</c:v>
                </c:pt>
                <c:pt idx="356">
                  <c:v>5209.9108399999996</c:v>
                </c:pt>
                <c:pt idx="357">
                  <c:v>5160.6397900000002</c:v>
                </c:pt>
                <c:pt idx="358">
                  <c:v>5199.0567700000001</c:v>
                </c:pt>
                <c:pt idx="359">
                  <c:v>5123.4068200000002</c:v>
                </c:pt>
                <c:pt idx="360">
                  <c:v>5123.4068200000002</c:v>
                </c:pt>
                <c:pt idx="361">
                  <c:v>5123.4068200000002</c:v>
                </c:pt>
                <c:pt idx="362">
                  <c:v>5061.8155299999999</c:v>
                </c:pt>
                <c:pt idx="363">
                  <c:v>5051.4139500000001</c:v>
                </c:pt>
                <c:pt idx="364">
                  <c:v>5022.2080400000004</c:v>
                </c:pt>
                <c:pt idx="365">
                  <c:v>5011.1227500000005</c:v>
                </c:pt>
                <c:pt idx="366">
                  <c:v>4967.2349000000004</c:v>
                </c:pt>
                <c:pt idx="367">
                  <c:v>4967.2349000000004</c:v>
                </c:pt>
                <c:pt idx="368">
                  <c:v>4967.2349000000004</c:v>
                </c:pt>
                <c:pt idx="369">
                  <c:v>5010.6046399999996</c:v>
                </c:pt>
                <c:pt idx="370">
                  <c:v>5070.55123</c:v>
                </c:pt>
                <c:pt idx="371">
                  <c:v>5071.6284699999997</c:v>
                </c:pt>
                <c:pt idx="372">
                  <c:v>5048.4157100000002</c:v>
                </c:pt>
                <c:pt idx="373">
                  <c:v>5099.96245</c:v>
                </c:pt>
                <c:pt idx="374">
                  <c:v>5099.96245</c:v>
                </c:pt>
                <c:pt idx="375">
                  <c:v>5099.96245</c:v>
                </c:pt>
                <c:pt idx="376">
                  <c:v>5116.1675599999999</c:v>
                </c:pt>
                <c:pt idx="377">
                  <c:v>5035.6916799999999</c:v>
                </c:pt>
                <c:pt idx="378">
                  <c:v>5018.3850000000002</c:v>
                </c:pt>
                <c:pt idx="379">
                  <c:v>5064.1952700000002</c:v>
                </c:pt>
                <c:pt idx="380">
                  <c:v>5127.7866299999996</c:v>
                </c:pt>
                <c:pt idx="381">
                  <c:v>5127.7866299999996</c:v>
                </c:pt>
                <c:pt idx="382">
                  <c:v>5127.7866299999996</c:v>
                </c:pt>
                <c:pt idx="383">
                  <c:v>5180.7406899999996</c:v>
                </c:pt>
                <c:pt idx="384">
                  <c:v>5187.6978600000002</c:v>
                </c:pt>
                <c:pt idx="385">
                  <c:v>5187.6707399999996</c:v>
                </c:pt>
                <c:pt idx="386">
                  <c:v>5214.0814300000002</c:v>
                </c:pt>
                <c:pt idx="387">
                  <c:v>5222.6753699999999</c:v>
                </c:pt>
                <c:pt idx="388">
                  <c:v>5222.6753699999999</c:v>
                </c:pt>
                <c:pt idx="389">
                  <c:v>5222.6753699999999</c:v>
                </c:pt>
                <c:pt idx="390">
                  <c:v>5221.4156400000002</c:v>
                </c:pt>
                <c:pt idx="391">
                  <c:v>5246.6805199999999</c:v>
                </c:pt>
                <c:pt idx="392">
                  <c:v>5308.14959</c:v>
                </c:pt>
                <c:pt idx="393">
                  <c:v>5297.0984500000004</c:v>
                </c:pt>
                <c:pt idx="394">
                  <c:v>5303.2696599999999</c:v>
                </c:pt>
                <c:pt idx="395">
                  <c:v>5303.2696599999999</c:v>
                </c:pt>
                <c:pt idx="396">
                  <c:v>5303.2696599999999</c:v>
                </c:pt>
                <c:pt idx="397">
                  <c:v>5308.1322700000001</c:v>
                </c:pt>
                <c:pt idx="398">
                  <c:v>5321.4120199999998</c:v>
                </c:pt>
                <c:pt idx="399">
                  <c:v>5307.00522</c:v>
                </c:pt>
                <c:pt idx="400">
                  <c:v>5267.8380699999998</c:v>
                </c:pt>
                <c:pt idx="401">
                  <c:v>5304.7175999999999</c:v>
                </c:pt>
                <c:pt idx="402">
                  <c:v>5304.7175999999999</c:v>
                </c:pt>
                <c:pt idx="403">
                  <c:v>5304.7175999999999</c:v>
                </c:pt>
                <c:pt idx="404">
                  <c:v>5304.7175999999999</c:v>
                </c:pt>
                <c:pt idx="405">
                  <c:v>5306.0444699999998</c:v>
                </c:pt>
                <c:pt idx="406">
                  <c:v>5266.9493599999996</c:v>
                </c:pt>
                <c:pt idx="407">
                  <c:v>5235.4772599999997</c:v>
                </c:pt>
                <c:pt idx="408">
                  <c:v>5277.5073499999999</c:v>
                </c:pt>
                <c:pt idx="409">
                  <c:v>5277.5073499999999</c:v>
                </c:pt>
                <c:pt idx="410">
                  <c:v>5277.5073499999999</c:v>
                </c:pt>
                <c:pt idx="411">
                  <c:v>5283.3968699999996</c:v>
                </c:pt>
                <c:pt idx="412">
                  <c:v>5291.3354099999997</c:v>
                </c:pt>
                <c:pt idx="413">
                  <c:v>5354.0286500000002</c:v>
                </c:pt>
                <c:pt idx="414">
                  <c:v>5352.9622399999998</c:v>
                </c:pt>
                <c:pt idx="415">
                  <c:v>5346.9880700000003</c:v>
                </c:pt>
                <c:pt idx="416">
                  <c:v>5346.9880700000003</c:v>
                </c:pt>
                <c:pt idx="417">
                  <c:v>5346.9880700000003</c:v>
                </c:pt>
                <c:pt idx="418">
                  <c:v>5360.7884899999999</c:v>
                </c:pt>
                <c:pt idx="419">
                  <c:v>5375.3161799999998</c:v>
                </c:pt>
                <c:pt idx="420">
                  <c:v>5421.02585</c:v>
                </c:pt>
                <c:pt idx="421">
                  <c:v>5433.7431999999999</c:v>
                </c:pt>
                <c:pt idx="422">
                  <c:v>5431.6016499999996</c:v>
                </c:pt>
                <c:pt idx="423">
                  <c:v>5431.6016499999996</c:v>
                </c:pt>
                <c:pt idx="424">
                  <c:v>5431.6016499999996</c:v>
                </c:pt>
                <c:pt idx="425">
                  <c:v>5473.23315</c:v>
                </c:pt>
                <c:pt idx="426">
                  <c:v>5487.0264900000002</c:v>
                </c:pt>
                <c:pt idx="427">
                  <c:v>5487.0264900000002</c:v>
                </c:pt>
                <c:pt idx="428">
                  <c:v>5473.1687899999997</c:v>
                </c:pt>
                <c:pt idx="429">
                  <c:v>5464.6213399999997</c:v>
                </c:pt>
                <c:pt idx="430">
                  <c:v>5464.6213399999997</c:v>
                </c:pt>
                <c:pt idx="431">
                  <c:v>5464.6213399999997</c:v>
                </c:pt>
                <c:pt idx="432">
                  <c:v>5447.8726500000002</c:v>
                </c:pt>
                <c:pt idx="433">
                  <c:v>5469.2974299999996</c:v>
                </c:pt>
                <c:pt idx="434">
                  <c:v>5477.90362</c:v>
                </c:pt>
                <c:pt idx="435">
                  <c:v>5482.8717800000004</c:v>
                </c:pt>
                <c:pt idx="436">
                  <c:v>5460.4826199999998</c:v>
                </c:pt>
                <c:pt idx="437">
                  <c:v>5460.4826199999998</c:v>
                </c:pt>
                <c:pt idx="438">
                  <c:v>5460.4826199999998</c:v>
                </c:pt>
                <c:pt idx="439">
                  <c:v>5475.08835</c:v>
                </c:pt>
                <c:pt idx="440">
                  <c:v>5509.0111100000004</c:v>
                </c:pt>
                <c:pt idx="441">
                  <c:v>5537.0191299999997</c:v>
                </c:pt>
                <c:pt idx="442">
                  <c:v>5537.0191299999997</c:v>
                </c:pt>
                <c:pt idx="443">
                  <c:v>5567.1903899999998</c:v>
                </c:pt>
                <c:pt idx="444">
                  <c:v>5567.1903899999998</c:v>
                </c:pt>
                <c:pt idx="445">
                  <c:v>5567.1903899999998</c:v>
                </c:pt>
                <c:pt idx="446">
                  <c:v>5572.8501999999999</c:v>
                </c:pt>
                <c:pt idx="447">
                  <c:v>5576.9844999999996</c:v>
                </c:pt>
                <c:pt idx="448">
                  <c:v>5633.9122100000004</c:v>
                </c:pt>
                <c:pt idx="449">
                  <c:v>5584.5443299999997</c:v>
                </c:pt>
                <c:pt idx="450">
                  <c:v>5615.3487599999999</c:v>
                </c:pt>
                <c:pt idx="451">
                  <c:v>5615.3487599999999</c:v>
                </c:pt>
                <c:pt idx="452">
                  <c:v>5615.3487599999999</c:v>
                </c:pt>
                <c:pt idx="453">
                  <c:v>5631.2160400000002</c:v>
                </c:pt>
                <c:pt idx="454">
                  <c:v>5667.19769</c:v>
                </c:pt>
                <c:pt idx="455">
                  <c:v>5588.2716899999996</c:v>
                </c:pt>
                <c:pt idx="456">
                  <c:v>5544.5932400000002</c:v>
                </c:pt>
                <c:pt idx="457">
                  <c:v>5505.0030900000002</c:v>
                </c:pt>
                <c:pt idx="458">
                  <c:v>5505.0030900000002</c:v>
                </c:pt>
                <c:pt idx="459">
                  <c:v>5505.0030900000002</c:v>
                </c:pt>
                <c:pt idx="460">
                  <c:v>5564.4128899999996</c:v>
                </c:pt>
                <c:pt idx="461">
                  <c:v>5555.7436699999998</c:v>
                </c:pt>
                <c:pt idx="462">
                  <c:v>5427.1276799999996</c:v>
                </c:pt>
                <c:pt idx="463">
                  <c:v>5399.2224800000004</c:v>
                </c:pt>
                <c:pt idx="464">
                  <c:v>5459.0973999999997</c:v>
                </c:pt>
                <c:pt idx="465">
                  <c:v>5459.0973999999997</c:v>
                </c:pt>
                <c:pt idx="466">
                  <c:v>5459.0973999999997</c:v>
                </c:pt>
                <c:pt idx="467">
                  <c:v>5463.5384700000004</c:v>
                </c:pt>
                <c:pt idx="468">
                  <c:v>5436.4440999999997</c:v>
                </c:pt>
                <c:pt idx="469">
                  <c:v>5522.3018400000001</c:v>
                </c:pt>
                <c:pt idx="470">
                  <c:v>5446.6843200000003</c:v>
                </c:pt>
                <c:pt idx="471">
                  <c:v>5346.5632599999999</c:v>
                </c:pt>
                <c:pt idx="472">
                  <c:v>5346.5632599999999</c:v>
                </c:pt>
                <c:pt idx="473">
                  <c:v>5346.5632599999999</c:v>
                </c:pt>
                <c:pt idx="474">
                  <c:v>5186.3304099999996</c:v>
                </c:pt>
                <c:pt idx="475">
                  <c:v>5240.0261499999997</c:v>
                </c:pt>
                <c:pt idx="476">
                  <c:v>5199.4999699999998</c:v>
                </c:pt>
                <c:pt idx="477">
                  <c:v>5319.3081199999997</c:v>
                </c:pt>
                <c:pt idx="478">
                  <c:v>5344.1643599999998</c:v>
                </c:pt>
                <c:pt idx="479">
                  <c:v>5344.1643599999998</c:v>
                </c:pt>
                <c:pt idx="480">
                  <c:v>5344.1643599999998</c:v>
                </c:pt>
                <c:pt idx="481">
                  <c:v>5344.3851999999997</c:v>
                </c:pt>
                <c:pt idx="482">
                  <c:v>5434.4328299999997</c:v>
                </c:pt>
                <c:pt idx="483">
                  <c:v>5455.2120000000004</c:v>
                </c:pt>
                <c:pt idx="484">
                  <c:v>5543.2182300000004</c:v>
                </c:pt>
                <c:pt idx="485">
                  <c:v>5554.2510599999996</c:v>
                </c:pt>
                <c:pt idx="486">
                  <c:v>5554.2510599999996</c:v>
                </c:pt>
                <c:pt idx="487">
                  <c:v>5554.2510599999996</c:v>
                </c:pt>
                <c:pt idx="488">
                  <c:v>5608.2472600000001</c:v>
                </c:pt>
                <c:pt idx="489">
                  <c:v>5597.12482</c:v>
                </c:pt>
                <c:pt idx="490">
                  <c:v>5620.8527199999999</c:v>
                </c:pt>
                <c:pt idx="491">
                  <c:v>5570.6445700000004</c:v>
                </c:pt>
                <c:pt idx="492">
                  <c:v>5634.6058499999999</c:v>
                </c:pt>
                <c:pt idx="493">
                  <c:v>5634.6058499999999</c:v>
                </c:pt>
                <c:pt idx="494">
                  <c:v>5634.6058499999999</c:v>
                </c:pt>
                <c:pt idx="495">
                  <c:v>5616.8358500000004</c:v>
                </c:pt>
                <c:pt idx="496">
                  <c:v>5625.8019599999998</c:v>
                </c:pt>
                <c:pt idx="497">
                  <c:v>5592.1772099999998</c:v>
                </c:pt>
                <c:pt idx="498">
                  <c:v>5591.9637199999997</c:v>
                </c:pt>
                <c:pt idx="499">
                  <c:v>5648.3972400000002</c:v>
                </c:pt>
                <c:pt idx="500">
                  <c:v>5648.3972400000002</c:v>
                </c:pt>
                <c:pt idx="501">
                  <c:v>5648.3972400000002</c:v>
                </c:pt>
                <c:pt idx="502">
                  <c:v>5648.3972400000002</c:v>
                </c:pt>
                <c:pt idx="503">
                  <c:v>5528.9333999999999</c:v>
                </c:pt>
                <c:pt idx="504">
                  <c:v>5520.0678200000002</c:v>
                </c:pt>
                <c:pt idx="505">
                  <c:v>5503.4085699999996</c:v>
                </c:pt>
                <c:pt idx="506">
                  <c:v>5408.4221399999997</c:v>
                </c:pt>
                <c:pt idx="507">
                  <c:v>5408.4221399999997</c:v>
                </c:pt>
                <c:pt idx="508">
                  <c:v>5408.4221399999997</c:v>
                </c:pt>
                <c:pt idx="509">
                  <c:v>5471.0514499999999</c:v>
                </c:pt>
                <c:pt idx="510">
                  <c:v>5495.5194099999999</c:v>
                </c:pt>
                <c:pt idx="511">
                  <c:v>5554.1324199999999</c:v>
                </c:pt>
                <c:pt idx="512">
                  <c:v>5595.7634900000003</c:v>
                </c:pt>
                <c:pt idx="513">
                  <c:v>5626.0186000000003</c:v>
                </c:pt>
                <c:pt idx="514">
                  <c:v>5626.0186000000003</c:v>
                </c:pt>
                <c:pt idx="515">
                  <c:v>5626.0186000000003</c:v>
                </c:pt>
                <c:pt idx="516">
                  <c:v>5633.0877799999998</c:v>
                </c:pt>
                <c:pt idx="517">
                  <c:v>5634.5804399999997</c:v>
                </c:pt>
                <c:pt idx="518">
                  <c:v>5618.2590300000002</c:v>
                </c:pt>
                <c:pt idx="519">
                  <c:v>5713.6410900000001</c:v>
                </c:pt>
                <c:pt idx="520">
                  <c:v>5702.5476200000003</c:v>
                </c:pt>
                <c:pt idx="521">
                  <c:v>5702.5476200000003</c:v>
                </c:pt>
                <c:pt idx="522">
                  <c:v>5702.5476200000003</c:v>
                </c:pt>
                <c:pt idx="523">
                  <c:v>5718.5664900000002</c:v>
                </c:pt>
                <c:pt idx="524">
                  <c:v>5732.9273499999999</c:v>
                </c:pt>
                <c:pt idx="525">
                  <c:v>5722.2605999999996</c:v>
                </c:pt>
                <c:pt idx="526">
                  <c:v>5745.3660900000004</c:v>
                </c:pt>
                <c:pt idx="527">
                  <c:v>5738.1717799999997</c:v>
                </c:pt>
                <c:pt idx="528">
                  <c:v>5738.1717799999997</c:v>
                </c:pt>
                <c:pt idx="529">
                  <c:v>5738.1717799999997</c:v>
                </c:pt>
                <c:pt idx="530">
                  <c:v>5762.48488</c:v>
                </c:pt>
                <c:pt idx="531">
                  <c:v>5708.7514799999999</c:v>
                </c:pt>
                <c:pt idx="532">
                  <c:v>5709.5394399999996</c:v>
                </c:pt>
                <c:pt idx="533">
                  <c:v>5699.94175</c:v>
                </c:pt>
                <c:pt idx="534">
                  <c:v>5751.0681999999997</c:v>
                </c:pt>
                <c:pt idx="535">
                  <c:v>5751.0681999999997</c:v>
                </c:pt>
                <c:pt idx="536">
                  <c:v>5751.0681999999997</c:v>
                </c:pt>
                <c:pt idx="537">
                  <c:v>5695.9434199999996</c:v>
                </c:pt>
                <c:pt idx="538">
                  <c:v>5751.1328899999999</c:v>
                </c:pt>
                <c:pt idx="539">
                  <c:v>5792.0414799999999</c:v>
                </c:pt>
                <c:pt idx="540">
                  <c:v>5780.0512900000003</c:v>
                </c:pt>
                <c:pt idx="541">
                  <c:v>5815.03341</c:v>
                </c:pt>
                <c:pt idx="542">
                  <c:v>5815.03341</c:v>
                </c:pt>
                <c:pt idx="543">
                  <c:v>5815.03341</c:v>
                </c:pt>
                <c:pt idx="544">
                  <c:v>5859.8501500000002</c:v>
                </c:pt>
                <c:pt idx="545">
                  <c:v>5815.2599399999999</c:v>
                </c:pt>
                <c:pt idx="546">
                  <c:v>5842.4745199999998</c:v>
                </c:pt>
                <c:pt idx="547">
                  <c:v>5841.4724100000003</c:v>
                </c:pt>
                <c:pt idx="548">
                  <c:v>5864.6679100000001</c:v>
                </c:pt>
                <c:pt idx="549">
                  <c:v>5864.6679100000001</c:v>
                </c:pt>
                <c:pt idx="550">
                  <c:v>5864.6679100000001</c:v>
                </c:pt>
                <c:pt idx="551">
                  <c:v>5853.9822299999996</c:v>
                </c:pt>
                <c:pt idx="552">
                  <c:v>5851.2023600000002</c:v>
                </c:pt>
                <c:pt idx="553">
                  <c:v>5797.4225900000001</c:v>
                </c:pt>
                <c:pt idx="554">
                  <c:v>5809.8592200000003</c:v>
                </c:pt>
                <c:pt idx="555">
                  <c:v>5808.1170099999999</c:v>
                </c:pt>
                <c:pt idx="556">
                  <c:v>5808.1170099999999</c:v>
                </c:pt>
                <c:pt idx="557">
                  <c:v>5808.1170099999999</c:v>
                </c:pt>
                <c:pt idx="558">
                  <c:v>5823.51775</c:v>
                </c:pt>
                <c:pt idx="559">
                  <c:v>5832.91705</c:v>
                </c:pt>
                <c:pt idx="560">
                  <c:v>5813.6697000000004</c:v>
                </c:pt>
                <c:pt idx="561">
                  <c:v>5705.4479199999996</c:v>
                </c:pt>
                <c:pt idx="562">
                  <c:v>5728.8013600000004</c:v>
                </c:pt>
                <c:pt idx="563">
                  <c:v>5728.8013600000004</c:v>
                </c:pt>
                <c:pt idx="564">
                  <c:v>5728.8013600000004</c:v>
                </c:pt>
                <c:pt idx="565">
                  <c:v>5712.6883399999997</c:v>
                </c:pt>
                <c:pt idx="566">
                  <c:v>5782.7558099999997</c:v>
                </c:pt>
                <c:pt idx="567">
                  <c:v>5929.0442400000002</c:v>
                </c:pt>
                <c:pt idx="568">
                  <c:v>5973.1031599999997</c:v>
                </c:pt>
                <c:pt idx="569">
                  <c:v>5995.5373399999999</c:v>
                </c:pt>
                <c:pt idx="570">
                  <c:v>5995.5373399999999</c:v>
                </c:pt>
                <c:pt idx="571">
                  <c:v>5995.5373399999999</c:v>
                </c:pt>
                <c:pt idx="572">
                  <c:v>6001.34699</c:v>
                </c:pt>
                <c:pt idx="573">
                  <c:v>5983.9898599999997</c:v>
                </c:pt>
                <c:pt idx="574">
                  <c:v>5985.3780100000004</c:v>
                </c:pt>
                <c:pt idx="575">
                  <c:v>5949.1709199999996</c:v>
                </c:pt>
                <c:pt idx="576">
                  <c:v>5870.6164099999996</c:v>
                </c:pt>
                <c:pt idx="577">
                  <c:v>5870.6164099999996</c:v>
                </c:pt>
                <c:pt idx="578">
                  <c:v>5870.6164099999996</c:v>
                </c:pt>
                <c:pt idx="579">
                  <c:v>5893.62345</c:v>
                </c:pt>
                <c:pt idx="580">
                  <c:v>5916.9773500000001</c:v>
                </c:pt>
                <c:pt idx="581">
                  <c:v>5917.1110500000004</c:v>
                </c:pt>
                <c:pt idx="582">
                  <c:v>5948.7072200000002</c:v>
                </c:pt>
                <c:pt idx="583">
                  <c:v>5969.3430799999996</c:v>
                </c:pt>
                <c:pt idx="584">
                  <c:v>5969.3430799999996</c:v>
                </c:pt>
                <c:pt idx="585">
                  <c:v>5969.3430799999996</c:v>
                </c:pt>
                <c:pt idx="586">
                  <c:v>5987.3663500000002</c:v>
                </c:pt>
                <c:pt idx="587">
                  <c:v>6021.6325900000002</c:v>
                </c:pt>
                <c:pt idx="588">
                  <c:v>5998.7380499999999</c:v>
                </c:pt>
                <c:pt idx="589">
                  <c:v>5998.7380499999999</c:v>
                </c:pt>
                <c:pt idx="590">
                  <c:v>6032.3844099999997</c:v>
                </c:pt>
                <c:pt idx="591">
                  <c:v>6032.3844099999997</c:v>
                </c:pt>
                <c:pt idx="592">
                  <c:v>6032.3844099999997</c:v>
                </c:pt>
                <c:pt idx="593">
                  <c:v>6047.1458400000001</c:v>
                </c:pt>
                <c:pt idx="594">
                  <c:v>6049.8817499999996</c:v>
                </c:pt>
                <c:pt idx="595">
                  <c:v>6086.4872599999999</c:v>
                </c:pt>
                <c:pt idx="596">
                  <c:v>6075.10707</c:v>
                </c:pt>
                <c:pt idx="597">
                  <c:v>6090.2704700000004</c:v>
                </c:pt>
                <c:pt idx="598">
                  <c:v>6090.2704700000004</c:v>
                </c:pt>
                <c:pt idx="599">
                  <c:v>6090.2704700000004</c:v>
                </c:pt>
                <c:pt idx="600">
                  <c:v>6052.8485600000004</c:v>
                </c:pt>
                <c:pt idx="601">
                  <c:v>6034.9122799999996</c:v>
                </c:pt>
                <c:pt idx="602">
                  <c:v>6084.1894899999998</c:v>
                </c:pt>
                <c:pt idx="603">
                  <c:v>6051.2473</c:v>
                </c:pt>
                <c:pt idx="604">
                  <c:v>6051.09202</c:v>
                </c:pt>
                <c:pt idx="605">
                  <c:v>6051.09202</c:v>
                </c:pt>
                <c:pt idx="606">
                  <c:v>6051.09202</c:v>
                </c:pt>
                <c:pt idx="607">
                  <c:v>6074.0834699999996</c:v>
                </c:pt>
                <c:pt idx="608">
                  <c:v>6050.6105399999997</c:v>
                </c:pt>
                <c:pt idx="609">
                  <c:v>5872.15985</c:v>
                </c:pt>
                <c:pt idx="610">
                  <c:v>5867.0769899999996</c:v>
                </c:pt>
                <c:pt idx="611">
                  <c:v>5930.8501399999996</c:v>
                </c:pt>
                <c:pt idx="612">
                  <c:v>5930.8501399999996</c:v>
                </c:pt>
                <c:pt idx="613">
                  <c:v>5930.8501399999996</c:v>
                </c:pt>
                <c:pt idx="614">
                  <c:v>5974.0730700000004</c:v>
                </c:pt>
                <c:pt idx="615">
                  <c:v>6040.0355799999998</c:v>
                </c:pt>
                <c:pt idx="616">
                  <c:v>6040.0355799999998</c:v>
                </c:pt>
                <c:pt idx="617">
                  <c:v>6037.5908600000002</c:v>
                </c:pt>
                <c:pt idx="618">
                  <c:v>5970.8376399999997</c:v>
                </c:pt>
                <c:pt idx="619">
                  <c:v>5970.8376399999997</c:v>
                </c:pt>
                <c:pt idx="620">
                  <c:v>5970.8376399999997</c:v>
                </c:pt>
                <c:pt idx="621">
                  <c:v>5906.9355999999998</c:v>
                </c:pt>
                <c:pt idx="622">
                  <c:v>5881.6276500000004</c:v>
                </c:pt>
                <c:pt idx="623">
                  <c:v>5881.6276500000004</c:v>
                </c:pt>
                <c:pt idx="624">
                  <c:v>5868.5513199999996</c:v>
                </c:pt>
                <c:pt idx="625">
                  <c:v>5942.4724999999999</c:v>
                </c:pt>
                <c:pt idx="626">
                  <c:v>5942.4724999999999</c:v>
                </c:pt>
                <c:pt idx="627">
                  <c:v>5942.4724999999999</c:v>
                </c:pt>
                <c:pt idx="628">
                  <c:v>5975.3755300000003</c:v>
                </c:pt>
                <c:pt idx="629">
                  <c:v>5909.0307499999999</c:v>
                </c:pt>
                <c:pt idx="630">
                  <c:v>5918.2478300000002</c:v>
                </c:pt>
                <c:pt idx="631">
                  <c:v>5918.2478300000002</c:v>
                </c:pt>
                <c:pt idx="632">
                  <c:v>5827.0444299999999</c:v>
                </c:pt>
                <c:pt idx="633">
                  <c:v>5827.0444299999999</c:v>
                </c:pt>
                <c:pt idx="634">
                  <c:v>5827.0444299999999</c:v>
                </c:pt>
                <c:pt idx="635">
                  <c:v>5836.2178700000004</c:v>
                </c:pt>
                <c:pt idx="636">
                  <c:v>5842.9107400000003</c:v>
                </c:pt>
                <c:pt idx="637">
                  <c:v>5949.9111199999998</c:v>
                </c:pt>
                <c:pt idx="638">
                  <c:v>5937.3404899999996</c:v>
                </c:pt>
                <c:pt idx="639">
                  <c:v>5996.6647499999999</c:v>
                </c:pt>
                <c:pt idx="640">
                  <c:v>5996.6647499999999</c:v>
                </c:pt>
                <c:pt idx="641">
                  <c:v>5996.6647499999999</c:v>
                </c:pt>
                <c:pt idx="642">
                  <c:v>5996.6647499999999</c:v>
                </c:pt>
                <c:pt idx="643">
                  <c:v>6049.24208</c:v>
                </c:pt>
                <c:pt idx="644">
                  <c:v>6086.3696300000001</c:v>
                </c:pt>
                <c:pt idx="645">
                  <c:v>6118.7063500000004</c:v>
                </c:pt>
                <c:pt idx="646">
                  <c:v>6101.2429300000003</c:v>
                </c:pt>
                <c:pt idx="647">
                  <c:v>6101.2429300000003</c:v>
                </c:pt>
                <c:pt idx="648">
                  <c:v>6101.2429300000003</c:v>
                </c:pt>
                <c:pt idx="649">
                  <c:v>6012.2769200000002</c:v>
                </c:pt>
                <c:pt idx="650">
                  <c:v>6067.69949</c:v>
                </c:pt>
                <c:pt idx="651">
                  <c:v>6039.3114999999998</c:v>
                </c:pt>
                <c:pt idx="652">
                  <c:v>6071.17454</c:v>
                </c:pt>
                <c:pt idx="653">
                  <c:v>6040.5259299999998</c:v>
                </c:pt>
                <c:pt idx="654">
                  <c:v>6040.5259299999998</c:v>
                </c:pt>
                <c:pt idx="655">
                  <c:v>6040.5259299999998</c:v>
                </c:pt>
                <c:pt idx="656">
                  <c:v>5994.56736</c:v>
                </c:pt>
                <c:pt idx="657">
                  <c:v>6037.8771900000002</c:v>
                </c:pt>
                <c:pt idx="658">
                  <c:v>6061.4807499999997</c:v>
                </c:pt>
                <c:pt idx="659">
                  <c:v>6083.5681299999997</c:v>
                </c:pt>
                <c:pt idx="660">
                  <c:v>6025.9924899999996</c:v>
                </c:pt>
                <c:pt idx="661">
                  <c:v>6025.9924899999996</c:v>
                </c:pt>
                <c:pt idx="662">
                  <c:v>6025.9924899999996</c:v>
                </c:pt>
                <c:pt idx="663">
                  <c:v>6066.44254</c:v>
                </c:pt>
                <c:pt idx="664">
                  <c:v>6068.50378</c:v>
                </c:pt>
                <c:pt idx="665">
                  <c:v>6051.9678100000001</c:v>
                </c:pt>
                <c:pt idx="666">
                  <c:v>6115.0715700000001</c:v>
                </c:pt>
                <c:pt idx="667">
                  <c:v>6114.6314700000003</c:v>
                </c:pt>
                <c:pt idx="668">
                  <c:v>6114.6314700000003</c:v>
                </c:pt>
                <c:pt idx="669">
                  <c:v>6114.6314700000003</c:v>
                </c:pt>
                <c:pt idx="670">
                  <c:v>6114.6314700000003</c:v>
                </c:pt>
                <c:pt idx="671">
                  <c:v>6129.58403</c:v>
                </c:pt>
                <c:pt idx="672">
                  <c:v>6144.1520399999999</c:v>
                </c:pt>
                <c:pt idx="673">
                  <c:v>6117.5207399999999</c:v>
                </c:pt>
                <c:pt idx="674">
                  <c:v>6013.1278599999996</c:v>
                </c:pt>
                <c:pt idx="675">
                  <c:v>6013.1278599999996</c:v>
                </c:pt>
                <c:pt idx="676">
                  <c:v>6013.1278599999996</c:v>
                </c:pt>
                <c:pt idx="677">
                  <c:v>5983.2468500000004</c:v>
                </c:pt>
                <c:pt idx="678">
                  <c:v>5955.2524299999995</c:v>
                </c:pt>
                <c:pt idx="679">
                  <c:v>5956.0586899999998</c:v>
                </c:pt>
                <c:pt idx="680">
                  <c:v>5861.5735800000002</c:v>
                </c:pt>
                <c:pt idx="681">
                  <c:v>5954.5048299999999</c:v>
                </c:pt>
                <c:pt idx="682">
                  <c:v>5954.5048299999999</c:v>
                </c:pt>
                <c:pt idx="683">
                  <c:v>5954.5048299999999</c:v>
                </c:pt>
                <c:pt idx="684">
                  <c:v>5849.7194200000004</c:v>
                </c:pt>
                <c:pt idx="685">
                  <c:v>5778.1491900000001</c:v>
                </c:pt>
                <c:pt idx="686">
                  <c:v>5842.6254900000004</c:v>
                </c:pt>
                <c:pt idx="687">
                  <c:v>5738.5187100000003</c:v>
                </c:pt>
                <c:pt idx="688">
                  <c:v>5770.1956099999998</c:v>
                </c:pt>
                <c:pt idx="689">
                  <c:v>5770.1956099999998</c:v>
                </c:pt>
                <c:pt idx="690">
                  <c:v>5770.1956099999998</c:v>
                </c:pt>
                <c:pt idx="691">
                  <c:v>5614.5635499999999</c:v>
                </c:pt>
                <c:pt idx="692">
                  <c:v>5572.0699199999999</c:v>
                </c:pt>
                <c:pt idx="693">
                  <c:v>5599.30026</c:v>
                </c:pt>
                <c:pt idx="694">
                  <c:v>5521.5192999999999</c:v>
                </c:pt>
                <c:pt idx="695">
                  <c:v>5638.9401699999999</c:v>
                </c:pt>
                <c:pt idx="696">
                  <c:v>5638.9401699999999</c:v>
                </c:pt>
                <c:pt idx="697">
                  <c:v>5638.9401699999999</c:v>
                </c:pt>
                <c:pt idx="698">
                  <c:v>5675.1173200000003</c:v>
                </c:pt>
                <c:pt idx="699">
                  <c:v>5614.66201</c:v>
                </c:pt>
                <c:pt idx="700">
                  <c:v>5675.2871699999996</c:v>
                </c:pt>
                <c:pt idx="701">
                  <c:v>5662.8905299999997</c:v>
                </c:pt>
                <c:pt idx="702">
                  <c:v>5667.5642699999999</c:v>
                </c:pt>
                <c:pt idx="703">
                  <c:v>5667.5642699999999</c:v>
                </c:pt>
                <c:pt idx="704">
                  <c:v>5667.5642699999999</c:v>
                </c:pt>
                <c:pt idx="705">
                  <c:v>5767.5671000000002</c:v>
                </c:pt>
                <c:pt idx="706">
                  <c:v>5776.6512899999998</c:v>
                </c:pt>
                <c:pt idx="707">
                  <c:v>5712.2034299999996</c:v>
                </c:pt>
                <c:pt idx="708">
                  <c:v>5693.3126499999998</c:v>
                </c:pt>
                <c:pt idx="709">
                  <c:v>5580.9435800000001</c:v>
                </c:pt>
                <c:pt idx="710">
                  <c:v>5580.9435800000001</c:v>
                </c:pt>
                <c:pt idx="711">
                  <c:v>5580.9435800000001</c:v>
                </c:pt>
                <c:pt idx="712">
                  <c:v>5611.8526099999999</c:v>
                </c:pt>
                <c:pt idx="713">
                  <c:v>5633.0696900000003</c:v>
                </c:pt>
                <c:pt idx="714">
                  <c:v>5670.9736199999998</c:v>
                </c:pt>
                <c:pt idx="715">
                  <c:v>5396.5168000000003</c:v>
                </c:pt>
                <c:pt idx="716">
                  <c:v>5074.0756300000003</c:v>
                </c:pt>
                <c:pt idx="717">
                  <c:v>5074.0756300000003</c:v>
                </c:pt>
                <c:pt idx="718">
                  <c:v>5074.0756300000003</c:v>
                </c:pt>
                <c:pt idx="719">
                  <c:v>5062.2455200000004</c:v>
                </c:pt>
                <c:pt idx="720">
                  <c:v>4982.7703099999999</c:v>
                </c:pt>
                <c:pt idx="721">
                  <c:v>5456.9006900000004</c:v>
                </c:pt>
                <c:pt idx="722">
                  <c:v>5268.0543799999996</c:v>
                </c:pt>
                <c:pt idx="723">
                  <c:v>5363.3594800000001</c:v>
                </c:pt>
                <c:pt idx="724">
                  <c:v>5363.3594800000001</c:v>
                </c:pt>
                <c:pt idx="725">
                  <c:v>5363.3594800000001</c:v>
                </c:pt>
                <c:pt idx="726">
                  <c:v>5405.9711900000002</c:v>
                </c:pt>
                <c:pt idx="727">
                  <c:v>5396.6346800000001</c:v>
                </c:pt>
                <c:pt idx="728">
                  <c:v>5275.7010600000003</c:v>
                </c:pt>
                <c:pt idx="729">
                  <c:v>5282.7010200000004</c:v>
                </c:pt>
                <c:pt idx="730">
                  <c:v>5282.7010200000004</c:v>
                </c:pt>
                <c:pt idx="731">
                  <c:v>5282.7010200000004</c:v>
                </c:pt>
                <c:pt idx="732">
                  <c:v>5282.7010200000004</c:v>
                </c:pt>
                <c:pt idx="733">
                  <c:v>5158.2026800000003</c:v>
                </c:pt>
                <c:pt idx="734">
                  <c:v>5287.7630099999997</c:v>
                </c:pt>
                <c:pt idx="735">
                  <c:v>5375.8638300000002</c:v>
                </c:pt>
                <c:pt idx="736">
                  <c:v>5484.7738099999997</c:v>
                </c:pt>
                <c:pt idx="737">
                  <c:v>5525.2051199999996</c:v>
                </c:pt>
                <c:pt idx="738">
                  <c:v>5525.2051199999996</c:v>
                </c:pt>
                <c:pt idx="739">
                  <c:v>5525.2051199999996</c:v>
                </c:pt>
                <c:pt idx="740">
                  <c:v>5528.7457400000003</c:v>
                </c:pt>
                <c:pt idx="741">
                  <c:v>5560.82701</c:v>
                </c:pt>
                <c:pt idx="742">
                  <c:v>5569.0646699999998</c:v>
                </c:pt>
                <c:pt idx="743">
                  <c:v>5604.1413300000004</c:v>
                </c:pt>
                <c:pt idx="744">
                  <c:v>5686.6748299999999</c:v>
                </c:pt>
                <c:pt idx="745">
                  <c:v>5686.6748299999999</c:v>
                </c:pt>
                <c:pt idx="746">
                  <c:v>5686.6748299999999</c:v>
                </c:pt>
                <c:pt idx="747">
                  <c:v>5650.3816699999998</c:v>
                </c:pt>
                <c:pt idx="748">
                  <c:v>5606.9067999999997</c:v>
                </c:pt>
                <c:pt idx="749">
                  <c:v>5631.28431</c:v>
                </c:pt>
                <c:pt idx="750">
                  <c:v>5663.9393099999998</c:v>
                </c:pt>
                <c:pt idx="751">
                  <c:v>5659.9122500000003</c:v>
                </c:pt>
                <c:pt idx="752">
                  <c:v>5659.9122500000003</c:v>
                </c:pt>
                <c:pt idx="753">
                  <c:v>5659.9122500000003</c:v>
                </c:pt>
                <c:pt idx="754">
                  <c:v>5844.1866900000005</c:v>
                </c:pt>
                <c:pt idx="755">
                  <c:v>5886.5528100000001</c:v>
                </c:pt>
                <c:pt idx="756">
                  <c:v>5892.5844900000002</c:v>
                </c:pt>
                <c:pt idx="757">
                  <c:v>5916.9260800000002</c:v>
                </c:pt>
                <c:pt idx="758">
                  <c:v>5958.3755300000003</c:v>
                </c:pt>
                <c:pt idx="759">
                  <c:v>5958.3755300000003</c:v>
                </c:pt>
                <c:pt idx="760">
                  <c:v>5958.3755300000003</c:v>
                </c:pt>
                <c:pt idx="761">
                  <c:v>5963.6043499999996</c:v>
                </c:pt>
                <c:pt idx="762">
                  <c:v>5940.4637499999999</c:v>
                </c:pt>
                <c:pt idx="763">
                  <c:v>5844.6121300000004</c:v>
                </c:pt>
                <c:pt idx="764">
                  <c:v>5842.0083100000002</c:v>
                </c:pt>
                <c:pt idx="765">
                  <c:v>5802.8150800000003</c:v>
                </c:pt>
                <c:pt idx="766">
                  <c:v>5802.8150800000003</c:v>
                </c:pt>
                <c:pt idx="767">
                  <c:v>5802.8150800000003</c:v>
                </c:pt>
                <c:pt idx="768">
                  <c:v>5802.8150800000003</c:v>
                </c:pt>
                <c:pt idx="769">
                  <c:v>5921.5403500000002</c:v>
                </c:pt>
                <c:pt idx="770">
                  <c:v>5888.5525799999996</c:v>
                </c:pt>
                <c:pt idx="771">
                  <c:v>5912.1727199999996</c:v>
                </c:pt>
                <c:pt idx="772">
                  <c:v>5911.6867199999997</c:v>
                </c:pt>
                <c:pt idx="773">
                  <c:v>5911.6867199999997</c:v>
                </c:pt>
                <c:pt idx="774">
                  <c:v>5911.6867199999997</c:v>
                </c:pt>
                <c:pt idx="775">
                  <c:v>5935.9409599999999</c:v>
                </c:pt>
                <c:pt idx="776">
                  <c:v>5970.3682399999998</c:v>
                </c:pt>
                <c:pt idx="777">
                  <c:v>5970.8132400000004</c:v>
                </c:pt>
                <c:pt idx="778">
                  <c:v>5939.30332</c:v>
                </c:pt>
                <c:pt idx="779">
                  <c:v>6000.3551299999999</c:v>
                </c:pt>
                <c:pt idx="780">
                  <c:v>6000.3551299999999</c:v>
                </c:pt>
                <c:pt idx="781">
                  <c:v>6000.3551299999999</c:v>
                </c:pt>
                <c:pt idx="782">
                  <c:v>6005.88346</c:v>
                </c:pt>
                <c:pt idx="783">
                  <c:v>6038.8057900000003</c:v>
                </c:pt>
                <c:pt idx="784">
                  <c:v>6022.2412100000001</c:v>
                </c:pt>
                <c:pt idx="785">
                  <c:v>6045.2556699999996</c:v>
                </c:pt>
                <c:pt idx="786">
                  <c:v>5976.96587</c:v>
                </c:pt>
                <c:pt idx="787">
                  <c:v>5976.96587</c:v>
                </c:pt>
                <c:pt idx="788">
                  <c:v>5976.96587</c:v>
                </c:pt>
                <c:pt idx="789">
                  <c:v>6033.1062899999997</c:v>
                </c:pt>
                <c:pt idx="790">
                  <c:v>5982.7169899999999</c:v>
                </c:pt>
                <c:pt idx="791">
                  <c:v>5980.8654999999999</c:v>
                </c:pt>
                <c:pt idx="792">
                  <c:v>5980.8654999999999</c:v>
                </c:pt>
                <c:pt idx="793">
                  <c:v>5967.8395</c:v>
                </c:pt>
                <c:pt idx="794">
                  <c:v>5967.8395</c:v>
                </c:pt>
                <c:pt idx="795">
                  <c:v>5967.8395</c:v>
                </c:pt>
                <c:pt idx="796">
                  <c:v>6025.1740399999999</c:v>
                </c:pt>
                <c:pt idx="797">
                  <c:v>6092.1810500000001</c:v>
                </c:pt>
                <c:pt idx="798">
                  <c:v>6092.1613699999998</c:v>
                </c:pt>
                <c:pt idx="799">
                  <c:v>6141.0192800000004</c:v>
                </c:pt>
                <c:pt idx="800">
                  <c:v>6173.0735699999996</c:v>
                </c:pt>
                <c:pt idx="801">
                  <c:v>6173.0735699999996</c:v>
                </c:pt>
                <c:pt idx="802">
                  <c:v>6173.0735699999996</c:v>
                </c:pt>
                <c:pt idx="803">
                  <c:v>6204.9539500000001</c:v>
                </c:pt>
                <c:pt idx="804">
                  <c:v>6198.00695</c:v>
                </c:pt>
                <c:pt idx="805">
                  <c:v>6227.4196899999997</c:v>
                </c:pt>
                <c:pt idx="806">
                  <c:v>6279.3509700000004</c:v>
                </c:pt>
                <c:pt idx="807">
                  <c:v>6279.3509700000004</c:v>
                </c:pt>
                <c:pt idx="808">
                  <c:v>6279.3509700000004</c:v>
                </c:pt>
                <c:pt idx="809">
                  <c:v>6279.3509700000004</c:v>
                </c:pt>
                <c:pt idx="810">
                  <c:v>6229.9774600000001</c:v>
                </c:pt>
                <c:pt idx="811">
                  <c:v>6225.5234099999998</c:v>
                </c:pt>
                <c:pt idx="812">
                  <c:v>6263.2643799999996</c:v>
                </c:pt>
                <c:pt idx="813">
                  <c:v>6280.4583000000002</c:v>
                </c:pt>
                <c:pt idx="814">
                  <c:v>6259.7464399999999</c:v>
                </c:pt>
                <c:pt idx="815">
                  <c:v>6259.7464399999999</c:v>
                </c:pt>
                <c:pt idx="816">
                  <c:v>6259.7464399999999</c:v>
                </c:pt>
                <c:pt idx="817">
                  <c:v>6268.5590099999999</c:v>
                </c:pt>
                <c:pt idx="818">
                  <c:v>6243.7557100000004</c:v>
                </c:pt>
                <c:pt idx="819">
                  <c:v>6263.69524</c:v>
                </c:pt>
                <c:pt idx="820">
                  <c:v>6297.3619099999996</c:v>
                </c:pt>
                <c:pt idx="821">
                  <c:v>6296.7890399999997</c:v>
                </c:pt>
                <c:pt idx="822">
                  <c:v>6296.7890399999997</c:v>
                </c:pt>
                <c:pt idx="823">
                  <c:v>6296.7890399999997</c:v>
                </c:pt>
                <c:pt idx="824">
                  <c:v>6305.5951800000003</c:v>
                </c:pt>
                <c:pt idx="825">
                  <c:v>6309.6236799999997</c:v>
                </c:pt>
                <c:pt idx="826">
                  <c:v>6358.9137899999996</c:v>
                </c:pt>
                <c:pt idx="827">
                  <c:v>6363.3492999999999</c:v>
                </c:pt>
                <c:pt idx="828">
                  <c:v>6388.6445000000003</c:v>
                </c:pt>
                <c:pt idx="829">
                  <c:v>6388.6445000000003</c:v>
                </c:pt>
                <c:pt idx="830">
                  <c:v>6388.6445000000003</c:v>
                </c:pt>
                <c:pt idx="831">
                  <c:v>6389.7664800000002</c:v>
                </c:pt>
                <c:pt idx="832">
                  <c:v>6370.8612999999996</c:v>
                </c:pt>
                <c:pt idx="833">
                  <c:v>6362.89876</c:v>
                </c:pt>
                <c:pt idx="834">
                  <c:v>6339.3945700000004</c:v>
                </c:pt>
                <c:pt idx="835">
                  <c:v>6238.0065699999996</c:v>
                </c:pt>
                <c:pt idx="836">
                  <c:v>6238.0065699999996</c:v>
                </c:pt>
                <c:pt idx="837">
                  <c:v>6238.0065699999996</c:v>
                </c:pt>
                <c:pt idx="838">
                  <c:v>6329.9395000000004</c:v>
                </c:pt>
                <c:pt idx="839">
                  <c:v>6299.1939499999999</c:v>
                </c:pt>
                <c:pt idx="840">
                  <c:v>6345.0595400000002</c:v>
                </c:pt>
                <c:pt idx="841">
                  <c:v>6339.99773</c:v>
                </c:pt>
                <c:pt idx="842">
                  <c:v>6389.4453100000001</c:v>
                </c:pt>
                <c:pt idx="843">
                  <c:v>6389.4453100000001</c:v>
                </c:pt>
                <c:pt idx="844">
                  <c:v>6389.4453100000001</c:v>
                </c:pt>
                <c:pt idx="845">
                  <c:v>6373.4533700000002</c:v>
                </c:pt>
                <c:pt idx="846">
                  <c:v>6445.7622000000001</c:v>
                </c:pt>
                <c:pt idx="847">
                  <c:v>6466.5846899999997</c:v>
                </c:pt>
                <c:pt idx="848">
                  <c:v>6468.5351899999996</c:v>
                </c:pt>
                <c:pt idx="849">
                  <c:v>6449.7965800000002</c:v>
                </c:pt>
                <c:pt idx="850">
                  <c:v>6449.7965800000002</c:v>
                </c:pt>
                <c:pt idx="851">
                  <c:v>6449.7965800000002</c:v>
                </c:pt>
                <c:pt idx="852">
                  <c:v>6449.1491500000002</c:v>
                </c:pt>
                <c:pt idx="853">
                  <c:v>6411.3745900000004</c:v>
                </c:pt>
                <c:pt idx="854">
                  <c:v>6395.7811899999997</c:v>
                </c:pt>
                <c:pt idx="855">
                  <c:v>6370.1726699999999</c:v>
                </c:pt>
                <c:pt idx="856">
                  <c:v>6466.9129700000003</c:v>
                </c:pt>
                <c:pt idx="857">
                  <c:v>6466.9129700000003</c:v>
                </c:pt>
                <c:pt idx="858">
                  <c:v>6466.9129700000003</c:v>
                </c:pt>
                <c:pt idx="859">
                  <c:v>6439.31988</c:v>
                </c:pt>
                <c:pt idx="860">
                  <c:v>6465.9352799999997</c:v>
                </c:pt>
                <c:pt idx="861">
                  <c:v>6481.40319</c:v>
                </c:pt>
                <c:pt idx="862">
                  <c:v>6501.8594199999998</c:v>
                </c:pt>
                <c:pt idx="863">
                  <c:v>6460.2626700000001</c:v>
                </c:pt>
                <c:pt idx="864">
                  <c:v>6460.2626700000001</c:v>
                </c:pt>
                <c:pt idx="865">
                  <c:v>6460.2626700000001</c:v>
                </c:pt>
                <c:pt idx="866">
                  <c:v>6460.2626700000001</c:v>
                </c:pt>
                <c:pt idx="867">
                  <c:v>6415.5413399999998</c:v>
                </c:pt>
                <c:pt idx="868">
                  <c:v>6448.2608499999997</c:v>
                </c:pt>
                <c:pt idx="869">
                  <c:v>6502.0829199999998</c:v>
                </c:pt>
                <c:pt idx="870">
                  <c:v>6481.4955300000001</c:v>
                </c:pt>
                <c:pt idx="871">
                  <c:v>6481.4955300000001</c:v>
                </c:pt>
                <c:pt idx="872">
                  <c:v>6481.4955300000001</c:v>
                </c:pt>
                <c:pt idx="873">
                  <c:v>6495.1548300000004</c:v>
                </c:pt>
                <c:pt idx="874">
                  <c:v>6512.6107499999998</c:v>
                </c:pt>
                <c:pt idx="875">
                  <c:v>6532.0433400000002</c:v>
                </c:pt>
                <c:pt idx="876">
                  <c:v>6587.4708700000001</c:v>
                </c:pt>
                <c:pt idx="877">
                  <c:v>6584.2850200000003</c:v>
                </c:pt>
                <c:pt idx="878">
                  <c:v>6584.2850200000003</c:v>
                </c:pt>
                <c:pt idx="879">
                  <c:v>6584.2850200000003</c:v>
                </c:pt>
                <c:pt idx="880">
                  <c:v>6615.2767599999997</c:v>
                </c:pt>
                <c:pt idx="881">
                  <c:v>6606.75594</c:v>
                </c:pt>
                <c:pt idx="882">
                  <c:v>6600.3470900000002</c:v>
                </c:pt>
                <c:pt idx="883">
                  <c:v>6631.9628899999998</c:v>
                </c:pt>
                <c:pt idx="884">
                  <c:v>6664.3648000000003</c:v>
                </c:pt>
                <c:pt idx="885">
                  <c:v>6664.3648000000003</c:v>
                </c:pt>
                <c:pt idx="886">
                  <c:v>6664.3648000000003</c:v>
                </c:pt>
                <c:pt idx="887">
                  <c:v>6693.7533400000002</c:v>
                </c:pt>
                <c:pt idx="888">
                  <c:v>6656.9198800000004</c:v>
                </c:pt>
                <c:pt idx="889">
                  <c:v>6637.9736700000003</c:v>
                </c:pt>
                <c:pt idx="890">
                  <c:v>6604.7172399999999</c:v>
                </c:pt>
                <c:pt idx="891">
                  <c:v>6643.6975400000001</c:v>
                </c:pt>
                <c:pt idx="892">
                  <c:v>6643.6975400000001</c:v>
                </c:pt>
                <c:pt idx="893">
                  <c:v>6643.6975400000001</c:v>
                </c:pt>
                <c:pt idx="894">
                  <c:v>6661.2073300000002</c:v>
                </c:pt>
                <c:pt idx="895">
                  <c:v>6688.4590399999997</c:v>
                </c:pt>
                <c:pt idx="896">
                  <c:v>6711.2039100000002</c:v>
                </c:pt>
                <c:pt idx="897">
                  <c:v>6715.3463000000002</c:v>
                </c:pt>
                <c:pt idx="898">
                  <c:v>6715.7892599999996</c:v>
                </c:pt>
                <c:pt idx="899">
                  <c:v>6715.7892599999996</c:v>
                </c:pt>
                <c:pt idx="900">
                  <c:v>6715.7892599999996</c:v>
                </c:pt>
                <c:pt idx="901">
                  <c:v>6740.2813599999999</c:v>
                </c:pt>
                <c:pt idx="902">
                  <c:v>6714.5879199999999</c:v>
                </c:pt>
                <c:pt idx="903">
                  <c:v>6753.7170699999997</c:v>
                </c:pt>
                <c:pt idx="904">
                  <c:v>6735.1107899999997</c:v>
                </c:pt>
                <c:pt idx="905">
                  <c:v>6552.51325</c:v>
                </c:pt>
                <c:pt idx="906">
                  <c:v>6552.51325</c:v>
                </c:pt>
                <c:pt idx="907">
                  <c:v>6552.51325</c:v>
                </c:pt>
                <c:pt idx="908">
                  <c:v>6654.7190899999996</c:v>
                </c:pt>
                <c:pt idx="909">
                  <c:v>6644.3083999999999</c:v>
                </c:pt>
                <c:pt idx="910">
                  <c:v>6671.0582800000002</c:v>
                </c:pt>
                <c:pt idx="911">
                  <c:v>6629.0742300000002</c:v>
                </c:pt>
                <c:pt idx="912">
                  <c:v>6664.01098</c:v>
                </c:pt>
                <c:pt idx="913">
                  <c:v>6664.01098</c:v>
                </c:pt>
                <c:pt idx="914">
                  <c:v>6664.01098</c:v>
                </c:pt>
                <c:pt idx="915">
                  <c:v>6735.1265100000001</c:v>
                </c:pt>
                <c:pt idx="916">
                  <c:v>6735.3514999999998</c:v>
                </c:pt>
                <c:pt idx="917">
                  <c:v>6699.4023999999999</c:v>
                </c:pt>
                <c:pt idx="918">
                  <c:v>6738.4377100000002</c:v>
                </c:pt>
                <c:pt idx="919">
                  <c:v>6791.6938099999998</c:v>
                </c:pt>
                <c:pt idx="920">
                  <c:v>6791.6938099999998</c:v>
                </c:pt>
                <c:pt idx="921">
                  <c:v>6791.6938099999998</c:v>
                </c:pt>
                <c:pt idx="922">
                  <c:v>6875.1568900000002</c:v>
                </c:pt>
                <c:pt idx="923">
                  <c:v>6890.8883699999997</c:v>
                </c:pt>
                <c:pt idx="924">
                  <c:v>6890.5870500000001</c:v>
                </c:pt>
                <c:pt idx="925">
                  <c:v>6822.34033</c:v>
                </c:pt>
                <c:pt idx="926">
                  <c:v>6840.1987399999998</c:v>
                </c:pt>
                <c:pt idx="927">
                  <c:v>6840.1987399999998</c:v>
                </c:pt>
                <c:pt idx="928">
                  <c:v>6840.1987399999998</c:v>
                </c:pt>
                <c:pt idx="929">
                  <c:v>6851.96666</c:v>
                </c:pt>
                <c:pt idx="930">
                  <c:v>6771.5474899999999</c:v>
                </c:pt>
                <c:pt idx="931">
                  <c:v>6796.2894299999998</c:v>
                </c:pt>
                <c:pt idx="932">
                  <c:v>6720.3201499999996</c:v>
                </c:pt>
                <c:pt idx="933">
                  <c:v>6728.8011100000003</c:v>
                </c:pt>
                <c:pt idx="934">
                  <c:v>6728.8011100000003</c:v>
                </c:pt>
                <c:pt idx="935">
                  <c:v>6728.8011100000003</c:v>
                </c:pt>
                <c:pt idx="936">
                  <c:v>6832.4301599999999</c:v>
                </c:pt>
                <c:pt idx="937">
                  <c:v>6846.6142300000001</c:v>
                </c:pt>
                <c:pt idx="938">
                  <c:v>6850.9164799999999</c:v>
                </c:pt>
                <c:pt idx="939">
                  <c:v>6737.4887200000003</c:v>
                </c:pt>
                <c:pt idx="940">
                  <c:v>6734.11067</c:v>
                </c:pt>
                <c:pt idx="941">
                  <c:v>6734.11067</c:v>
                </c:pt>
                <c:pt idx="942">
                  <c:v>6734.11067</c:v>
                </c:pt>
                <c:pt idx="943">
                  <c:v>6672.4116299999996</c:v>
                </c:pt>
                <c:pt idx="944">
                  <c:v>6617.32006</c:v>
                </c:pt>
                <c:pt idx="945">
                  <c:v>6642.1585100000002</c:v>
                </c:pt>
                <c:pt idx="946">
                  <c:v>6538.7626700000001</c:v>
                </c:pt>
                <c:pt idx="947">
                  <c:v>6602.9863299999997</c:v>
                </c:pt>
                <c:pt idx="948">
                  <c:v>6602.9863299999997</c:v>
                </c:pt>
                <c:pt idx="949">
                  <c:v>6602.9863299999997</c:v>
                </c:pt>
                <c:pt idx="950">
                  <c:v>6705.1170899999997</c:v>
                </c:pt>
                <c:pt idx="951">
                  <c:v>6765.8759700000001</c:v>
                </c:pt>
                <c:pt idx="952">
                  <c:v>6812.6130899999998</c:v>
                </c:pt>
                <c:pt idx="953">
                  <c:v>6812.6130899999998</c:v>
                </c:pt>
                <c:pt idx="954">
                  <c:v>6849.0873700000002</c:v>
                </c:pt>
                <c:pt idx="955">
                  <c:v>6849.0873700000002</c:v>
                </c:pt>
                <c:pt idx="956">
                  <c:v>6849.0873700000002</c:v>
                </c:pt>
                <c:pt idx="957">
                  <c:v>6812.6258500000004</c:v>
                </c:pt>
                <c:pt idx="958">
                  <c:v>6829.3705799999998</c:v>
                </c:pt>
                <c:pt idx="959">
                  <c:v>6849.7227199999998</c:v>
                </c:pt>
                <c:pt idx="960">
                  <c:v>6857.1196900000004</c:v>
                </c:pt>
                <c:pt idx="961">
                  <c:v>6870.4042099999997</c:v>
                </c:pt>
                <c:pt idx="962">
                  <c:v>6870.4042099999997</c:v>
                </c:pt>
                <c:pt idx="963">
                  <c:v>6870.4042099999997</c:v>
                </c:pt>
                <c:pt idx="964">
                  <c:v>6846.5061699999997</c:v>
                </c:pt>
                <c:pt idx="965">
                  <c:v>6840.5096199999998</c:v>
                </c:pt>
                <c:pt idx="966">
                  <c:v>6886.6829900000002</c:v>
                </c:pt>
                <c:pt idx="967">
                  <c:v>6900.9951899999996</c:v>
                </c:pt>
                <c:pt idx="968">
                  <c:v>6827.4064600000002</c:v>
                </c:pt>
                <c:pt idx="969">
                  <c:v>6827.4064600000002</c:v>
                </c:pt>
                <c:pt idx="970">
                  <c:v>6827.4064600000002</c:v>
                </c:pt>
                <c:pt idx="971">
                  <c:v>6816.5083000000004</c:v>
                </c:pt>
                <c:pt idx="972">
                  <c:v>6800.2572200000004</c:v>
                </c:pt>
                <c:pt idx="973">
                  <c:v>6721.4295499999998</c:v>
                </c:pt>
                <c:pt idx="974">
                  <c:v>6774.7575699999998</c:v>
                </c:pt>
                <c:pt idx="975">
                  <c:v>6834.4961899999998</c:v>
                </c:pt>
                <c:pt idx="976">
                  <c:v>6834.4961899999998</c:v>
                </c:pt>
                <c:pt idx="977">
                  <c:v>6834.4961899999998</c:v>
                </c:pt>
                <c:pt idx="978">
                  <c:v>6878.4894800000002</c:v>
                </c:pt>
                <c:pt idx="979">
                  <c:v>6909.7920700000004</c:v>
                </c:pt>
                <c:pt idx="980">
                  <c:v>6932.04918</c:v>
                </c:pt>
                <c:pt idx="981">
                  <c:v>6932.04918</c:v>
                </c:pt>
                <c:pt idx="982">
                  <c:v>6929.9361200000003</c:v>
                </c:pt>
                <c:pt idx="983">
                  <c:v>6929.9361200000003</c:v>
                </c:pt>
                <c:pt idx="984">
                  <c:v>6929.9361200000003</c:v>
                </c:pt>
                <c:pt idx="985">
                  <c:v>6905.7440500000002</c:v>
                </c:pt>
                <c:pt idx="986">
                  <c:v>6896.2417400000004</c:v>
                </c:pt>
                <c:pt idx="987">
                  <c:v>6845.5047100000002</c:v>
                </c:pt>
                <c:pt idx="988">
                  <c:v>6845.5047100000002</c:v>
                </c:pt>
                <c:pt idx="989">
                  <c:v>6858.4723100000001</c:v>
                </c:pt>
                <c:pt idx="990">
                  <c:v>6858.4723100000001</c:v>
                </c:pt>
                <c:pt idx="991">
                  <c:v>6858.4723100000001</c:v>
                </c:pt>
                <c:pt idx="992">
                  <c:v>6902.0508499999996</c:v>
                </c:pt>
                <c:pt idx="993">
                  <c:v>6944.8192200000003</c:v>
                </c:pt>
                <c:pt idx="994">
                  <c:v>6920.9292599999999</c:v>
                </c:pt>
                <c:pt idx="995">
                  <c:v>6921.4570899999999</c:v>
                </c:pt>
                <c:pt idx="996">
                  <c:v>6966.2839199999999</c:v>
                </c:pt>
                <c:pt idx="997">
                  <c:v>6966.2839199999999</c:v>
                </c:pt>
                <c:pt idx="998">
                  <c:v>6966.2839199999999</c:v>
                </c:pt>
                <c:pt idx="999">
                  <c:v>6977.2650299999996</c:v>
                </c:pt>
                <c:pt idx="1000">
                  <c:v>6963.7350999999999</c:v>
                </c:pt>
                <c:pt idx="1001">
                  <c:v>6926.5961500000003</c:v>
                </c:pt>
                <c:pt idx="1002">
                  <c:v>6944.4718800000001</c:v>
                </c:pt>
                <c:pt idx="1003">
                  <c:v>6940.0095099999999</c:v>
                </c:pt>
                <c:pt idx="1004">
                  <c:v>6940.0095099999999</c:v>
                </c:pt>
                <c:pt idx="1005">
                  <c:v>6940.0095099999999</c:v>
                </c:pt>
                <c:pt idx="1006">
                  <c:v>6940.0095099999999</c:v>
                </c:pt>
                <c:pt idx="1007">
                  <c:v>6796.8608100000001</c:v>
                </c:pt>
                <c:pt idx="1008">
                  <c:v>6875.6152700000002</c:v>
                </c:pt>
                <c:pt idx="1009">
                  <c:v>6913.3520399999998</c:v>
                </c:pt>
                <c:pt idx="1010">
                  <c:v>6915.6106499999996</c:v>
                </c:pt>
                <c:pt idx="1011">
                  <c:v>6915.6106499999996</c:v>
                </c:pt>
                <c:pt idx="1012">
                  <c:v>6915.6106499999996</c:v>
                </c:pt>
                <c:pt idx="1013">
                  <c:v>6950.2322000000004</c:v>
                </c:pt>
                <c:pt idx="1014">
                  <c:v>6978.5969299999997</c:v>
                </c:pt>
                <c:pt idx="1015">
                  <c:v>6978.0293899999997</c:v>
                </c:pt>
                <c:pt idx="1016">
                  <c:v>6969.0068899999997</c:v>
                </c:pt>
                <c:pt idx="1017">
                  <c:v>6939.02952</c:v>
                </c:pt>
                <c:pt idx="1018">
                  <c:v>6939.02952</c:v>
                </c:pt>
                <c:pt idx="1019">
                  <c:v>6939.02952</c:v>
                </c:pt>
                <c:pt idx="1020">
                  <c:v>6976.4441800000004</c:v>
                </c:pt>
                <c:pt idx="1021">
                  <c:v>6917.8117000000002</c:v>
                </c:pt>
                <c:pt idx="1022">
                  <c:v>6882.7211100000004</c:v>
                </c:pt>
                <c:pt idx="1023">
                  <c:v>6798.39948</c:v>
                </c:pt>
                <c:pt idx="1024">
                  <c:v>6932.2976699999999</c:v>
                </c:pt>
                <c:pt idx="1025">
                  <c:v>6932.2976699999999</c:v>
                </c:pt>
                <c:pt idx="1026">
                  <c:v>6932.2976699999999</c:v>
                </c:pt>
                <c:pt idx="1027">
                  <c:v>6964.8198499999999</c:v>
                </c:pt>
                <c:pt idx="1028">
                  <c:v>6941.8125099999997</c:v>
                </c:pt>
                <c:pt idx="1029">
                  <c:v>6941.4710100000002</c:v>
                </c:pt>
                <c:pt idx="1030">
                  <c:v>6832.7614700000004</c:v>
                </c:pt>
                <c:pt idx="1031">
                  <c:v>6836.17209</c:v>
                </c:pt>
                <c:pt idx="1032">
                  <c:v>6836.17209</c:v>
                </c:pt>
                <c:pt idx="1033">
                  <c:v>6836.17209</c:v>
                </c:pt>
                <c:pt idx="1034">
                  <c:v>6836.17209</c:v>
                </c:pt>
                <c:pt idx="1035">
                  <c:v>6843.2232599999998</c:v>
                </c:pt>
                <c:pt idx="1036">
                  <c:v>6881.3145599999998</c:v>
                </c:pt>
                <c:pt idx="1037">
                  <c:v>6861.8937400000004</c:v>
                </c:pt>
                <c:pt idx="1038">
                  <c:v>6909.5066200000001</c:v>
                </c:pt>
                <c:pt idx="1039">
                  <c:v>6909.5066200000001</c:v>
                </c:pt>
                <c:pt idx="1040">
                  <c:v>6909.5066200000001</c:v>
                </c:pt>
                <c:pt idx="1041">
                  <c:v>6837.7545200000004</c:v>
                </c:pt>
                <c:pt idx="1042">
                  <c:v>6890.0723099999996</c:v>
                </c:pt>
                <c:pt idx="1043">
                  <c:v>6946.1266900000001</c:v>
                </c:pt>
                <c:pt idx="1044">
                  <c:v>6908.8646799999997</c:v>
                </c:pt>
                <c:pt idx="1045">
                  <c:v>6878.8784999999998</c:v>
                </c:pt>
                <c:pt idx="1046">
                  <c:v>6878.8784999999998</c:v>
                </c:pt>
                <c:pt idx="1047">
                  <c:v>6878.8784999999998</c:v>
                </c:pt>
                <c:pt idx="1048">
                  <c:v>6881.6200799999997</c:v>
                </c:pt>
                <c:pt idx="1049">
                  <c:v>6816.6270299999996</c:v>
                </c:pt>
                <c:pt idx="1050">
                  <c:v>6869.5024400000002</c:v>
                </c:pt>
                <c:pt idx="1051">
                  <c:v>6830.7080699999997</c:v>
                </c:pt>
                <c:pt idx="1052">
                  <c:v>6740.0234300000002</c:v>
                </c:pt>
                <c:pt idx="1053">
                  <c:v>6740.0234300000002</c:v>
                </c:pt>
                <c:pt idx="1054">
                  <c:v>6740.0234300000002</c:v>
                </c:pt>
                <c:pt idx="1055">
                  <c:v>6795.9918699999998</c:v>
                </c:pt>
                <c:pt idx="1056">
                  <c:v>6781.4819299999999</c:v>
                </c:pt>
                <c:pt idx="1057">
                  <c:v>6775.8043200000002</c:v>
                </c:pt>
                <c:pt idx="1058">
                  <c:v>6672.6180400000003</c:v>
                </c:pt>
                <c:pt idx="1059">
                  <c:v>6632.1915300000001</c:v>
                </c:pt>
                <c:pt idx="1060">
                  <c:v>6632.1915300000001</c:v>
                </c:pt>
                <c:pt idx="1061">
                  <c:v>6632.1915300000001</c:v>
                </c:pt>
                <c:pt idx="1062">
                  <c:v>6699.3833299999997</c:v>
                </c:pt>
                <c:pt idx="1063">
                  <c:v>6716.0925100000004</c:v>
                </c:pt>
                <c:pt idx="1064">
                  <c:v>6624.6951600000002</c:v>
                </c:pt>
                <c:pt idx="1065">
                  <c:v>6606.4945399999997</c:v>
                </c:pt>
                <c:pt idx="1066">
                  <c:v>6506.4789099999998</c:v>
                </c:pt>
                <c:pt idx="1067">
                  <c:v>6506.4789099999998</c:v>
                </c:pt>
                <c:pt idx="1068">
                  <c:v>6506.4789099999998</c:v>
                </c:pt>
                <c:pt idx="1069">
                  <c:v>6581.0002100000002</c:v>
                </c:pt>
                <c:pt idx="1070">
                  <c:v>6556.3711400000002</c:v>
                </c:pt>
                <c:pt idx="1071">
                  <c:v>6591.9005900000002</c:v>
                </c:pt>
                <c:pt idx="1072">
                  <c:v>6477.1646300000002</c:v>
                </c:pt>
                <c:pt idx="1073">
                  <c:v>6368.8530700000001</c:v>
                </c:pt>
                <c:pt idx="1074">
                  <c:v>6368.8530700000001</c:v>
                </c:pt>
                <c:pt idx="1075">
                  <c:v>6368.8530700000001</c:v>
                </c:pt>
                <c:pt idx="1076">
                  <c:v>6343.7248300000001</c:v>
                </c:pt>
                <c:pt idx="1077">
                  <c:v>6528.5173800000002</c:v>
                </c:pt>
                <c:pt idx="1078">
                  <c:v>6575.3159299999998</c:v>
                </c:pt>
                <c:pt idx="1079">
                  <c:v>6582.6867599999996</c:v>
                </c:pt>
                <c:pt idx="1080">
                  <c:v>6582.6867599999996</c:v>
                </c:pt>
                <c:pt idx="1081">
                  <c:v>6582.6867599999996</c:v>
                </c:pt>
                <c:pt idx="1082">
                  <c:v>6582.6867599999996</c:v>
                </c:pt>
                <c:pt idx="1083">
                  <c:v>6611.8304099999996</c:v>
                </c:pt>
                <c:pt idx="1084">
                  <c:v>6616.8508300000003</c:v>
                </c:pt>
                <c:pt idx="1085">
                  <c:v>6782.81167</c:v>
                </c:pt>
                <c:pt idx="1086">
                  <c:v>6824.6572699999997</c:v>
                </c:pt>
                <c:pt idx="1087">
                  <c:v>6816.89192</c:v>
                </c:pt>
                <c:pt idx="1088">
                  <c:v>6816.89192</c:v>
                </c:pt>
                <c:pt idx="1089">
                  <c:v>6816.89192</c:v>
                </c:pt>
                <c:pt idx="1090">
                  <c:v>6886.2352300000002</c:v>
                </c:pt>
                <c:pt idx="1091">
                  <c:v>6967.3786899999996</c:v>
                </c:pt>
                <c:pt idx="1092">
                  <c:v>7022.9523300000001</c:v>
                </c:pt>
                <c:pt idx="1093">
                  <c:v>7041.2766899999997</c:v>
                </c:pt>
                <c:pt idx="1094">
                  <c:v>7041.2766899999997</c:v>
                </c:pt>
              </c:numCache>
            </c:numRef>
          </c:val>
          <c:smooth val="0"/>
          <c:extLst>
            <c:ext xmlns:c16="http://schemas.microsoft.com/office/drawing/2014/chart" uri="{C3380CC4-5D6E-409C-BE32-E72D297353CC}">
              <c16:uniqueId val="{00000001-6581-47EC-9E2F-D7F497CD9E76}"/>
            </c:ext>
          </c:extLst>
        </c:ser>
        <c:dLbls>
          <c:showLegendKey val="0"/>
          <c:showVal val="0"/>
          <c:showCatName val="0"/>
          <c:showSerName val="0"/>
          <c:showPercent val="0"/>
          <c:showBubbleSize val="0"/>
        </c:dLbls>
        <c:marker val="1"/>
        <c:smooth val="0"/>
        <c:axId val="2085424671"/>
        <c:axId val="2060063199"/>
      </c:lineChart>
      <c:dateAx>
        <c:axId val="2085423231"/>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071215679"/>
        <c:crosses val="autoZero"/>
        <c:auto val="0"/>
        <c:lblOffset val="100"/>
        <c:baseTimeUnit val="days"/>
        <c:majorUnit val="2"/>
        <c:majorTimeUnit val="months"/>
        <c:minorUnit val="2"/>
        <c:minorTimeUnit val="months"/>
      </c:dateAx>
      <c:valAx>
        <c:axId val="207121567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085423231"/>
        <c:crosses val="autoZero"/>
        <c:crossBetween val="midCat"/>
      </c:valAx>
      <c:valAx>
        <c:axId val="206006319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085424671"/>
        <c:crosses val="max"/>
        <c:crossBetween val="between"/>
      </c:valAx>
      <c:dateAx>
        <c:axId val="2085424671"/>
        <c:scaling>
          <c:orientation val="minMax"/>
        </c:scaling>
        <c:delete val="1"/>
        <c:axPos val="b"/>
        <c:numFmt formatCode="dd/mm/yy;@" sourceLinked="1"/>
        <c:majorTickMark val="out"/>
        <c:minorTickMark val="none"/>
        <c:tickLblPos val="nextTo"/>
        <c:crossAx val="2060063199"/>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90920</xdr:colOff>
      <xdr:row>22</xdr:row>
      <xdr:rowOff>45460</xdr:rowOff>
    </xdr:from>
    <xdr:to>
      <xdr:col>5</xdr:col>
      <xdr:colOff>698014</xdr:colOff>
      <xdr:row>22</xdr:row>
      <xdr:rowOff>1729881</xdr:rowOff>
    </xdr:to>
    <xdr:graphicFrame macro="">
      <xdr:nvGraphicFramePr>
        <xdr:cNvPr id="3" name="Diagramm 2">
          <a:extLst>
            <a:ext uri="{FF2B5EF4-FFF2-40B4-BE49-F238E27FC236}">
              <a16:creationId xmlns:a16="http://schemas.microsoft.com/office/drawing/2014/main" id="{24460EC1-4D9B-41FB-AA6A-CFA16F119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103909</xdr:colOff>
      <xdr:row>28</xdr:row>
      <xdr:rowOff>28142</xdr:rowOff>
    </xdr:from>
    <xdr:to>
      <xdr:col>5</xdr:col>
      <xdr:colOff>706240</xdr:colOff>
      <xdr:row>28</xdr:row>
      <xdr:rowOff>1723846</xdr:rowOff>
    </xdr:to>
    <xdr:graphicFrame macro="">
      <xdr:nvGraphicFramePr>
        <xdr:cNvPr id="6" name="Diagramm 5">
          <a:extLst>
            <a:ext uri="{FF2B5EF4-FFF2-40B4-BE49-F238E27FC236}">
              <a16:creationId xmlns:a16="http://schemas.microsoft.com/office/drawing/2014/main" id="{8AF5C5E0-A0C2-46E8-BAB7-56A27681F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73602</xdr:colOff>
      <xdr:row>21</xdr:row>
      <xdr:rowOff>45174</xdr:rowOff>
    </xdr:from>
    <xdr:to>
      <xdr:col>5</xdr:col>
      <xdr:colOff>697489</xdr:colOff>
      <xdr:row>22</xdr:row>
      <xdr:rowOff>20382</xdr:rowOff>
    </xdr:to>
    <xdr:pic>
      <xdr:nvPicPr>
        <xdr:cNvPr id="4" name="Grafik 3">
          <a:extLst>
            <a:ext uri="{FF2B5EF4-FFF2-40B4-BE49-F238E27FC236}">
              <a16:creationId xmlns:a16="http://schemas.microsoft.com/office/drawing/2014/main" id="{DF5C5EB2-9965-168A-F2E5-EC72501E1B83}"/>
            </a:ext>
          </a:extLst>
        </xdr:cNvPr>
        <xdr:cNvPicPr>
          <a:picLocks noChangeAspect="1"/>
        </xdr:cNvPicPr>
      </xdr:nvPicPr>
      <xdr:blipFill>
        <a:blip xmlns:r="http://schemas.openxmlformats.org/officeDocument/2006/relationships" r:embed="rId3"/>
        <a:stretch>
          <a:fillRect/>
        </a:stretch>
      </xdr:blipFill>
      <xdr:spPr>
        <a:xfrm>
          <a:off x="2454852" y="13406151"/>
          <a:ext cx="1251671" cy="204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64418</xdr:colOff>
      <xdr:row>28</xdr:row>
      <xdr:rowOff>34841</xdr:rowOff>
    </xdr:from>
    <xdr:to>
      <xdr:col>5</xdr:col>
      <xdr:colOff>671512</xdr:colOff>
      <xdr:row>28</xdr:row>
      <xdr:rowOff>1719262</xdr:rowOff>
    </xdr:to>
    <xdr:graphicFrame macro="">
      <xdr:nvGraphicFramePr>
        <xdr:cNvPr id="2" name="Diagramm 1">
          <a:extLst>
            <a:ext uri="{FF2B5EF4-FFF2-40B4-BE49-F238E27FC236}">
              <a16:creationId xmlns:a16="http://schemas.microsoft.com/office/drawing/2014/main" id="{538741A5-8B2C-4F87-BC24-8788157F2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79572</xdr:colOff>
      <xdr:row>34</xdr:row>
      <xdr:rowOff>21394</xdr:rowOff>
    </xdr:from>
    <xdr:to>
      <xdr:col>5</xdr:col>
      <xdr:colOff>681903</xdr:colOff>
      <xdr:row>34</xdr:row>
      <xdr:rowOff>1717098</xdr:rowOff>
    </xdr:to>
    <xdr:graphicFrame macro="">
      <xdr:nvGraphicFramePr>
        <xdr:cNvPr id="4" name="Diagramm 3">
          <a:extLst>
            <a:ext uri="{FF2B5EF4-FFF2-40B4-BE49-F238E27FC236}">
              <a16:creationId xmlns:a16="http://schemas.microsoft.com/office/drawing/2014/main" id="{5251141A-375B-4B76-8919-3341065FC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52552</xdr:colOff>
      <xdr:row>27</xdr:row>
      <xdr:rowOff>39414</xdr:rowOff>
    </xdr:from>
    <xdr:to>
      <xdr:col>5</xdr:col>
      <xdr:colOff>673602</xdr:colOff>
      <xdr:row>28</xdr:row>
      <xdr:rowOff>9412</xdr:rowOff>
    </xdr:to>
    <xdr:pic>
      <xdr:nvPicPr>
        <xdr:cNvPr id="3" name="Grafik 2">
          <a:extLst>
            <a:ext uri="{FF2B5EF4-FFF2-40B4-BE49-F238E27FC236}">
              <a16:creationId xmlns:a16="http://schemas.microsoft.com/office/drawing/2014/main" id="{74C44BCB-1AE5-4747-A936-5C68B337BB07}"/>
            </a:ext>
          </a:extLst>
        </xdr:cNvPr>
        <xdr:cNvPicPr>
          <a:picLocks noChangeAspect="1"/>
        </xdr:cNvPicPr>
      </xdr:nvPicPr>
      <xdr:blipFill>
        <a:blip xmlns:r="http://schemas.openxmlformats.org/officeDocument/2006/relationships" r:embed="rId3"/>
        <a:stretch>
          <a:fillRect/>
        </a:stretch>
      </xdr:blipFill>
      <xdr:spPr>
        <a:xfrm>
          <a:off x="2437086" y="13407259"/>
          <a:ext cx="1251671" cy="199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42863</xdr:colOff>
      <xdr:row>2</xdr:row>
      <xdr:rowOff>9526</xdr:rowOff>
    </xdr:from>
    <xdr:to>
      <xdr:col>11</xdr:col>
      <xdr:colOff>461963</xdr:colOff>
      <xdr:row>10</xdr:row>
      <xdr:rowOff>133351</xdr:rowOff>
    </xdr:to>
    <xdr:graphicFrame macro="">
      <xdr:nvGraphicFramePr>
        <xdr:cNvPr id="2" name="Diagramm 1">
          <a:extLst>
            <a:ext uri="{FF2B5EF4-FFF2-40B4-BE49-F238E27FC236}">
              <a16:creationId xmlns:a16="http://schemas.microsoft.com/office/drawing/2014/main" id="{F82CD81D-550D-418C-9233-86C91816F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48126</xdr:colOff>
      <xdr:row>1</xdr:row>
      <xdr:rowOff>47126</xdr:rowOff>
    </xdr:from>
    <xdr:to>
      <xdr:col>9</xdr:col>
      <xdr:colOff>214814</xdr:colOff>
      <xdr:row>1</xdr:row>
      <xdr:rowOff>208318</xdr:rowOff>
    </xdr:to>
    <xdr:pic>
      <xdr:nvPicPr>
        <xdr:cNvPr id="3" name="Grafik 2">
          <a:extLst>
            <a:ext uri="{FF2B5EF4-FFF2-40B4-BE49-F238E27FC236}">
              <a16:creationId xmlns:a16="http://schemas.microsoft.com/office/drawing/2014/main" id="{5FFDE918-D250-4588-8C74-78AD192979C3}"/>
            </a:ext>
          </a:extLst>
        </xdr:cNvPr>
        <xdr:cNvPicPr>
          <a:picLocks noChangeAspect="1"/>
        </xdr:cNvPicPr>
      </xdr:nvPicPr>
      <xdr:blipFill>
        <a:blip xmlns:r="http://schemas.openxmlformats.org/officeDocument/2006/relationships" r:embed="rId2"/>
        <a:stretch>
          <a:fillRect/>
        </a:stretch>
      </xdr:blipFill>
      <xdr:spPr>
        <a:xfrm>
          <a:off x="3286626" y="222386"/>
          <a:ext cx="1096328" cy="161192"/>
        </a:xfrm>
        <a:prstGeom prst="rect">
          <a:avLst/>
        </a:prstGeom>
      </xdr:spPr>
    </xdr:pic>
    <xdr:clientData/>
  </xdr:twoCellAnchor>
  <xdr:twoCellAnchor>
    <xdr:from>
      <xdr:col>17</xdr:col>
      <xdr:colOff>140368</xdr:colOff>
      <xdr:row>26</xdr:row>
      <xdr:rowOff>100264</xdr:rowOff>
    </xdr:from>
    <xdr:to>
      <xdr:col>28</xdr:col>
      <xdr:colOff>368968</xdr:colOff>
      <xdr:row>46</xdr:row>
      <xdr:rowOff>36096</xdr:rowOff>
    </xdr:to>
    <xdr:graphicFrame macro="">
      <xdr:nvGraphicFramePr>
        <xdr:cNvPr id="4" name="Diagramm 3">
          <a:extLst>
            <a:ext uri="{FF2B5EF4-FFF2-40B4-BE49-F238E27FC236}">
              <a16:creationId xmlns:a16="http://schemas.microsoft.com/office/drawing/2014/main" id="{23634EB6-C6D6-4CF1-9841-AA405731C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42863</xdr:colOff>
      <xdr:row>2</xdr:row>
      <xdr:rowOff>9526</xdr:rowOff>
    </xdr:from>
    <xdr:to>
      <xdr:col>11</xdr:col>
      <xdr:colOff>461963</xdr:colOff>
      <xdr:row>10</xdr:row>
      <xdr:rowOff>133351</xdr:rowOff>
    </xdr:to>
    <xdr:graphicFrame macro="">
      <xdr:nvGraphicFramePr>
        <xdr:cNvPr id="2" name="Diagramm 1">
          <a:extLst>
            <a:ext uri="{FF2B5EF4-FFF2-40B4-BE49-F238E27FC236}">
              <a16:creationId xmlns:a16="http://schemas.microsoft.com/office/drawing/2014/main" id="{75650AAC-A2D1-47B0-9FFB-679FDE8D73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48126</xdr:colOff>
      <xdr:row>1</xdr:row>
      <xdr:rowOff>47126</xdr:rowOff>
    </xdr:from>
    <xdr:to>
      <xdr:col>9</xdr:col>
      <xdr:colOff>214814</xdr:colOff>
      <xdr:row>1</xdr:row>
      <xdr:rowOff>208318</xdr:rowOff>
    </xdr:to>
    <xdr:pic>
      <xdr:nvPicPr>
        <xdr:cNvPr id="3" name="Grafik 2">
          <a:extLst>
            <a:ext uri="{FF2B5EF4-FFF2-40B4-BE49-F238E27FC236}">
              <a16:creationId xmlns:a16="http://schemas.microsoft.com/office/drawing/2014/main" id="{456443F3-FDAD-427C-A7AD-8137002567A6}"/>
            </a:ext>
          </a:extLst>
        </xdr:cNvPr>
        <xdr:cNvPicPr>
          <a:picLocks noChangeAspect="1"/>
        </xdr:cNvPicPr>
      </xdr:nvPicPr>
      <xdr:blipFill>
        <a:blip xmlns:r="http://schemas.openxmlformats.org/officeDocument/2006/relationships" r:embed="rId2"/>
        <a:stretch>
          <a:fillRect/>
        </a:stretch>
      </xdr:blipFill>
      <xdr:spPr>
        <a:xfrm>
          <a:off x="3288631" y="223589"/>
          <a:ext cx="1097130" cy="161192"/>
        </a:xfrm>
        <a:prstGeom prst="rect">
          <a:avLst/>
        </a:prstGeom>
      </xdr:spPr>
    </xdr:pic>
    <xdr:clientData/>
  </xdr:twoCellAnchor>
  <xdr:twoCellAnchor>
    <xdr:from>
      <xdr:col>17</xdr:col>
      <xdr:colOff>140368</xdr:colOff>
      <xdr:row>26</xdr:row>
      <xdr:rowOff>100264</xdr:rowOff>
    </xdr:from>
    <xdr:to>
      <xdr:col>28</xdr:col>
      <xdr:colOff>368968</xdr:colOff>
      <xdr:row>46</xdr:row>
      <xdr:rowOff>36096</xdr:rowOff>
    </xdr:to>
    <xdr:graphicFrame macro="">
      <xdr:nvGraphicFramePr>
        <xdr:cNvPr id="5" name="Diagramm 4">
          <a:extLst>
            <a:ext uri="{FF2B5EF4-FFF2-40B4-BE49-F238E27FC236}">
              <a16:creationId xmlns:a16="http://schemas.microsoft.com/office/drawing/2014/main" id="{FC21DDF3-7CAB-AFE1-1C37-B65F8EA597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42863</xdr:colOff>
      <xdr:row>2</xdr:row>
      <xdr:rowOff>9526</xdr:rowOff>
    </xdr:from>
    <xdr:to>
      <xdr:col>26</xdr:col>
      <xdr:colOff>461963</xdr:colOff>
      <xdr:row>10</xdr:row>
      <xdr:rowOff>133351</xdr:rowOff>
    </xdr:to>
    <xdr:graphicFrame macro="">
      <xdr:nvGraphicFramePr>
        <xdr:cNvPr id="2" name="Diagramm 1">
          <a:extLst>
            <a:ext uri="{FF2B5EF4-FFF2-40B4-BE49-F238E27FC236}">
              <a16:creationId xmlns:a16="http://schemas.microsoft.com/office/drawing/2014/main" id="{2218942B-62DE-47E6-B501-DE82283BF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21981</xdr:colOff>
      <xdr:row>2</xdr:row>
      <xdr:rowOff>16119</xdr:rowOff>
    </xdr:from>
    <xdr:to>
      <xdr:col>26</xdr:col>
      <xdr:colOff>460129</xdr:colOff>
      <xdr:row>10</xdr:row>
      <xdr:rowOff>149469</xdr:rowOff>
    </xdr:to>
    <xdr:graphicFrame macro="">
      <xdr:nvGraphicFramePr>
        <xdr:cNvPr id="4" name="Diagramm 3">
          <a:extLst>
            <a:ext uri="{FF2B5EF4-FFF2-40B4-BE49-F238E27FC236}">
              <a16:creationId xmlns:a16="http://schemas.microsoft.com/office/drawing/2014/main" id="{B53DBBE4-49D1-4C2D-B96A-A65296824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48126</xdr:colOff>
      <xdr:row>42</xdr:row>
      <xdr:rowOff>47126</xdr:rowOff>
    </xdr:from>
    <xdr:to>
      <xdr:col>8</xdr:col>
      <xdr:colOff>214814</xdr:colOff>
      <xdr:row>42</xdr:row>
      <xdr:rowOff>208318</xdr:rowOff>
    </xdr:to>
    <xdr:pic>
      <xdr:nvPicPr>
        <xdr:cNvPr id="2" name="Grafik 1">
          <a:extLst>
            <a:ext uri="{FF2B5EF4-FFF2-40B4-BE49-F238E27FC236}">
              <a16:creationId xmlns:a16="http://schemas.microsoft.com/office/drawing/2014/main" id="{DB267A36-DABD-458C-8A89-D36E36A437C4}"/>
            </a:ext>
          </a:extLst>
        </xdr:cNvPr>
        <xdr:cNvPicPr>
          <a:picLocks noChangeAspect="1"/>
        </xdr:cNvPicPr>
      </xdr:nvPicPr>
      <xdr:blipFill>
        <a:blip xmlns:r="http://schemas.openxmlformats.org/officeDocument/2006/relationships" r:embed="rId1"/>
        <a:stretch>
          <a:fillRect/>
        </a:stretch>
      </xdr:blipFill>
      <xdr:spPr>
        <a:xfrm>
          <a:off x="3065646" y="25200746"/>
          <a:ext cx="1111568" cy="161192"/>
        </a:xfrm>
        <a:prstGeom prst="rect">
          <a:avLst/>
        </a:prstGeom>
      </xdr:spPr>
    </xdr:pic>
    <xdr:clientData/>
  </xdr:twoCellAnchor>
  <xdr:twoCellAnchor>
    <xdr:from>
      <xdr:col>3</xdr:col>
      <xdr:colOff>28578</xdr:colOff>
      <xdr:row>43</xdr:row>
      <xdr:rowOff>23815</xdr:rowOff>
    </xdr:from>
    <xdr:to>
      <xdr:col>10</xdr:col>
      <xdr:colOff>447678</xdr:colOff>
      <xdr:row>51</xdr:row>
      <xdr:rowOff>147640</xdr:rowOff>
    </xdr:to>
    <xdr:graphicFrame macro="">
      <xdr:nvGraphicFramePr>
        <xdr:cNvPr id="3" name="Diagramm 2">
          <a:extLst>
            <a:ext uri="{FF2B5EF4-FFF2-40B4-BE49-F238E27FC236}">
              <a16:creationId xmlns:a16="http://schemas.microsoft.com/office/drawing/2014/main" id="{A1782B08-95CE-42DB-987F-D68C72FDF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26</xdr:row>
      <xdr:rowOff>29307</xdr:rowOff>
    </xdr:from>
    <xdr:to>
      <xdr:col>6</xdr:col>
      <xdr:colOff>152400</xdr:colOff>
      <xdr:row>26</xdr:row>
      <xdr:rowOff>2490107</xdr:rowOff>
    </xdr:to>
    <xdr:graphicFrame macro="">
      <xdr:nvGraphicFramePr>
        <xdr:cNvPr id="4" name="Diagramm 3">
          <a:extLst>
            <a:ext uri="{FF2B5EF4-FFF2-40B4-BE49-F238E27FC236}">
              <a16:creationId xmlns:a16="http://schemas.microsoft.com/office/drawing/2014/main" id="{F042B29B-A914-432E-BFBD-AEC5187D9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3</xdr:col>
      <xdr:colOff>182176</xdr:colOff>
      <xdr:row>25</xdr:row>
      <xdr:rowOff>57883</xdr:rowOff>
    </xdr:from>
    <xdr:ext cx="1327078" cy="113566"/>
    <xdr:pic>
      <xdr:nvPicPr>
        <xdr:cNvPr id="5" name="Grafik 4">
          <a:extLst>
            <a:ext uri="{FF2B5EF4-FFF2-40B4-BE49-F238E27FC236}">
              <a16:creationId xmlns:a16="http://schemas.microsoft.com/office/drawing/2014/main" id="{B68E589F-B7F9-466B-899F-1EAB07007666}"/>
            </a:ext>
          </a:extLst>
        </xdr:cNvPr>
        <xdr:cNvPicPr>
          <a:picLocks noChangeAspect="1"/>
        </xdr:cNvPicPr>
      </xdr:nvPicPr>
      <xdr:blipFill>
        <a:blip xmlns:r="http://schemas.openxmlformats.org/officeDocument/2006/relationships" r:embed="rId4"/>
        <a:stretch>
          <a:fillRect/>
        </a:stretch>
      </xdr:blipFill>
      <xdr:spPr>
        <a:xfrm>
          <a:off x="1782376" y="11197371"/>
          <a:ext cx="1327078" cy="113566"/>
        </a:xfrm>
        <a:prstGeom prst="rect">
          <a:avLst/>
        </a:prstGeom>
      </xdr:spPr>
    </xdr:pic>
    <xdr:clientData/>
  </xdr:oneCellAnchor>
  <xdr:twoCellAnchor>
    <xdr:from>
      <xdr:col>7</xdr:col>
      <xdr:colOff>28574</xdr:colOff>
      <xdr:row>26</xdr:row>
      <xdr:rowOff>47624</xdr:rowOff>
    </xdr:from>
    <xdr:to>
      <xdr:col>13</xdr:col>
      <xdr:colOff>223837</xdr:colOff>
      <xdr:row>26</xdr:row>
      <xdr:rowOff>2299607</xdr:rowOff>
    </xdr:to>
    <xdr:graphicFrame macro="">
      <xdr:nvGraphicFramePr>
        <xdr:cNvPr id="6" name="Diagramm 5">
          <a:extLst>
            <a:ext uri="{FF2B5EF4-FFF2-40B4-BE49-F238E27FC236}">
              <a16:creationId xmlns:a16="http://schemas.microsoft.com/office/drawing/2014/main" id="{FC200C95-0A0A-4EEF-A2AC-89D63E72D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youcanvalue.d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16789-5A33-4200-A8A3-2A33A780555A}">
  <sheetPr>
    <tabColor theme="9" tint="0.79998168889431442"/>
  </sheetPr>
  <dimension ref="A1"/>
  <sheetViews>
    <sheetView workbookViewId="0"/>
  </sheetViews>
  <sheetFormatPr baseColWidth="10" defaultRowHeight="14.25" x14ac:dyDescent="0.4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6954-E822-4352-8EEF-6DC9C731F9DB}">
  <sheetPr>
    <tabColor theme="2" tint="-0.249977111117893"/>
  </sheetPr>
  <dimension ref="B2:G610"/>
  <sheetViews>
    <sheetView showGridLines="0" topLeftCell="B20" zoomScale="220" zoomScaleNormal="220" workbookViewId="0">
      <selection activeCell="B20" sqref="B20:F20"/>
    </sheetView>
  </sheetViews>
  <sheetFormatPr baseColWidth="10" defaultColWidth="11.46484375" defaultRowHeight="18" customHeight="1" x14ac:dyDescent="0.45"/>
  <cols>
    <col min="1" max="1" width="5.86328125" style="7" customWidth="1"/>
    <col min="2" max="2" width="8.86328125" style="7" customWidth="1"/>
    <col min="3" max="3" width="9.86328125" style="7" customWidth="1"/>
    <col min="4" max="5" width="8.86328125" style="7" customWidth="1"/>
    <col min="6" max="6" width="10.86328125" style="7" customWidth="1"/>
    <col min="7" max="15" width="6.86328125" style="7" customWidth="1"/>
    <col min="16" max="16384" width="11.46484375" style="7"/>
  </cols>
  <sheetData>
    <row r="2" spans="2:7" ht="18" customHeight="1" x14ac:dyDescent="0.45">
      <c r="B2" s="1160" t="str">
        <f>'DIY Grundmodell'!$A$2</f>
        <v>Meta Platforms, Inc.</v>
      </c>
      <c r="C2" s="1161" t="str">
        <f>'DIY Grundmodell'!$A$2</f>
        <v>Meta Platforms, Inc.</v>
      </c>
      <c r="D2" s="1161" t="str">
        <f>'DIY Grundmodell'!$A$2</f>
        <v>Meta Platforms, Inc.</v>
      </c>
      <c r="E2" s="1161" t="str">
        <f>'DIY Grundmodell'!$A$2</f>
        <v>Meta Platforms, Inc.</v>
      </c>
      <c r="F2" s="1161" t="str">
        <f>'DIY Grundmodell'!$A$2</f>
        <v>Meta Platforms, Inc.</v>
      </c>
    </row>
    <row r="3" spans="2:7" ht="409.5" customHeight="1" x14ac:dyDescent="0.45">
      <c r="B3" s="1162" t="s">
        <v>354</v>
      </c>
      <c r="C3" s="1162"/>
      <c r="D3" s="1162"/>
      <c r="E3" s="1162"/>
      <c r="F3" s="1162"/>
    </row>
    <row r="5" spans="2:7" ht="18" customHeight="1" x14ac:dyDescent="0.45">
      <c r="B5" s="883" t="str">
        <f>'DIY Grundmodell'!$A$2</f>
        <v>Meta Platforms, Inc.</v>
      </c>
      <c r="C5" s="856"/>
      <c r="D5" s="857"/>
      <c r="E5" s="858"/>
      <c r="F5" s="884">
        <f>'DIY Grundmodell'!N2</f>
        <v>46129</v>
      </c>
    </row>
    <row r="6" spans="2:7" ht="18" customHeight="1" x14ac:dyDescent="0.45">
      <c r="B6" s="867" t="s">
        <v>100</v>
      </c>
      <c r="C6" s="859"/>
      <c r="D6" s="859"/>
      <c r="E6" s="859"/>
      <c r="F6" s="885" t="str">
        <f>'DIY Grundmodell'!E4</f>
        <v>US30303M1027</v>
      </c>
    </row>
    <row r="7" spans="2:7" ht="18" customHeight="1" x14ac:dyDescent="0.45">
      <c r="B7" s="867" t="s">
        <v>101</v>
      </c>
      <c r="C7" s="859"/>
      <c r="D7" s="859"/>
      <c r="E7" s="859"/>
      <c r="F7" s="885" t="str">
        <f>'DIY Grundmodell'!E5</f>
        <v>www.meta.com</v>
      </c>
    </row>
    <row r="8" spans="2:7" ht="18" customHeight="1" x14ac:dyDescent="0.45">
      <c r="B8" s="867" t="s">
        <v>102</v>
      </c>
      <c r="C8" s="859"/>
      <c r="D8" s="859"/>
      <c r="E8" s="859"/>
      <c r="F8" s="885" t="str">
        <f>'DIY Grundmodell'!E6</f>
        <v>Vereinigte Staaten</v>
      </c>
    </row>
    <row r="9" spans="2:7" ht="18" customHeight="1" x14ac:dyDescent="0.45">
      <c r="B9" s="867" t="str">
        <f>"Primäre Industrie: "&amp;'DIY Grundmodell'!$E$7</f>
        <v>Primäre Industrie: Interaktive Medien und Dienstleistungen</v>
      </c>
      <c r="C9" s="859"/>
      <c r="D9" s="859"/>
      <c r="E9" s="859"/>
      <c r="F9" s="885"/>
      <c r="G9" s="7" t="s">
        <v>24</v>
      </c>
    </row>
    <row r="10" spans="2:7" ht="18" customHeight="1" x14ac:dyDescent="0.45">
      <c r="B10" s="867" t="str">
        <f>"52 Wochen Tief in " &amp;Datenquelle!$K$13</f>
        <v>52 Wochen Tief in USD</v>
      </c>
      <c r="C10" s="859"/>
      <c r="D10" s="860"/>
      <c r="E10" s="859"/>
      <c r="F10" s="869">
        <f>'DIY Grundmodell'!I7</f>
        <v>479.8</v>
      </c>
    </row>
    <row r="11" spans="2:7" ht="18" customHeight="1" x14ac:dyDescent="0.45">
      <c r="B11" s="867" t="str">
        <f>"52 Wochen Hoch in " &amp;Datenquelle!$K$13</f>
        <v>52 Wochen Hoch in USD</v>
      </c>
      <c r="C11" s="859"/>
      <c r="D11" s="860"/>
      <c r="E11" s="859"/>
      <c r="F11" s="869">
        <f>'DIY Grundmodell'!I8</f>
        <v>796.25</v>
      </c>
    </row>
    <row r="12" spans="2:7" ht="18" customHeight="1" x14ac:dyDescent="0.45">
      <c r="B12" s="867" t="str">
        <f>pay!B14</f>
        <v>Aktienkurs in USD</v>
      </c>
      <c r="C12" s="859"/>
      <c r="D12" s="859"/>
      <c r="E12" s="859"/>
      <c r="F12" s="898">
        <f>pay!F14</f>
        <v>676.87</v>
      </c>
    </row>
    <row r="13" spans="2:7" ht="18" customHeight="1" x14ac:dyDescent="0.45">
      <c r="B13" s="867" t="s">
        <v>311</v>
      </c>
      <c r="C13" s="859"/>
      <c r="D13" s="860"/>
      <c r="E13" s="859"/>
      <c r="F13" s="891">
        <f>'DIY Grundmodell'!I12</f>
        <v>0.86334169999999999</v>
      </c>
    </row>
    <row r="14" spans="2:7" ht="18" customHeight="1" x14ac:dyDescent="0.45">
      <c r="B14" s="886" t="str">
        <f>"Angaben zum Bewertungsstichtag in Mio. " &amp;Datenquelle!$K$13</f>
        <v>Angaben zum Bewertungsstichtag in Mio. USD</v>
      </c>
      <c r="C14" s="857"/>
      <c r="D14" s="857"/>
      <c r="E14" s="857"/>
      <c r="F14" s="887"/>
    </row>
    <row r="15" spans="2:7" ht="18" customHeight="1" x14ac:dyDescent="0.45">
      <c r="B15" s="867" t="s">
        <v>243</v>
      </c>
      <c r="C15" s="859"/>
      <c r="D15" s="860"/>
      <c r="E15" s="859"/>
      <c r="F15" s="892">
        <f>'DIY Grundmodell'!I9</f>
        <v>1712180.20692</v>
      </c>
    </row>
    <row r="16" spans="2:7" ht="18" customHeight="1" x14ac:dyDescent="0.45">
      <c r="B16" s="867" t="s">
        <v>244</v>
      </c>
      <c r="C16" s="859"/>
      <c r="D16" s="859"/>
      <c r="E16" s="859"/>
      <c r="F16" s="892">
        <f>'DIY Grundmodell'!B19</f>
        <v>200966</v>
      </c>
    </row>
    <row r="17" spans="2:6" ht="18" customHeight="1" x14ac:dyDescent="0.45">
      <c r="B17" s="893" t="s">
        <v>245</v>
      </c>
      <c r="C17" s="859"/>
      <c r="D17" s="859"/>
      <c r="E17" s="859"/>
      <c r="F17" s="892">
        <f>'DIY Grundmodell'!B21</f>
        <v>84075.919760000004</v>
      </c>
    </row>
    <row r="18" spans="2:6" ht="18" customHeight="1" thickBot="1" x14ac:dyDescent="0.5">
      <c r="B18" s="894" t="s">
        <v>246</v>
      </c>
      <c r="C18" s="871"/>
      <c r="D18" s="871"/>
      <c r="E18" s="871"/>
      <c r="F18" s="895">
        <f>F17/F16</f>
        <v>0.41835892519132589</v>
      </c>
    </row>
    <row r="20" spans="2:6" ht="409.5" customHeight="1" x14ac:dyDescent="0.45">
      <c r="B20" s="1162" t="s">
        <v>355</v>
      </c>
      <c r="C20" s="1162"/>
      <c r="D20" s="1162"/>
      <c r="E20" s="1162"/>
      <c r="F20" s="1162"/>
    </row>
    <row r="21" spans="2:6" ht="18" customHeight="1" thickBot="1" x14ac:dyDescent="0.5"/>
    <row r="22" spans="2:6" ht="18" customHeight="1" x14ac:dyDescent="0.45">
      <c r="B22" s="873" t="s">
        <v>357</v>
      </c>
      <c r="C22" s="874"/>
      <c r="D22" s="874"/>
      <c r="E22" s="874"/>
      <c r="F22" s="875"/>
    </row>
    <row r="23" spans="2:6" ht="140.1" customHeight="1" thickBot="1" x14ac:dyDescent="0.5">
      <c r="B23" s="876"/>
      <c r="C23" s="877"/>
      <c r="D23" s="877"/>
      <c r="E23" s="877"/>
      <c r="F23" s="878"/>
    </row>
    <row r="25" spans="2:6" ht="18" customHeight="1" x14ac:dyDescent="0.45">
      <c r="B25" s="1163" t="s">
        <v>272</v>
      </c>
      <c r="C25" s="1164"/>
      <c r="D25" s="1164"/>
      <c r="E25" s="1164"/>
      <c r="F25" s="1164"/>
    </row>
    <row r="26" spans="2:6" ht="109.35" customHeight="1" x14ac:dyDescent="0.45">
      <c r="B26" s="1159" t="str">
        <f>'DIY Grundmodell'!$A$260 &amp;" " &amp;'DIY Grundmodell'!$A$261&amp;" " &amp;'DIY Grundmodell'!$A$262&amp;" " &amp;'DIY Grundmodell'!$A$263&amp;" " &amp;'DIY Grundmodell'!$A$264</f>
        <v xml:space="preserve">In den letzten drei Fiskaljahren veränderte sich der Umsatz um 15,7%, 21,9% und zuletzt 22,2%. Neben diesen Veränderungen beim Umsatz betrachten wir die erzielten operativen Margen. In den letzten drei Fiskaljahren betrug die EBIT-Marge 34,7%, 42,2% und zuletzt 41,4%. Die mittlere EBIT-Marge betrug über die letzten 10 Jahre 41,2%; über die letzten 5 Jahre hingegen 39,6% (Median). </v>
      </c>
      <c r="C26" s="1159"/>
      <c r="D26" s="1159"/>
      <c r="E26" s="1159"/>
      <c r="F26" s="1159"/>
    </row>
    <row r="27" spans="2:6" ht="18" customHeight="1" thickBot="1" x14ac:dyDescent="0.5"/>
    <row r="28" spans="2:6" ht="18" customHeight="1" x14ac:dyDescent="0.45">
      <c r="B28" s="873" t="str">
        <f>"Umsatz " &amp;'DIY Grundmodell'!$E$12 &amp;"  |  EBIT-Marge  |  10 Fiskaljahre"</f>
        <v>Umsatz in Mio. USD  |  EBIT-Marge  |  10 Fiskaljahre</v>
      </c>
      <c r="C28" s="909"/>
      <c r="D28" s="909"/>
      <c r="E28" s="909"/>
      <c r="F28" s="910"/>
    </row>
    <row r="29" spans="2:6" ht="140.1" customHeight="1" thickBot="1" x14ac:dyDescent="0.5">
      <c r="B29" s="911"/>
      <c r="C29" s="877"/>
      <c r="D29" s="877"/>
      <c r="E29" s="877"/>
      <c r="F29" s="912"/>
    </row>
    <row r="31" spans="2:6" ht="18" customHeight="1" x14ac:dyDescent="0.45">
      <c r="B31" s="1165" t="s">
        <v>314</v>
      </c>
      <c r="C31" s="1165"/>
      <c r="D31" s="1165"/>
      <c r="E31" s="1165"/>
      <c r="F31" s="1165"/>
    </row>
    <row r="32" spans="2:6" ht="18" customHeight="1" x14ac:dyDescent="0.45">
      <c r="B32" s="1166" t="s">
        <v>315</v>
      </c>
      <c r="C32" s="1166"/>
      <c r="D32" s="1166"/>
      <c r="E32" s="1166"/>
      <c r="F32" s="1166"/>
    </row>
    <row r="33" spans="2:6" ht="96" customHeight="1" x14ac:dyDescent="0.45">
      <c r="B33" s="1144" t="s">
        <v>301</v>
      </c>
      <c r="C33" s="1144"/>
      <c r="D33" s="1144"/>
      <c r="E33" s="1144"/>
      <c r="F33" s="1144"/>
    </row>
    <row r="34" spans="2:6" ht="18" customHeight="1" x14ac:dyDescent="0.45">
      <c r="B34" s="1165" t="s">
        <v>308</v>
      </c>
      <c r="C34" s="1165"/>
      <c r="D34" s="1165"/>
      <c r="E34" s="1165"/>
      <c r="F34" s="1165"/>
    </row>
    <row r="35" spans="2:6" ht="210" customHeight="1" x14ac:dyDescent="0.45">
      <c r="B35" s="1144" t="s">
        <v>309</v>
      </c>
      <c r="C35" s="1144"/>
      <c r="D35" s="1144"/>
      <c r="E35" s="1144"/>
      <c r="F35" s="1144"/>
    </row>
    <row r="36" spans="2:6" ht="32" customHeight="1" x14ac:dyDescent="0.45">
      <c r="B36" s="1165" t="s">
        <v>310</v>
      </c>
      <c r="C36" s="1165"/>
      <c r="D36" s="1165"/>
      <c r="E36" s="1165"/>
      <c r="F36" s="1165"/>
    </row>
    <row r="37" spans="2:6" ht="300" customHeight="1" x14ac:dyDescent="0.45">
      <c r="B37" s="1144" t="s">
        <v>312</v>
      </c>
      <c r="C37" s="1144"/>
      <c r="D37" s="1144"/>
      <c r="E37" s="1144"/>
      <c r="F37" s="1144"/>
    </row>
    <row r="39" spans="2:6" ht="18" customHeight="1" x14ac:dyDescent="0.45">
      <c r="B39" s="850"/>
      <c r="C39" s="850"/>
      <c r="D39" s="850"/>
      <c r="E39" s="850"/>
      <c r="F39" s="850"/>
    </row>
    <row r="40" spans="2:6" ht="18" customHeight="1" x14ac:dyDescent="0.45">
      <c r="B40" s="850"/>
      <c r="C40" s="850"/>
      <c r="D40" s="850"/>
      <c r="E40" s="850"/>
      <c r="F40" s="850"/>
    </row>
    <row r="41" spans="2:6" ht="18" customHeight="1" x14ac:dyDescent="0.45">
      <c r="B41" s="850"/>
      <c r="C41" s="850"/>
      <c r="D41" s="850"/>
      <c r="E41" s="850"/>
      <c r="F41" s="850"/>
    </row>
    <row r="42" spans="2:6" ht="18" customHeight="1" x14ac:dyDescent="0.45">
      <c r="B42" s="850"/>
      <c r="C42" s="850"/>
      <c r="D42" s="850"/>
      <c r="E42" s="850"/>
      <c r="F42" s="850"/>
    </row>
    <row r="43" spans="2:6" ht="18" customHeight="1" x14ac:dyDescent="0.45">
      <c r="B43" s="850"/>
      <c r="C43" s="850"/>
      <c r="D43" s="850"/>
      <c r="E43" s="850"/>
      <c r="F43" s="850"/>
    </row>
    <row r="44" spans="2:6" ht="18" customHeight="1" x14ac:dyDescent="0.45">
      <c r="B44" s="850"/>
      <c r="C44" s="850"/>
      <c r="D44" s="850"/>
      <c r="E44" s="850"/>
      <c r="F44" s="850"/>
    </row>
    <row r="45" spans="2:6" ht="18" customHeight="1" x14ac:dyDescent="0.45">
      <c r="B45" s="850"/>
      <c r="C45" s="850"/>
      <c r="D45" s="850"/>
      <c r="E45" s="850"/>
      <c r="F45" s="850"/>
    </row>
    <row r="610" ht="18" customHeight="1" collapsed="1" x14ac:dyDescent="0.45"/>
  </sheetData>
  <mergeCells count="12">
    <mergeCell ref="B37:F37"/>
    <mergeCell ref="B31:F31"/>
    <mergeCell ref="B36:F36"/>
    <mergeCell ref="B33:F33"/>
    <mergeCell ref="B34:F34"/>
    <mergeCell ref="B32:F32"/>
    <mergeCell ref="B35:F35"/>
    <mergeCell ref="B26:F26"/>
    <mergeCell ref="B2:F2"/>
    <mergeCell ref="B3:F3"/>
    <mergeCell ref="B25:F25"/>
    <mergeCell ref="B20:F20"/>
  </mergeCells>
  <conditionalFormatting sqref="F29">
    <cfRule type="cellIs" dxfId="210" priority="19" operator="greaterThan">
      <formula>1</formula>
    </cfRule>
  </conditionalFormatting>
  <printOptions horizontalCentered="1"/>
  <pageMargins left="0.70866141732283472" right="0.70866141732283472" top="0.78740157480314965" bottom="0.78740157480314965" header="0.31496062992125984" footer="0.31496062992125984"/>
  <pageSetup paperSize="9"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CA7C-384B-4E61-A0A7-C42D221A155A}">
  <sheetPr>
    <tabColor theme="2" tint="-0.249977111117893"/>
  </sheetPr>
  <dimension ref="B2:J735"/>
  <sheetViews>
    <sheetView showGridLines="0" zoomScale="145" zoomScaleNormal="145" workbookViewId="0">
      <selection activeCell="B20" sqref="B20:F20"/>
    </sheetView>
  </sheetViews>
  <sheetFormatPr baseColWidth="10" defaultColWidth="11.46484375" defaultRowHeight="18" customHeight="1" x14ac:dyDescent="0.45"/>
  <cols>
    <col min="1" max="1" width="5.86328125" style="7" customWidth="1"/>
    <col min="2" max="2" width="8.86328125" style="7" customWidth="1"/>
    <col min="3" max="3" width="9.86328125" style="7" customWidth="1"/>
    <col min="4" max="5" width="8.86328125" style="7" customWidth="1"/>
    <col min="6" max="6" width="10.86328125" style="7" customWidth="1"/>
    <col min="7" max="7" width="6.86328125" style="7" customWidth="1"/>
    <col min="8" max="9" width="13.53125" style="7" customWidth="1"/>
    <col min="10" max="10" width="10.53125" style="7" customWidth="1"/>
    <col min="11" max="15" width="6.86328125" style="7" customWidth="1"/>
    <col min="16" max="16384" width="11.46484375" style="7"/>
  </cols>
  <sheetData>
    <row r="2" spans="2:6" ht="18" customHeight="1" x14ac:dyDescent="0.45">
      <c r="B2" s="1160" t="str">
        <f>'DIY Grundmodell'!$A$2</f>
        <v>Meta Platforms, Inc.</v>
      </c>
      <c r="C2" s="1161" t="str">
        <f>'DIY Grundmodell'!$A$2</f>
        <v>Meta Platforms, Inc.</v>
      </c>
      <c r="D2" s="1161" t="str">
        <f>'DIY Grundmodell'!$A$2</f>
        <v>Meta Platforms, Inc.</v>
      </c>
      <c r="E2" s="1161" t="str">
        <f>'DIY Grundmodell'!$A$2</f>
        <v>Meta Platforms, Inc.</v>
      </c>
      <c r="F2" s="1161" t="str">
        <f>'DIY Grundmodell'!$A$2</f>
        <v>Meta Platforms, Inc.</v>
      </c>
    </row>
    <row r="3" spans="2:6" ht="267.39999999999998" customHeight="1" x14ac:dyDescent="0.45">
      <c r="B3" s="1162" t="s">
        <v>356</v>
      </c>
      <c r="C3" s="1162"/>
      <c r="D3" s="1162"/>
      <c r="E3" s="1162"/>
      <c r="F3" s="1162"/>
    </row>
    <row r="5" spans="2:6" ht="18" customHeight="1" x14ac:dyDescent="0.45">
      <c r="B5" s="1168" t="str">
        <f>'DIY Grundmodell'!$A$258</f>
        <v>Die Aktie ist überbewertet.</v>
      </c>
      <c r="C5" s="1168"/>
      <c r="D5" s="1168"/>
      <c r="E5" s="1168"/>
      <c r="F5" s="1168"/>
    </row>
    <row r="6" spans="2:6" ht="40.049999999999997" customHeight="1" thickBot="1" x14ac:dyDescent="0.5">
      <c r="B6" s="1174" t="s">
        <v>353</v>
      </c>
      <c r="C6" s="1174"/>
      <c r="D6" s="1174"/>
      <c r="E6" s="1174"/>
      <c r="F6" s="1174"/>
    </row>
    <row r="7" spans="2:6" ht="18" customHeight="1" x14ac:dyDescent="0.45">
      <c r="B7" s="879" t="s">
        <v>347</v>
      </c>
      <c r="C7" s="880"/>
      <c r="D7" s="881"/>
      <c r="E7" s="881"/>
      <c r="F7" s="882"/>
    </row>
    <row r="8" spans="2:6" ht="18" customHeight="1" x14ac:dyDescent="0.45">
      <c r="B8" s="883" t="str">
        <f>'DIY Grundmodell'!$A$2</f>
        <v>Meta Platforms, Inc.</v>
      </c>
      <c r="C8" s="856"/>
      <c r="D8" s="857"/>
      <c r="E8" s="858" t="s">
        <v>115</v>
      </c>
      <c r="F8" s="884">
        <f>'DIY Grundmodell'!N2</f>
        <v>46129</v>
      </c>
    </row>
    <row r="9" spans="2:6" ht="18" customHeight="1" x14ac:dyDescent="0.45">
      <c r="B9" s="867" t="s">
        <v>100</v>
      </c>
      <c r="C9" s="859"/>
      <c r="D9" s="859"/>
      <c r="E9" s="859"/>
      <c r="F9" s="885" t="str">
        <f>'DIY Grundmodell'!E4</f>
        <v>US30303M1027</v>
      </c>
    </row>
    <row r="10" spans="2:6" ht="18" customHeight="1" x14ac:dyDescent="0.45">
      <c r="B10" s="867" t="s">
        <v>101</v>
      </c>
      <c r="C10" s="859"/>
      <c r="D10" s="859"/>
      <c r="E10" s="859"/>
      <c r="F10" s="885" t="str">
        <f>'DIY Grundmodell'!E5</f>
        <v>www.meta.com</v>
      </c>
    </row>
    <row r="11" spans="2:6" ht="18" customHeight="1" x14ac:dyDescent="0.45">
      <c r="B11" s="867" t="s">
        <v>102</v>
      </c>
      <c r="C11" s="859"/>
      <c r="D11" s="859"/>
      <c r="E11" s="859"/>
      <c r="F11" s="885" t="str">
        <f>'DIY Grundmodell'!E6</f>
        <v>Vereinigte Staaten</v>
      </c>
    </row>
    <row r="12" spans="2:6" ht="18" customHeight="1" x14ac:dyDescent="0.45">
      <c r="B12" s="867" t="str">
        <f>"Primäre Industrie: "&amp;'DIY Grundmodell'!$E$7</f>
        <v>Primäre Industrie: Interaktive Medien und Dienstleistungen</v>
      </c>
      <c r="C12" s="859"/>
      <c r="D12" s="859"/>
      <c r="E12" s="859"/>
      <c r="F12" s="885"/>
    </row>
    <row r="13" spans="2:6" ht="18" customHeight="1" x14ac:dyDescent="0.45">
      <c r="B13" s="886" t="str">
        <f>"Aktienwert in " &amp;Datenquelle!K13</f>
        <v>Aktienwert in USD</v>
      </c>
      <c r="C13" s="857"/>
      <c r="D13" s="857"/>
      <c r="E13" s="857"/>
      <c r="F13" s="887">
        <f>'DIY Grundmodell'!I4</f>
        <v>609.63164007663352</v>
      </c>
    </row>
    <row r="14" spans="2:6" ht="18" customHeight="1" x14ac:dyDescent="0.45">
      <c r="B14" s="886" t="str">
        <f>"Aktienkurs in " &amp;Datenquelle!$K$13</f>
        <v>Aktienkurs in USD</v>
      </c>
      <c r="C14" s="857"/>
      <c r="D14" s="857"/>
      <c r="E14" s="857"/>
      <c r="F14" s="887">
        <f>'DIY Grundmodell'!I5</f>
        <v>676.87</v>
      </c>
    </row>
    <row r="15" spans="2:6" ht="18" customHeight="1" x14ac:dyDescent="0.45">
      <c r="B15" s="888" t="s">
        <v>241</v>
      </c>
      <c r="C15" s="856"/>
      <c r="D15" s="856"/>
      <c r="E15" s="856"/>
      <c r="F15" s="889">
        <f>'DIY Grundmodell'!I6</f>
        <v>1.1102934222950014</v>
      </c>
    </row>
    <row r="16" spans="2:6" ht="18" customHeight="1" x14ac:dyDescent="0.45">
      <c r="B16" s="867" t="str">
        <f>"52 Wochen Tief in " &amp;Datenquelle!$K$13</f>
        <v>52 Wochen Tief in USD</v>
      </c>
      <c r="C16" s="859"/>
      <c r="D16" s="860"/>
      <c r="E16" s="859"/>
      <c r="F16" s="869">
        <f>'DIY Grundmodell'!I7</f>
        <v>479.8</v>
      </c>
    </row>
    <row r="17" spans="2:10" ht="18" customHeight="1" x14ac:dyDescent="0.45">
      <c r="B17" s="867" t="str">
        <f>"52 Wochen Hoch in " &amp;Datenquelle!$K$13</f>
        <v>52 Wochen Hoch in USD</v>
      </c>
      <c r="C17" s="859"/>
      <c r="D17" s="860"/>
      <c r="E17" s="859"/>
      <c r="F17" s="869">
        <f>'DIY Grundmodell'!I8</f>
        <v>796.25</v>
      </c>
    </row>
    <row r="18" spans="2:10" ht="18" customHeight="1" x14ac:dyDescent="0.45">
      <c r="B18" s="867" t="str">
        <f>"Anzahl ausstehender Aktien in Mio." &amp;Datenquelle!K19</f>
        <v>Anzahl ausstehender Aktien in Mio.</v>
      </c>
      <c r="C18" s="859"/>
      <c r="D18" s="859"/>
      <c r="E18" s="859"/>
      <c r="F18" s="890">
        <f>'DIY Grundmodell'!I11</f>
        <v>2529.55546</v>
      </c>
    </row>
    <row r="19" spans="2:10" ht="18" customHeight="1" x14ac:dyDescent="0.45">
      <c r="B19" s="867" t="s">
        <v>242</v>
      </c>
      <c r="C19" s="859"/>
      <c r="D19" s="860"/>
      <c r="E19" s="859"/>
      <c r="F19" s="891">
        <f>'DIY Grundmodell'!I12</f>
        <v>0.86334169999999999</v>
      </c>
    </row>
    <row r="20" spans="2:10" ht="18" customHeight="1" x14ac:dyDescent="0.45">
      <c r="B20" s="886" t="str">
        <f>"Angaben zum Bewertungsstichtag in Mio. " &amp;Datenquelle!$K$13</f>
        <v>Angaben zum Bewertungsstichtag in Mio. USD</v>
      </c>
      <c r="C20" s="857"/>
      <c r="D20" s="857"/>
      <c r="E20" s="857"/>
      <c r="F20" s="887"/>
      <c r="H20" s="861" t="str">
        <f>'DIY Grundmodell'!F5</f>
        <v>Aktienkurs USD</v>
      </c>
      <c r="I20" s="861" t="s">
        <v>271</v>
      </c>
      <c r="J20" s="861" t="s">
        <v>300</v>
      </c>
    </row>
    <row r="21" spans="2:10" ht="18" customHeight="1" x14ac:dyDescent="0.45">
      <c r="B21" s="867" t="s">
        <v>243</v>
      </c>
      <c r="C21" s="859"/>
      <c r="D21" s="860"/>
      <c r="E21" s="859"/>
      <c r="F21" s="892">
        <f>'DIY Grundmodell'!I9</f>
        <v>1712180.20692</v>
      </c>
      <c r="H21" s="921">
        <f>'DIY Grundmodell'!I5</f>
        <v>676.87</v>
      </c>
      <c r="I21" s="921">
        <f>F21/F18</f>
        <v>676.87000107125539</v>
      </c>
      <c r="J21" s="922">
        <f>I21/H21-1</f>
        <v>1.582660447141393E-9</v>
      </c>
    </row>
    <row r="22" spans="2:10" ht="18" customHeight="1" x14ac:dyDescent="0.45">
      <c r="B22" s="867" t="s">
        <v>244</v>
      </c>
      <c r="C22" s="859"/>
      <c r="D22" s="859"/>
      <c r="E22" s="859"/>
      <c r="F22" s="892">
        <f>'DIY Grundmodell'!B19</f>
        <v>200966</v>
      </c>
    </row>
    <row r="23" spans="2:10" ht="18" customHeight="1" x14ac:dyDescent="0.45">
      <c r="B23" s="893" t="s">
        <v>245</v>
      </c>
      <c r="C23" s="859"/>
      <c r="D23" s="859"/>
      <c r="E23" s="859"/>
      <c r="F23" s="892">
        <f>'DIY Grundmodell'!B21</f>
        <v>84075.919760000004</v>
      </c>
    </row>
    <row r="24" spans="2:10" ht="18" customHeight="1" thickBot="1" x14ac:dyDescent="0.5">
      <c r="B24" s="894" t="s">
        <v>246</v>
      </c>
      <c r="C24" s="871"/>
      <c r="D24" s="871"/>
      <c r="E24" s="871"/>
      <c r="F24" s="895">
        <f>F23/F22</f>
        <v>0.41835892519132589</v>
      </c>
    </row>
    <row r="26" spans="2:10" ht="409.5" customHeight="1" x14ac:dyDescent="0.45">
      <c r="B26" s="1159" t="str">
        <f>free!B20</f>
        <v>Werttreiber
Enorme Reichweite über Facebook, Instagram und WhatsApp schafft einen seltenen Zugang zu Nutzern in mehreren zentralen digitalen Kommunikationskanälen.
KI-gestützte Werbeautomatisierung verbessert die Aussteuerung, Personalisierung und Effizienz von Kampagnen und erhöht damit die Relevanz der Plattform für Werbekunden.
Die Einbindung von Meta AI in die eigenen Produkte stärkt die Nutzerbindung und erweitert die strategische Kontrolle über künftige Such-, Assistenz- und Empfehlungsszenarien.
Die Breite des App-Ökosystems schafft hohe Eintrittsbarrieren, weil Reichweite, Datenbasis und technische Infrastruktur nur schwer zu replizieren sind.
Die starke Stellung im digitalen Werbemarkt verbessert die Ausgangslage im Wettbewerb um Budgets, Aufmerksamkeit und Werbewirkung.
Aktienkursentwicklung
Die Aktie hat sich nach schwächeren Niveaus zu Monatsbeginn deutlich erholt und ist von Kursen um USD 573 Anfang April über einen kräftigen Zwischenschritt auf USD 612 bis auf den aktuellen Börsenkurs von USD 676,87 gestiegen.
Damit notiert das Papier klar unter dem 52-Wochen-Hoch von USD 796,25, bewegt sich aber zugleich spürbar über dem unteren Bereich der 52-Wochen-Spanne, was auf eine Erholung mit noch bestehendem Abstand zum früheren Spitzenkurs hindeutet.
Im aktuellen Kursbild zeigt sich damit ein Titel, der sich wieder gefestigt hat, dessen Bewertung am Markt aber noch nicht an das frühere Hoch heranreicht; genau diese Konstellation macht die weitere Kursentwicklung besonders beobachtenswert.</v>
      </c>
      <c r="C26" s="1159"/>
      <c r="D26" s="1159"/>
      <c r="E26" s="1159"/>
      <c r="F26" s="1159"/>
    </row>
    <row r="27" spans="2:10" ht="18" customHeight="1" thickBot="1" x14ac:dyDescent="0.5"/>
    <row r="28" spans="2:10" ht="18" customHeight="1" x14ac:dyDescent="0.45">
      <c r="B28" s="873" t="s">
        <v>357</v>
      </c>
      <c r="C28" s="874"/>
      <c r="D28" s="874"/>
      <c r="E28" s="874"/>
      <c r="F28" s="875"/>
    </row>
    <row r="29" spans="2:10" ht="140.1" customHeight="1" thickBot="1" x14ac:dyDescent="0.5">
      <c r="B29" s="876"/>
      <c r="C29" s="877"/>
      <c r="D29" s="877"/>
      <c r="E29" s="877"/>
      <c r="F29" s="878"/>
    </row>
    <row r="31" spans="2:10" ht="18" customHeight="1" x14ac:dyDescent="0.45">
      <c r="B31" s="1163" t="s">
        <v>272</v>
      </c>
      <c r="C31" s="1164"/>
      <c r="D31" s="1164"/>
      <c r="E31" s="1164"/>
      <c r="F31" s="1164"/>
    </row>
    <row r="32" spans="2:10" ht="78.75" customHeight="1" x14ac:dyDescent="0.45">
      <c r="B32" s="1159" t="str">
        <f>'DIY Grundmodell'!$A$260 &amp;" " &amp;'DIY Grundmodell'!$A$261&amp;" " &amp;'DIY Grundmodell'!$A$262&amp;" " &amp;'DIY Grundmodell'!$A$263&amp;" " &amp;'DIY Grundmodell'!$A$264</f>
        <v xml:space="preserve">In den letzten drei Fiskaljahren veränderte sich der Umsatz um 15,7%, 21,9% und zuletzt 22,2%. Neben diesen Veränderungen beim Umsatz betrachten wir die erzielten operativen Margen. In den letzten drei Fiskaljahren betrug die EBIT-Marge 34,7%, 42,2% und zuletzt 41,4%. Die mittlere EBIT-Marge betrug über die letzten 10 Jahre 41,2%; über die letzten 5 Jahre hingegen 39,6% (Median). </v>
      </c>
      <c r="C32" s="1159"/>
      <c r="D32" s="1159"/>
      <c r="E32" s="1159"/>
      <c r="F32" s="1159"/>
    </row>
    <row r="33" spans="2:9" ht="18" customHeight="1" thickBot="1" x14ac:dyDescent="0.5"/>
    <row r="34" spans="2:9" ht="18" customHeight="1" x14ac:dyDescent="0.45">
      <c r="B34" s="873" t="str">
        <f>"Umsatz " &amp;'DIY Grundmodell'!$E$12 &amp;"  |  EBIT-Marge  |  10 Fiskaljahre"</f>
        <v>Umsatz in Mio. USD  |  EBIT-Marge  |  10 Fiskaljahre</v>
      </c>
      <c r="C34" s="909"/>
      <c r="D34" s="909"/>
      <c r="E34" s="909"/>
      <c r="F34" s="910"/>
    </row>
    <row r="35" spans="2:9" ht="140.1" customHeight="1" thickBot="1" x14ac:dyDescent="0.5">
      <c r="B35" s="911"/>
      <c r="C35" s="877"/>
      <c r="D35" s="877"/>
      <c r="E35" s="877"/>
      <c r="F35" s="912"/>
    </row>
    <row r="37" spans="2:9" ht="18" customHeight="1" x14ac:dyDescent="0.45">
      <c r="B37" s="1163" t="s">
        <v>277</v>
      </c>
      <c r="C37" s="1164"/>
      <c r="D37" s="1164"/>
      <c r="E37" s="1164"/>
      <c r="F37" s="1164"/>
    </row>
    <row r="38" spans="2:9" ht="110.1" customHeight="1" x14ac:dyDescent="0.45">
      <c r="B38" s="1159" t="str">
        <f>'DIY Grundmodell'!$A266&amp;" " &amp;'DIY Grundmodell'!$A267&amp;" " &amp;'DIY Grundmodell'!$A268&amp;" " &amp;'DIY Grundmodell'!$A269</f>
        <v>Bezogen auf den letzten Jahresabschluss per 31.12.25 erwarten Analysten (Median Consensus) für die nächsten 3 Fiskaljahre ein Umsatzwachstum von 24,8% (2026e), 18,9% (2027e) und 16,4% (2028e). Die EBIT-Marge für die nächsten drei Fiskaljahre wird in der Mitte aller Analysten auf 34,3%, 34,0% und 34,2% prognostiziert. Demnach würde das operative Ergebnis vor Zinsen und Steuern im Fiskaljahr 2028e USD 118.644 Mio. betragen (EBIT). Analysten der Finanzindustrie sehen Zielkurse für die Aktie zwischen USD 614,00 und USD 1.015,00; der Median beträgt USD 857,50.</v>
      </c>
      <c r="C38" s="1159"/>
      <c r="D38" s="1159"/>
      <c r="E38" s="1159"/>
      <c r="F38" s="1159"/>
    </row>
    <row r="39" spans="2:9" ht="18" customHeight="1" thickBot="1" x14ac:dyDescent="0.5"/>
    <row r="40" spans="2:9" ht="18" customHeight="1" x14ac:dyDescent="0.45">
      <c r="B40" s="864" t="s">
        <v>327</v>
      </c>
      <c r="C40" s="865"/>
      <c r="D40" s="865"/>
      <c r="E40" s="1170">
        <f>Datenquelle!$B$20</f>
        <v>46129</v>
      </c>
      <c r="F40" s="1171"/>
    </row>
    <row r="41" spans="2:9" ht="18" customHeight="1" x14ac:dyDescent="0.45">
      <c r="B41" s="867" t="s">
        <v>122</v>
      </c>
      <c r="C41" s="859"/>
      <c r="D41" s="861"/>
      <c r="E41" s="862"/>
      <c r="F41" s="868">
        <f>'DIY Grundmodell'!N4</f>
        <v>16.267199999999999</v>
      </c>
    </row>
    <row r="42" spans="2:9" ht="18" customHeight="1" x14ac:dyDescent="0.45">
      <c r="B42" s="867" t="s">
        <v>123</v>
      </c>
      <c r="C42" s="859"/>
      <c r="D42" s="861"/>
      <c r="E42" s="862"/>
      <c r="F42" s="868">
        <f>'DIY Grundmodell'!N5</f>
        <v>20.67428</v>
      </c>
    </row>
    <row r="43" spans="2:9" ht="18" customHeight="1" x14ac:dyDescent="0.45">
      <c r="B43" s="867" t="s">
        <v>124</v>
      </c>
      <c r="C43" s="859"/>
      <c r="D43" s="861"/>
      <c r="E43" s="861"/>
      <c r="F43" s="868">
        <f>'DIY Grundmodell'!N6</f>
        <v>28.815239999999999</v>
      </c>
    </row>
    <row r="44" spans="2:9" ht="18" customHeight="1" x14ac:dyDescent="0.45">
      <c r="B44" s="867" t="s">
        <v>113</v>
      </c>
      <c r="C44" s="859"/>
      <c r="D44" s="861"/>
      <c r="E44" s="861"/>
      <c r="F44" s="868">
        <f>'DIY Grundmodell'!N7</f>
        <v>32.43985</v>
      </c>
    </row>
    <row r="45" spans="2:9" ht="18" customHeight="1" x14ac:dyDescent="0.45">
      <c r="B45" s="867" t="s">
        <v>114</v>
      </c>
      <c r="C45" s="859"/>
      <c r="D45" s="861"/>
      <c r="E45" s="863"/>
      <c r="F45" s="868">
        <f>'DIY Grundmodell'!N8</f>
        <v>7.88279</v>
      </c>
    </row>
    <row r="46" spans="2:9" ht="18" customHeight="1" x14ac:dyDescent="0.45">
      <c r="B46" s="867" t="s">
        <v>121</v>
      </c>
      <c r="C46" s="859"/>
      <c r="D46" s="861"/>
      <c r="E46" s="861"/>
      <c r="F46" s="868">
        <f>'DIY Grundmodell'!N9</f>
        <v>3.4242138735131315E-2</v>
      </c>
    </row>
    <row r="47" spans="2:9" ht="18" customHeight="1" x14ac:dyDescent="0.45">
      <c r="B47" s="867" t="str">
        <f>"Letzte Jahresdividende in " &amp;Datenquelle!$K$13</f>
        <v>Letzte Jahresdividende in USD</v>
      </c>
      <c r="C47" s="859"/>
      <c r="D47" s="861"/>
      <c r="E47" s="863"/>
      <c r="F47" s="869">
        <f>'DIY Grundmodell'!N10</f>
        <v>2.1043478260869599</v>
      </c>
    </row>
    <row r="48" spans="2:9" ht="18" customHeight="1" x14ac:dyDescent="0.45">
      <c r="B48" s="867" t="str">
        <f>"Erwartete Jahresdividende in " &amp;Datenquelle!$K$13</f>
        <v>Erwartete Jahresdividende in USD</v>
      </c>
      <c r="C48" s="859"/>
      <c r="D48" s="859"/>
      <c r="E48" s="859"/>
      <c r="F48" s="869">
        <f>'DIY Grundmodell'!N11</f>
        <v>2.2446199999999998</v>
      </c>
      <c r="H48" s="769"/>
      <c r="I48" s="769"/>
    </row>
    <row r="49" spans="2:9" ht="18" customHeight="1" thickBot="1" x14ac:dyDescent="0.5">
      <c r="B49" s="870" t="s">
        <v>280</v>
      </c>
      <c r="C49" s="871"/>
      <c r="D49" s="871"/>
      <c r="E49" s="871"/>
      <c r="F49" s="872">
        <f>'DIY Grundmodell'!N12</f>
        <v>3.3161759274306733E-3</v>
      </c>
      <c r="H49" s="769"/>
      <c r="I49" s="769"/>
    </row>
    <row r="50" spans="2:9" ht="18" customHeight="1" thickBot="1" x14ac:dyDescent="0.5">
      <c r="H50" s="769"/>
      <c r="I50" s="769"/>
    </row>
    <row r="51" spans="2:9" ht="18" customHeight="1" x14ac:dyDescent="0.45">
      <c r="B51" s="913" t="s">
        <v>259</v>
      </c>
      <c r="C51" s="914"/>
      <c r="D51" s="914"/>
      <c r="E51" s="1172">
        <f>Datenquelle!$B$20</f>
        <v>46129</v>
      </c>
      <c r="F51" s="1173"/>
      <c r="H51" s="769"/>
      <c r="I51" s="769"/>
    </row>
    <row r="52" spans="2:9" ht="18" customHeight="1" x14ac:dyDescent="0.45">
      <c r="B52" s="899"/>
      <c r="C52" s="900"/>
      <c r="D52" s="928" t="s">
        <v>316</v>
      </c>
      <c r="E52" s="915" t="s">
        <v>260</v>
      </c>
      <c r="F52" s="916" t="s">
        <v>260</v>
      </c>
      <c r="H52" s="769"/>
      <c r="I52" s="769"/>
    </row>
    <row r="53" spans="2:9" ht="18" customHeight="1" x14ac:dyDescent="0.45">
      <c r="B53" s="899"/>
      <c r="C53" s="900"/>
      <c r="D53" s="928" t="s">
        <v>317</v>
      </c>
      <c r="E53" s="858" t="s">
        <v>261</v>
      </c>
      <c r="F53" s="917" t="s">
        <v>262</v>
      </c>
      <c r="H53" s="769"/>
      <c r="I53" s="769"/>
    </row>
    <row r="54" spans="2:9" ht="18" customHeight="1" x14ac:dyDescent="0.45">
      <c r="B54" s="923" t="str">
        <f>'DIY Grundmodell'!B92</f>
        <v>Meta Platforms, Inc.</v>
      </c>
      <c r="C54" s="924"/>
      <c r="D54" s="929">
        <f>'DIY Grundmodell'!B94</f>
        <v>16.267199999999999</v>
      </c>
      <c r="E54" s="925">
        <f>'DIY Grundmodell'!B102</f>
        <v>32.43985</v>
      </c>
      <c r="F54" s="926">
        <f>'DIY Grundmodell'!B105</f>
        <v>7.88279</v>
      </c>
    </row>
    <row r="55" spans="2:9" ht="18" customHeight="1" x14ac:dyDescent="0.45">
      <c r="B55" s="867" t="str">
        <f>'DIY Grundmodell'!E$92</f>
        <v>Alphabet Inc.</v>
      </c>
      <c r="C55" s="851"/>
      <c r="D55" s="930">
        <f>'DIY Grundmodell'!E$94</f>
        <v>25.635290000000001</v>
      </c>
      <c r="E55" s="918">
        <f>'DIY Grundmodell'!E$102</f>
        <v>48.993630000000003</v>
      </c>
      <c r="F55" s="890">
        <f>'DIY Grundmodell'!E$105</f>
        <v>9.78125</v>
      </c>
    </row>
    <row r="56" spans="2:9" ht="18" customHeight="1" x14ac:dyDescent="0.45">
      <c r="B56" s="867" t="str">
        <f>'DIY Grundmodell'!F$92</f>
        <v>Reddit, Inc.</v>
      </c>
      <c r="C56" s="851"/>
      <c r="D56" s="930">
        <f>'DIY Grundmodell'!F$94</f>
        <v>60.899949999999997</v>
      </c>
      <c r="E56" s="918">
        <f>'DIY Grundmodell'!F$102</f>
        <v>99.36242</v>
      </c>
      <c r="F56" s="890">
        <f>'DIY Grundmodell'!F$105</f>
        <v>10.58724</v>
      </c>
    </row>
    <row r="57" spans="2:9" ht="18" customHeight="1" x14ac:dyDescent="0.45">
      <c r="B57" s="867" t="str">
        <f>'DIY Grundmodell'!G$92</f>
        <v>Bumble Inc.</v>
      </c>
      <c r="C57" s="851"/>
      <c r="D57" s="930">
        <f>'DIY Grundmodell'!G$94</f>
        <v>3.9651800000000001</v>
      </c>
      <c r="E57" s="918">
        <f>'DIY Grundmodell'!G$102</f>
        <v>1.45702</v>
      </c>
      <c r="F57" s="890">
        <f>'DIY Grundmodell'!G$105</f>
        <v>0.98007</v>
      </c>
    </row>
    <row r="58" spans="2:9" ht="18" customHeight="1" x14ac:dyDescent="0.45">
      <c r="B58" s="867" t="str">
        <f>'DIY Grundmodell'!H$92</f>
        <v>Tencent Holdings</v>
      </c>
      <c r="C58" s="851"/>
      <c r="D58" s="930">
        <f>'DIY Grundmodell'!H$94</f>
        <v>13.874269999999999</v>
      </c>
      <c r="E58" s="918">
        <f>'DIY Grundmodell'!H$102</f>
        <v>25.725239999999999</v>
      </c>
      <c r="F58" s="890">
        <f>'DIY Grundmodell'!H$105</f>
        <v>3.5903399999999999</v>
      </c>
    </row>
    <row r="59" spans="2:9" ht="18" customHeight="1" x14ac:dyDescent="0.45">
      <c r="B59" s="867" t="str">
        <f>'DIY Grundmodell'!I$92</f>
        <v>Amazon.com, Inc.</v>
      </c>
      <c r="C59" s="851"/>
      <c r="D59" s="930">
        <f>'DIY Grundmodell'!I$94</f>
        <v>16.931709999999999</v>
      </c>
      <c r="E59" s="918">
        <f>'DIY Grundmodell'!I$102</f>
        <v>53.103560000000002</v>
      </c>
      <c r="F59" s="890">
        <f>'DIY Grundmodell'!I$105</f>
        <v>6.51851</v>
      </c>
    </row>
    <row r="60" spans="2:9" ht="18" customHeight="1" x14ac:dyDescent="0.45">
      <c r="B60" s="867" t="str">
        <f>'DIY Grundmodell'!J$92</f>
        <v>Yelp Inc.</v>
      </c>
      <c r="C60" s="851"/>
      <c r="D60" s="930">
        <f>'DIY Grundmodell'!J$94</f>
        <v>6.4804399999999998</v>
      </c>
      <c r="E60" s="918">
        <f>'DIY Grundmodell'!J$102</f>
        <v>13.73282</v>
      </c>
      <c r="F60" s="890">
        <f>'DIY Grundmodell'!J$105</f>
        <v>2.3126500000000001</v>
      </c>
    </row>
    <row r="61" spans="2:9" ht="18" customHeight="1" x14ac:dyDescent="0.45">
      <c r="B61" s="867" t="str">
        <f>'DIY Grundmodell'!K$92</f>
        <v>Grindr Inc.</v>
      </c>
      <c r="C61" s="851"/>
      <c r="D61" s="930">
        <f>'DIY Grundmodell'!K$94</f>
        <v>19.332920000000001</v>
      </c>
      <c r="E61" s="918">
        <f>'DIY Grundmodell'!K$102</f>
        <v>32.449950000000001</v>
      </c>
      <c r="F61" s="890">
        <f>'DIY Grundmodell'!K$105</f>
        <v>50.937060000000002</v>
      </c>
    </row>
    <row r="62" spans="2:9" ht="18" customHeight="1" x14ac:dyDescent="0.45">
      <c r="B62" s="867" t="str">
        <f>'DIY Grundmodell'!L$92</f>
        <v>IAC Inc.</v>
      </c>
      <c r="C62" s="851"/>
      <c r="D62" s="930">
        <f>'DIY Grundmodell'!L$94</f>
        <v>14.17113</v>
      </c>
      <c r="E62" s="918">
        <f>'DIY Grundmodell'!L$102</f>
        <v>131.99507</v>
      </c>
      <c r="F62" s="890">
        <f>'DIY Grundmodell'!L$105</f>
        <v>0.71057000000000003</v>
      </c>
    </row>
    <row r="63" spans="2:9" ht="18" customHeight="1" x14ac:dyDescent="0.45">
      <c r="B63" s="867" t="str">
        <f>'DIY Grundmodell'!M$92</f>
        <v>Taboola.com Ltd.</v>
      </c>
      <c r="C63" s="851"/>
      <c r="D63" s="930">
        <f>'DIY Grundmodell'!M$94</f>
        <v>6.2693000000000003</v>
      </c>
      <c r="E63" s="918">
        <f>'DIY Grundmodell'!M$102</f>
        <v>47.420380000000002</v>
      </c>
      <c r="F63" s="890">
        <f>'DIY Grundmodell'!M$105</f>
        <v>1.1149899999999999</v>
      </c>
    </row>
    <row r="64" spans="2:9" ht="18" customHeight="1" thickBot="1" x14ac:dyDescent="0.5">
      <c r="B64" s="870" t="str">
        <f>'DIY Grundmodell'!N$92</f>
        <v>Leafbuyer Technologies</v>
      </c>
      <c r="C64" s="903"/>
      <c r="D64" s="931" t="str">
        <f>'DIY Grundmodell'!N$94</f>
        <v>NA</v>
      </c>
      <c r="E64" s="919">
        <f>'DIY Grundmodell'!N$102</f>
        <v>39.354840000000003</v>
      </c>
      <c r="F64" s="920" t="str">
        <f>'DIY Grundmodell'!N$105</f>
        <v>NM</v>
      </c>
    </row>
    <row r="65" spans="2:6" ht="18" customHeight="1" thickBot="1" x14ac:dyDescent="0.5">
      <c r="B65" s="927"/>
      <c r="C65" s="927"/>
      <c r="D65" s="927"/>
      <c r="E65" s="927"/>
      <c r="F65" s="927"/>
    </row>
    <row r="66" spans="2:6" ht="18" customHeight="1" thickTop="1" x14ac:dyDescent="0.45"/>
    <row r="67" spans="2:6" ht="30" customHeight="1" x14ac:dyDescent="0.45">
      <c r="B67" s="1169" t="s">
        <v>313</v>
      </c>
      <c r="C67" s="1169"/>
      <c r="D67" s="1169"/>
      <c r="E67" s="1169"/>
      <c r="F67" s="1169"/>
    </row>
    <row r="68" spans="2:6" ht="18" customHeight="1" x14ac:dyDescent="0.45">
      <c r="B68" s="936"/>
      <c r="C68" s="936"/>
      <c r="D68" s="936"/>
      <c r="E68" s="936"/>
      <c r="F68" s="936"/>
    </row>
    <row r="69" spans="2:6" ht="18" customHeight="1" x14ac:dyDescent="0.45">
      <c r="B69" s="1163" t="s">
        <v>348</v>
      </c>
      <c r="C69" s="1164"/>
      <c r="D69" s="1164"/>
      <c r="E69" s="1164"/>
      <c r="F69" s="1164"/>
    </row>
    <row r="70" spans="2:6" ht="18" customHeight="1" x14ac:dyDescent="0.45">
      <c r="B70" s="1167" t="str">
        <f>'DIY Grundmodell'!A271</f>
        <v>Umsatz</v>
      </c>
      <c r="C70" s="1167"/>
      <c r="D70" s="1167"/>
      <c r="E70" s="1167"/>
      <c r="F70" s="1167"/>
    </row>
    <row r="71" spans="2:6" ht="122.65" customHeight="1" x14ac:dyDescent="0.45">
      <c r="B71" s="1159" t="str">
        <f>'DIY Grundmodell'!$A272&amp;" " &amp;'DIY Grundmodell'!$A273&amp;" " &amp;'DIY Grundmodell'!$A274&amp;" " &amp;'DIY Grundmodell'!$A275&amp;" " &amp;'DIY Grundmodell'!$A276</f>
        <v>Ausgangspunkt unserer Prognose für das DCF-Modell ist der zitierte Jahresumsatz in Höhe von USD 200.966 Mio. (LTM). LTM steht für "Last Twelve Months" und addiert die letzten vier Quartalsberichte, um eine aktuelle Jahresbetrachtung zu ermöglichen. Das Umsatzwachstum für die ersten drei Planungsperioden (LTM+1 bis LTM+3) beziffern wir mit 24,8%, 13,2% und 11,5%. Demnach haben wir die Wachstumsraten der Analysten nicht übernommen, sondern im Hinblick auf die Entwicklung der Quartale angepasst. Für die weiteren Planungsperioden (LTM+3 bis LTM+10) bis zur ewigen Rente unterstellen wir jährliche Umsatzveränderungen zwischen minimal 4,3% und maximal 10,5%.</v>
      </c>
      <c r="C71" s="1159"/>
      <c r="D71" s="1159"/>
      <c r="E71" s="1159"/>
      <c r="F71" s="1159"/>
    </row>
    <row r="72" spans="2:6" ht="18" customHeight="1" x14ac:dyDescent="0.45">
      <c r="B72" s="1167" t="str">
        <f>'DIY Grundmodell'!A279</f>
        <v>EBIT</v>
      </c>
      <c r="C72" s="1167"/>
      <c r="D72" s="1167"/>
      <c r="E72" s="1167"/>
      <c r="F72" s="1167"/>
    </row>
    <row r="73" spans="2:6" ht="85.05" customHeight="1" x14ac:dyDescent="0.45">
      <c r="B73" s="1159" t="str">
        <f>'DIY Grundmodell'!$A280&amp;" " &amp;'DIY Grundmodell'!$A281&amp;" " &amp;'DIY Grundmodell'!$A282</f>
        <v>Für die ersten drei Planungsperioden (LTM+1 bis LTM+3) halten wir EBIT-Margen in Höhe von 30,9%; 30,6% und 30,8% für angemessen. Für die ewige Rente vertreten wir eine EBIT-Marge in Höhe von 33,2%; EBIT würde demnach im eingeschwungenen Zustand USD 192.844 Mio. betragen. Vor dem Hintergrund wiederholter Positionen unterhalb der EBIT-Reihe in der Historie, korrigieren wir EBIT über den Planungshorizont von 10 Jahren um insgesamt USD 2.084 Mio. Sondereffekte.</v>
      </c>
      <c r="C73" s="1159"/>
      <c r="D73" s="1159"/>
      <c r="E73" s="1159"/>
      <c r="F73" s="1159"/>
    </row>
    <row r="74" spans="2:6" ht="18" customHeight="1" thickBot="1" x14ac:dyDescent="0.5"/>
    <row r="75" spans="2:6" ht="18" customHeight="1" x14ac:dyDescent="0.45">
      <c r="B75" s="864" t="str">
        <f>"Annahmen unserer Finanzplanung in Mio. " &amp;Datenquelle!$K$13</f>
        <v>Annahmen unserer Finanzplanung in Mio. USD</v>
      </c>
      <c r="C75" s="865"/>
      <c r="D75" s="865"/>
      <c r="E75" s="865"/>
      <c r="F75" s="866"/>
    </row>
    <row r="76" spans="2:6" ht="18" customHeight="1" x14ac:dyDescent="0.45">
      <c r="B76" s="867" t="s">
        <v>281</v>
      </c>
      <c r="C76" s="859"/>
      <c r="D76" s="859"/>
      <c r="E76" s="859"/>
      <c r="F76" s="892">
        <f>'DIY Grundmodell'!C19</f>
        <v>250863.95000000004</v>
      </c>
    </row>
    <row r="77" spans="2:6" ht="18" customHeight="1" x14ac:dyDescent="0.45">
      <c r="B77" s="867" t="s">
        <v>247</v>
      </c>
      <c r="C77" s="859"/>
      <c r="D77" s="896"/>
      <c r="E77" s="855">
        <f>'DIY Grundmodell'!D20</f>
        <v>0.13218493530058822</v>
      </c>
      <c r="F77" s="892">
        <f>'DIY Grundmodell'!D19</f>
        <v>284024.38500000001</v>
      </c>
    </row>
    <row r="78" spans="2:6" ht="18" customHeight="1" x14ac:dyDescent="0.45">
      <c r="B78" s="867" t="s">
        <v>248</v>
      </c>
      <c r="C78" s="859"/>
      <c r="D78" s="896"/>
      <c r="E78" s="855">
        <f>'DIY Grundmodell'!E20</f>
        <v>0.11459884118617475</v>
      </c>
      <c r="F78" s="892">
        <f>'DIY Grundmodell'!E19</f>
        <v>316573.25038961595</v>
      </c>
    </row>
    <row r="79" spans="2:6" ht="18" customHeight="1" x14ac:dyDescent="0.45">
      <c r="B79" s="867" t="s">
        <v>324</v>
      </c>
      <c r="C79" s="859"/>
      <c r="D79" s="896"/>
      <c r="E79" s="855"/>
      <c r="F79" s="892">
        <f>'DIY Grundmodell'!L19</f>
        <v>556230.34196471958</v>
      </c>
    </row>
    <row r="80" spans="2:6" ht="18" customHeight="1" x14ac:dyDescent="0.45">
      <c r="B80" s="867" t="s">
        <v>282</v>
      </c>
      <c r="C80" s="859"/>
      <c r="D80" s="859"/>
      <c r="E80" s="859"/>
      <c r="F80" s="897">
        <f>'DIY Grundmodell'!C22</f>
        <v>0.30899298205262254</v>
      </c>
    </row>
    <row r="81" spans="2:6" ht="18" customHeight="1" x14ac:dyDescent="0.45">
      <c r="B81" s="867" t="s">
        <v>249</v>
      </c>
      <c r="C81" s="859"/>
      <c r="D81" s="859"/>
      <c r="E81" s="859"/>
      <c r="F81" s="897">
        <f>'DIY Grundmodell'!D22</f>
        <v>0.30555898684263472</v>
      </c>
    </row>
    <row r="82" spans="2:6" ht="18" customHeight="1" x14ac:dyDescent="0.45">
      <c r="B82" s="867" t="s">
        <v>250</v>
      </c>
      <c r="C82" s="859"/>
      <c r="D82" s="859"/>
      <c r="E82" s="859"/>
      <c r="F82" s="897">
        <f>'DIY Grundmodell'!E22</f>
        <v>0.30766810445426018</v>
      </c>
    </row>
    <row r="83" spans="2:6" ht="18" customHeight="1" x14ac:dyDescent="0.45">
      <c r="B83" s="867" t="s">
        <v>325</v>
      </c>
      <c r="C83" s="859"/>
      <c r="D83" s="859"/>
      <c r="E83" s="859"/>
      <c r="F83" s="897">
        <f>'DIY Grundmodell'!L22</f>
        <v>0.33234045014452107</v>
      </c>
    </row>
    <row r="84" spans="2:6" ht="18" customHeight="1" x14ac:dyDescent="0.45">
      <c r="B84" s="867" t="s">
        <v>251</v>
      </c>
      <c r="C84" s="859"/>
      <c r="D84" s="859"/>
      <c r="E84" s="859"/>
      <c r="F84" s="897">
        <f>-SUM('DIY Grundmodell'!C24:L24)/((SUM('DIY Grundmodell'!C21:L21)+SUM('DIY Grundmodell'!C23:L23)))</f>
        <v>0.20374622001396694</v>
      </c>
    </row>
    <row r="85" spans="2:6" ht="18" customHeight="1" thickBot="1" x14ac:dyDescent="0.5">
      <c r="B85" s="870" t="s">
        <v>283</v>
      </c>
      <c r="C85" s="871"/>
      <c r="D85" s="871"/>
      <c r="E85" s="871"/>
      <c r="F85" s="872">
        <f>-SUM('DIY Grundmodell'!C28:L28)/(SUM('DIY Grundmodell'!C21:L21)+SUM('DIY Grundmodell'!C24:L24))</f>
        <v>0.37892124793675325</v>
      </c>
    </row>
    <row r="87" spans="2:6" ht="18" customHeight="1" x14ac:dyDescent="0.45">
      <c r="B87" s="1175" t="str">
        <f>'DIY Grundmodell'!A283</f>
        <v>Steuern</v>
      </c>
      <c r="C87" s="1175"/>
      <c r="D87" s="1175"/>
      <c r="E87" s="1175"/>
      <c r="F87" s="1175"/>
    </row>
    <row r="88" spans="2:6" ht="147" customHeight="1" x14ac:dyDescent="0.45">
      <c r="B88" s="1159" t="str">
        <f>'DIY Grundmodell'!$A284&amp;" " &amp;'DIY Grundmodell'!$A285&amp;" " &amp;'DIY Grundmodell'!$A286&amp;" " &amp;'DIY Grundmodell'!$A287</f>
        <v>Wir berücksichtigen die zukünftigen Steuerzahlungen mit Hilfe von Prozentsätzen auf die sich resultierende EBIT-Reihe, also dem Ergebnis vor Finanzierungszinsen. Es ist Teil der Bewertungsmechanik, steuerlich abzugsfähige Zinsen in der Bemessungsgrundlage (EBIT) unberücksichtigt zu lassen, da dies im Diskontierungsfaktor abgebildet wird ("tax shield"). Unter Berücksichtigung der Historie und etwaigen Verlustvorträgen halten wir für die drei Planungsperioden (LTM+1 bis LTM+3) effektive Steuerquoten von 13,8%; 15,0% und 16% für angemessen. Entlang unseres konservativen Ansatzes unterstellen wir ab LTM+4 eine lineare Entwicklung der Steuerquote bis zum Grenzsteuersatz am Unternehmenssitz Vereinigte Staaten von 25,0% in LTM+10.</v>
      </c>
      <c r="C88" s="1159"/>
      <c r="D88" s="1159"/>
      <c r="E88" s="1159"/>
      <c r="F88" s="1159"/>
    </row>
    <row r="89" spans="2:6" ht="18" customHeight="1" x14ac:dyDescent="0.45">
      <c r="B89" s="1175" t="str">
        <f>'DIY Grundmodell'!A288</f>
        <v>Nettoinvestitionen</v>
      </c>
      <c r="C89" s="1175"/>
      <c r="D89" s="1175"/>
      <c r="E89" s="1175"/>
      <c r="F89" s="1175"/>
    </row>
    <row r="90" spans="2:6" ht="28.8" customHeight="1" x14ac:dyDescent="0.45">
      <c r="B90" s="1159" t="str">
        <f>'DIY Grundmodell'!$A291</f>
        <v>Nettoinvestitionen umfassen Investitionen in das Anlage- und Umlaufvermögen, saldiert um Abschreibungen und Amortisation.</v>
      </c>
      <c r="C90" s="1159"/>
      <c r="D90" s="1159"/>
      <c r="E90" s="1159"/>
      <c r="F90" s="1159"/>
    </row>
    <row r="91" spans="2:6" ht="18" customHeight="1" x14ac:dyDescent="0.45">
      <c r="B91" s="1167" t="str">
        <f>'DIY Grundmodell'!A293</f>
        <v>Herleitung der Nettoinvestitionen</v>
      </c>
      <c r="C91" s="1167"/>
      <c r="D91" s="1167"/>
      <c r="E91" s="1167"/>
      <c r="F91" s="1167"/>
    </row>
    <row r="92" spans="2:6" ht="120" customHeight="1" x14ac:dyDescent="0.45">
      <c r="B92" s="1159" t="str">
        <f>'DIY Grundmodell'!$A294&amp;" " &amp;'DIY Grundmodell'!$A295&amp;" " &amp;'DIY Grundmodell'!$A296&amp;" " &amp;'DIY Grundmodell'!$A297&amp;" " &amp;'DIY Grundmodell'!$A298&amp;" " &amp;'DIY Grundmodell'!$A299&amp;" " &amp;'DIY Grundmodell'!$A300&amp;" " &amp;'DIY Grundmodell'!$A301&amp;" " &amp;'DIY Grundmodell'!$A302&amp;" " &amp;'DIY Grundmodell'!$A303</f>
        <v>Die zukünftigen Nettoinvestitionen kalkulieren wir im vorliegenden Fall mit Hilfe der Kennziffer Umsatz/Kapital: Unternehmensumsatz steht in einem Verhältnis zum gebundenen Kapital. Das gebundene Kapital ermittelt sich aus einer Formel: Gebundenes Kapital = Zinstragende Verbindlichkeiten + Eigenkapital - liquide Mittel - Goodwill. Die Kennziffer drückt aus, wieviel Kapital bei vorgegebenem Umsatz investiert sein muss. Da im DCF-Modell Umsatzprognosen vorliegen, kann das (implizit) gebundene Kapital berechnet werden. Die Veränderung von einer Periode zur nächsten Periode ergibt die jährlichen Nettoinvestitionen. Typischerweise liegt die Kennziffer Umsatz/Kapital zwischen0,5 und 5,0 (je nach Anlageintensität der jeweiligen Industrie). Je niedriger die Kennziffer ausfällt, desto mehr ist bei gegebenem Umsatz zu investieren. Beträgt die Kennziffer z.B. 3,0 (Umsatz/Kapital), so sind für EUR 100 Umsatz EUR 30 zu investieren.</v>
      </c>
      <c r="C92" s="1159"/>
      <c r="D92" s="1159"/>
      <c r="E92" s="1159"/>
      <c r="F92" s="1159"/>
    </row>
    <row r="93" spans="2:6" ht="18" customHeight="1" x14ac:dyDescent="0.45">
      <c r="B93" s="1167" t="str">
        <f>'DIY Grundmodell'!A304</f>
        <v>Kalkulierte Nettoinvestitionen</v>
      </c>
      <c r="C93" s="1167"/>
      <c r="D93" s="1167"/>
      <c r="E93" s="1167"/>
      <c r="F93" s="1167"/>
    </row>
    <row r="94" spans="2:6" ht="269.25" customHeight="1" x14ac:dyDescent="0.45">
      <c r="B94" s="1159" t="str">
        <f>'DIY Grundmodell'!$A306&amp;" " &amp;'DIY Grundmodell'!$A307&amp;" " &amp;'DIY Grundmodell'!$A308&amp;" " &amp;'DIY Grundmodell'!$A309&amp;" " &amp;'DIY Grundmodell'!$A310&amp;" " &amp;'DIY Grundmodell'!$A311&amp;" " &amp;'DIY Grundmodell'!$A312&amp;" " &amp;'DIY Grundmodell'!$A313&amp;" " &amp;'DIY Grundmodell'!$A314&amp;" " &amp;'DIY Grundmodell'!$A315&amp;'DIY Grundmodell'!$A316</f>
        <v>Das DCF-Modell prognostiziert eine Veränderung des Umsatzes über 10 Jahre um 176,8% (Umsatz LTM+10 / Umsatz LTM). Wir unterstellen ein im Zeitablauf wachsendes Geschäftsvolumen und berücksichtigen notwendige Nettoinvestitionen. Das für die Planung auserwählte Verhältnis Umsatz/Kapital (LTM+10) beträgt 1,72. Die Auswahl erfolgt nach Analyse der Unternehmenshistorie (statistische Relevanz) im Vergleich zu Industriebenchmarks. Für die Planungsperioden werden die Umsatzzuwächse durch die Kennziffer Umsatz/Kapital dividiert. Die Berechnung lautet: (USD 580.259 - USD 250.864 Mio.) / 1,72. Für die nächsten 10 Jahre ergibt sich eine Gesamtsumme von USD 191.641 Mio. für plausibel notwendige Nettoinvestitionen. Die Reinvestitionsquote beträgt damit 18,6% (Reinvestment / EBIT-T). In Folge haben wir uns mit Aussagen von Analysten über anstehende Investitionen und der Plausibilität beschäftigt. Nach Würdigung der Schätzungen und Plausibilität werden final übernommen USD: 390.703 Mio. über den Zeitraum von 10 Jahren, dies entspricht einem Verhältnis von 0,84 Umsatz zu Kapital. Die Reinvestitionsquote beträgt somit 37,9%. Der Prozentsatz drückt aus, wieviel vom operativen Ergebnis nach Steuer (EBIT-T) für Nettoinvestionen berücksichtigt wird. Die begründet notwendigen Nettoinvestitionen verteilen wir über die 10 Planungsperioden unter Berücksichtigung der jährlich unterstellten Umsatzentwicklung.</v>
      </c>
      <c r="C94" s="1159"/>
      <c r="D94" s="1159"/>
      <c r="E94" s="1159"/>
      <c r="F94" s="1159"/>
    </row>
    <row r="95" spans="2:6" ht="18" customHeight="1" x14ac:dyDescent="0.45">
      <c r="B95" s="1163" t="s">
        <v>278</v>
      </c>
      <c r="C95" s="1164"/>
      <c r="D95" s="1164"/>
      <c r="E95" s="1164"/>
      <c r="F95" s="1164"/>
    </row>
    <row r="96" spans="2:6" ht="160.25" customHeight="1" x14ac:dyDescent="0.45">
      <c r="B96" s="1159" t="str">
        <f>'DIY Grundmodell'!$A318&amp;" " &amp;'DIY Grundmodell'!$A319&amp;" " &amp;'DIY Grundmodell'!$A320&amp;" " &amp;'DIY Grundmodell'!$A321&amp;" " &amp;'DIY Grundmodell'!$A322&amp;" " &amp;'DIY Grundmodell'!$A323</f>
        <v>Das DCF-Modell kalkuliert die freien Cashflows vor Finanzierung (FCFF) für jede der 10 Planungsperioden und berücksichtigt sodann einen Fortschreibungswert. Gemäß Bewertungslehre unterstellen wir den ewigen Fortbestand des Unternehmens und verweisen darauf, dass ein weit in der Zukunft liegender Cashflow den Barwert kaum beeinflusst. Den sog. Terminal Value berechnen wir mit der methodisch anerkannten Formel: Terminal Value = ewiger Cashflow / (WACC - Wachstumsfaktor g). Im vorliegenden Fall wird berechnet: Terminal Value = USD 107.117 Mio. / (8,3% - 4,3%) = USD 2.694.558 Mio. (Unternehmenswert vor Finanzierung in 10 Jahren). Die Wachstumsrate "g" orientiert sich am risikolosen Zins. Der im Bewertungsergebnis enthaltene Barwert des Terminal Value beträgt durch die Diskontierung (nur) USD 1.173.369 Mio.</v>
      </c>
      <c r="C96" s="1159"/>
      <c r="D96" s="1159"/>
      <c r="E96" s="1159"/>
      <c r="F96" s="1159"/>
    </row>
    <row r="97" spans="2:6" ht="18" customHeight="1" x14ac:dyDescent="0.45">
      <c r="B97" s="1163" t="s">
        <v>279</v>
      </c>
      <c r="C97" s="1163"/>
      <c r="D97" s="1163"/>
      <c r="E97" s="1163"/>
      <c r="F97" s="1163"/>
    </row>
    <row r="98" spans="2:6" ht="18" customHeight="1" x14ac:dyDescent="0.45">
      <c r="B98" s="1167" t="str">
        <f>'DIY Grundmodell'!$A325</f>
        <v>Einführung:</v>
      </c>
      <c r="C98" s="1167"/>
      <c r="D98" s="1167"/>
      <c r="E98" s="1167"/>
      <c r="F98" s="1167"/>
    </row>
    <row r="99" spans="2:6" ht="99.6" customHeight="1" x14ac:dyDescent="0.45">
      <c r="B99" s="1159" t="str">
        <f>'DIY Grundmodell'!$A326&amp;" " &amp;'DIY Grundmodell'!$A327&amp;" " &amp;'DIY Grundmodell'!$A328</f>
        <v>Wir verwenden das in Theorie und Praxis meist verbreitete DCF-Modell nach dem Entity-Ansatz, demnach werden die Cashflows vor Kapitaldienst mit gewichteten Kapitalkosten diskontiert. Im vorliegenden Fall verwenden wir einen Diskontierungsfaktor in Höhe von 9,4% (LTM), dessen mathematische Herleitung wir nachstehend erläutern und begründen. Unter Berücksichtigung erwarteter Verschuldungsquoten passen wir den Diskontierungszins im Zeitablauf bis 8,3% für die ewige Rente an.</v>
      </c>
      <c r="C99" s="1159"/>
      <c r="D99" s="1159"/>
      <c r="E99" s="1159"/>
      <c r="F99" s="1159"/>
    </row>
    <row r="100" spans="2:6" ht="18" customHeight="1" x14ac:dyDescent="0.45">
      <c r="B100" s="1167" t="str">
        <f>'DIY Grundmodell'!$A329</f>
        <v>Herleitung und Begründung</v>
      </c>
      <c r="C100" s="1167"/>
      <c r="D100" s="1167"/>
      <c r="E100" s="1167"/>
      <c r="F100" s="1167"/>
    </row>
    <row r="101" spans="2:6" ht="205.5" customHeight="1" x14ac:dyDescent="0.45">
      <c r="B101" s="1159" t="str">
        <f>'DIY Grundmodell'!$A330&amp;" " &amp;'DIY Grundmodell'!$A331&amp;" " &amp;'DIY Grundmodell'!$A332&amp;" " &amp;'DIY Grundmodell'!$A333&amp;" " &amp;'DIY Grundmodell'!$A334&amp;" " &amp;'DIY Grundmodell'!$A335&amp;" " &amp;'DIY Grundmodell'!$A336</f>
        <v>Als risikolosen Zins verwenden wir die tagesaktuell gehandelte Rendite einer sicheren 10-jährigen Staatsanleihe, zum Bewertungsstichtag in Höhe von 4,3% (USD). Für das Eingehen von Aktienrisiko berücksichtigen wir eine Risikoprämie in Höhe von 6,0%. Ein bedeutendes Merkmal unserer Methodik besteht sodann darin, das regionale Risiko einzupreisen und im vorliegenden Fall verändern wir die Risikoprämie auf 6,7%. Die regionale Anpassung der Risikoprämie erfolgt unter Berücksichtigung des Heimatsitzes und der regionalen Absatzmärkte, die Meta Platforms regelmäßig veröffentlicht. Als Risikomaß nutzen wir die jeweils aktuell am Kapitalmarkt gehandelten Preise für Ausfallrisiken der Länder (Credit Default Swaps) und gewichten anhand der regionalen Umsatzverteilung. Die Eigenkapitalkosten berechnen wir wie folgt: Eigenkapitalkosten = risikoloser Zins + Beta * Risikoprämie = 4,3% + 0,80 * 6,7% = 9,7%. Bei der Formel handelt es sich um die anerkannte Herleitung entlang des sog. CAPM, wobei das "Beta" als relativer Maßstab die Risikoprämie individuell adjustiert (relatives Risiko).</v>
      </c>
      <c r="C101" s="1159"/>
      <c r="D101" s="1159"/>
      <c r="E101" s="1159"/>
      <c r="F101" s="1159"/>
    </row>
    <row r="102" spans="2:6" ht="18" customHeight="1" thickBot="1" x14ac:dyDescent="0.5"/>
    <row r="103" spans="2:6" ht="18" customHeight="1" x14ac:dyDescent="0.45">
      <c r="B103" s="864" t="s">
        <v>263</v>
      </c>
      <c r="C103" s="865"/>
      <c r="D103" s="865"/>
      <c r="E103" s="865"/>
      <c r="F103" s="866"/>
    </row>
    <row r="104" spans="2:6" ht="18" customHeight="1" x14ac:dyDescent="0.45">
      <c r="B104" s="867" t="str">
        <f>"Risikoloser Zins (Rendite 10J-Staatsanleihe) " &amp;Datenquelle!$K$13</f>
        <v>Risikoloser Zins (Rendite 10J-Staatsanleihe) USD</v>
      </c>
      <c r="C104" s="859"/>
      <c r="D104" s="859"/>
      <c r="E104" s="859"/>
      <c r="F104" s="897">
        <f>'DIY Grundmodell'!F39</f>
        <v>4.3200000000000002E-2</v>
      </c>
    </row>
    <row r="105" spans="2:6" ht="18" customHeight="1" x14ac:dyDescent="0.45">
      <c r="B105" s="867" t="s">
        <v>274</v>
      </c>
      <c r="C105" s="859"/>
      <c r="D105" s="859"/>
      <c r="E105" s="859"/>
      <c r="F105" s="891">
        <f>'DIY Grundmodell'!F40</f>
        <v>6.6912423369693594E-2</v>
      </c>
    </row>
    <row r="106" spans="2:6" ht="18" customHeight="1" x14ac:dyDescent="0.45">
      <c r="B106" s="867" t="s">
        <v>273</v>
      </c>
      <c r="C106" s="859"/>
      <c r="D106" s="859"/>
      <c r="E106" s="859"/>
      <c r="F106" s="898">
        <f>'DIY Grundmodell'!F41</f>
        <v>0.8</v>
      </c>
    </row>
    <row r="107" spans="2:6" ht="18" customHeight="1" x14ac:dyDescent="0.45">
      <c r="B107" s="867" t="s">
        <v>252</v>
      </c>
      <c r="C107" s="859"/>
      <c r="D107" s="859"/>
      <c r="E107" s="859"/>
      <c r="F107" s="891">
        <f>'DIY Grundmodell'!F42</f>
        <v>0</v>
      </c>
    </row>
    <row r="108" spans="2:6" ht="18" customHeight="1" x14ac:dyDescent="0.45">
      <c r="B108" s="899" t="s">
        <v>253</v>
      </c>
      <c r="C108" s="900"/>
      <c r="D108" s="900"/>
      <c r="E108" s="900"/>
      <c r="F108" s="901">
        <f>'DIY Grundmodell'!F43</f>
        <v>9.6729938695754886E-2</v>
      </c>
    </row>
    <row r="109" spans="2:6" ht="18" customHeight="1" x14ac:dyDescent="0.45">
      <c r="B109" s="867" t="s">
        <v>254</v>
      </c>
      <c r="C109" s="859"/>
      <c r="D109" s="859"/>
      <c r="E109" s="859"/>
      <c r="F109" s="891">
        <f>'DIY Grundmodell'!F44</f>
        <v>5.5586666666666673E-2</v>
      </c>
    </row>
    <row r="110" spans="2:6" ht="18" customHeight="1" x14ac:dyDescent="0.45">
      <c r="B110" s="867" t="s">
        <v>255</v>
      </c>
      <c r="C110" s="859"/>
      <c r="D110" s="859"/>
      <c r="E110" s="859"/>
      <c r="F110" s="891">
        <f>'DIY Grundmodell'!F45</f>
        <v>0.25</v>
      </c>
    </row>
    <row r="111" spans="2:6" ht="18" customHeight="1" x14ac:dyDescent="0.45">
      <c r="B111" s="899" t="s">
        <v>256</v>
      </c>
      <c r="C111" s="900"/>
      <c r="D111" s="900"/>
      <c r="E111" s="900"/>
      <c r="F111" s="902">
        <f>'DIY Grundmodell'!F46</f>
        <v>4.1690000000000005E-2</v>
      </c>
    </row>
    <row r="112" spans="2:6" ht="18" customHeight="1" x14ac:dyDescent="0.45">
      <c r="B112" s="867" t="str">
        <f>"Marktwert Eigenkapital in Mio. " &amp;Datenquelle!$K$13</f>
        <v>Marktwert Eigenkapital in Mio. USD</v>
      </c>
      <c r="C112" s="851"/>
      <c r="D112" s="859"/>
      <c r="E112" s="859"/>
      <c r="F112" s="892">
        <f>'DIY Grundmodell'!F47</f>
        <v>1712180.20692</v>
      </c>
    </row>
    <row r="113" spans="2:9" ht="18" customHeight="1" x14ac:dyDescent="0.45">
      <c r="B113" s="867" t="str">
        <f>"(Marktwert) Fremdkapital in Mio. " &amp;Datenquelle!$K$13</f>
        <v>(Marktwert) Fremdkapital in Mio. USD</v>
      </c>
      <c r="C113" s="851"/>
      <c r="D113" s="859"/>
      <c r="E113" s="859"/>
      <c r="F113" s="892">
        <f>'DIY Grundmodell'!F48</f>
        <v>96862.515253533027</v>
      </c>
    </row>
    <row r="114" spans="2:9" ht="18" customHeight="1" x14ac:dyDescent="0.45">
      <c r="B114" s="899" t="s">
        <v>257</v>
      </c>
      <c r="C114" s="852"/>
      <c r="D114" s="900"/>
      <c r="E114" s="900"/>
      <c r="F114" s="902">
        <f>'DIY Grundmodell'!F49</f>
        <v>9.3782906635027433E-2</v>
      </c>
    </row>
    <row r="115" spans="2:9" ht="18" customHeight="1" thickBot="1" x14ac:dyDescent="0.5">
      <c r="B115" s="870" t="s">
        <v>258</v>
      </c>
      <c r="C115" s="903"/>
      <c r="D115" s="871"/>
      <c r="E115" s="871"/>
      <c r="F115" s="895">
        <f>'DIY Grundmodell'!M33</f>
        <v>8.2953038675466398E-2</v>
      </c>
    </row>
    <row r="117" spans="2:9" ht="18" customHeight="1" x14ac:dyDescent="0.45">
      <c r="B117" s="1167" t="str">
        <f>'DIY Grundmodell'!A337</f>
        <v>Relevered Beta der relevanten Industrien</v>
      </c>
      <c r="C117" s="1167"/>
      <c r="D117" s="1167"/>
      <c r="E117" s="1167"/>
      <c r="F117" s="1167"/>
    </row>
    <row r="118" spans="2:9" ht="162.4" customHeight="1" x14ac:dyDescent="0.45">
      <c r="B118" s="1159" t="str">
        <f>'DIY Grundmodell'!$A338&amp;" " &amp;'DIY Grundmodell'!$A339&amp;" " &amp;'DIY Grundmodell'!$A340&amp;" " &amp;'DIY Grundmodell'!$A341&amp;" " &amp;'DIY Grundmodell'!$A342</f>
        <v>Der Betafaktor steht für das systematische Risiko des Unternehmens, ein Betafaktor kleiner 1,0 impliziert ein gegenüber dem Markt geringeres Risiko und vice versa. Unsere Modelle verwenden ausschließlich eigens hergeleitete "Bottom-Up-Beta", niemals das Regressionsbeta der einzelnen Aktie, ein aus unserer Sicht ungeeignetes Risikomaß. Somit berücksichtigt unser Beta das systematische Risiko der Industrien, in denen die Meta Platforms tätig ist. Viele Unternehmen sind in unterschiedlichen Industrien aktiv, wir gewichten anhand der Umsatzverteilung und berücksichtigen Auf- oder Abschläge je nach Stabilität der EBIT-Marge (CAPM plus). Methodengerecht passen wir das Beta der konkreten Verschuldungsquote an ("levered Beta") und jedem Unternehmen wird ein individuell begründetes und einzupreisendes Risiko beigemessen.</v>
      </c>
      <c r="C118" s="1159"/>
      <c r="D118" s="1159"/>
      <c r="E118" s="1159"/>
      <c r="F118" s="1159"/>
    </row>
    <row r="119" spans="2:9" ht="18" customHeight="1" x14ac:dyDescent="0.45">
      <c r="B119" s="1167" t="str">
        <f>'DIY Grundmodell'!A343</f>
        <v>Fremkapitalkosten</v>
      </c>
      <c r="C119" s="1167"/>
      <c r="D119" s="1167"/>
      <c r="E119" s="1167"/>
      <c r="F119" s="1167"/>
    </row>
    <row r="120" spans="2:9" ht="100.25" customHeight="1" x14ac:dyDescent="0.45">
      <c r="B120" s="1159" t="str">
        <f>'DIY Grundmodell'!$A344&amp;" " &amp;'DIY Grundmodell'!$A345&amp;" " &amp;'DIY Grundmodell'!$A346</f>
        <v>Die Fremdkapitalkosten beziffern wir zum Bewertungsstichtag auf 5,6%. Dies ist der Zinssatz, zudem das Unternehmen aktuell langfristige Mittel aufnehmen kann. Den vorgenannten Zinssatz ermitteln wir anhand eines Unternehmensrating und den aktuell gehandelten Renditen 10-jähriger Unternehmensanleihen gleicher Ratingklasse. Methodengerecht kürzen wir die Fremdkapitalkosten um den Grenzsteuersatz (tax-shield), im vorliegenden Fall um 25,0%. Die Fremdkapitalkosten beziffern sich demnach auf 4,2%.</v>
      </c>
      <c r="C120" s="1159"/>
      <c r="D120" s="1159"/>
      <c r="E120" s="1159"/>
      <c r="F120" s="1159"/>
    </row>
    <row r="121" spans="2:9" ht="18" customHeight="1" x14ac:dyDescent="0.45">
      <c r="B121" s="1167" t="str">
        <f>'DIY Grundmodell'!A347</f>
        <v>Gewichtete Kapitalkosten (WACC)</v>
      </c>
      <c r="C121" s="1167"/>
      <c r="D121" s="1167"/>
      <c r="E121" s="1167"/>
      <c r="F121" s="1167"/>
      <c r="H121" s="769"/>
      <c r="I121" s="769"/>
    </row>
    <row r="122" spans="2:9" ht="70.25" customHeight="1" x14ac:dyDescent="0.45">
      <c r="B122" s="1159" t="str">
        <f>'DIY Grundmodell'!$A348&amp;" " &amp;'DIY Grundmodell'!$A349</f>
        <v>Unter Berücksichtigung von aktueller Marktkapitalisierung und Verschuldung gewichten wir die Eigenkapitalkosten im vorliegenden Fall mit 94,6% und die Fremdkapitalkosten mit 5,4%. Es resultieren die zitierten gewichteten Kapitalkosten in Höhe von: WACC = 9,7% * 94,6% + 4,2% * 5,4%. = 9,4%</v>
      </c>
      <c r="C122" s="1159"/>
      <c r="D122" s="1159"/>
      <c r="E122" s="1159"/>
      <c r="F122" s="1159"/>
    </row>
    <row r="123" spans="2:9" ht="18" customHeight="1" thickBot="1" x14ac:dyDescent="0.5"/>
    <row r="124" spans="2:9" ht="18" customHeight="1" x14ac:dyDescent="0.45">
      <c r="B124" s="864" t="str">
        <f>"Bewertungsergebnis in Mio. " &amp;Datenquelle!$K$13</f>
        <v>Bewertungsergebnis in Mio. USD</v>
      </c>
      <c r="C124" s="865"/>
      <c r="D124" s="865"/>
      <c r="E124" s="865"/>
      <c r="F124" s="866"/>
    </row>
    <row r="125" spans="2:9" ht="18" customHeight="1" x14ac:dyDescent="0.45">
      <c r="B125" s="867" t="s">
        <v>284</v>
      </c>
      <c r="C125" s="851"/>
      <c r="D125" s="859"/>
      <c r="E125" s="859"/>
      <c r="F125" s="892">
        <f>'DIY Grundmodell'!B35</f>
        <v>356474.3078078382</v>
      </c>
    </row>
    <row r="126" spans="2:9" ht="18" customHeight="1" x14ac:dyDescent="0.45">
      <c r="B126" s="867" t="s">
        <v>285</v>
      </c>
      <c r="C126" s="851"/>
      <c r="D126" s="859"/>
      <c r="E126" s="859"/>
      <c r="F126" s="892">
        <f>'DIY Grundmodell'!B34</f>
        <v>1173369.2511902978</v>
      </c>
    </row>
    <row r="127" spans="2:9" ht="18" customHeight="1" x14ac:dyDescent="0.45">
      <c r="B127" s="888" t="s">
        <v>275</v>
      </c>
      <c r="C127" s="853"/>
      <c r="D127" s="856"/>
      <c r="E127" s="856"/>
      <c r="F127" s="904">
        <f>F125+F126</f>
        <v>1529843.5589981358</v>
      </c>
    </row>
    <row r="128" spans="2:9" ht="18" customHeight="1" x14ac:dyDescent="0.45">
      <c r="B128" s="867" t="str">
        <f>'DIY Grundmodell'!A39</f>
        <v>Liquide Mittel</v>
      </c>
      <c r="C128" s="854"/>
      <c r="D128" s="854"/>
      <c r="E128" s="859"/>
      <c r="F128" s="892">
        <f>'DIY Grundmodell'!D39</f>
        <v>81592</v>
      </c>
    </row>
    <row r="129" spans="2:6" ht="18" hidden="1" customHeight="1" x14ac:dyDescent="0.45">
      <c r="B129" s="867" t="str">
        <f>'DIY Grundmodell'!A40</f>
        <v>Handelbare langfristige Wertpapiere</v>
      </c>
      <c r="C129" s="854"/>
      <c r="D129" s="854"/>
      <c r="E129" s="859"/>
      <c r="F129" s="892">
        <f>'DIY Grundmodell'!D40</f>
        <v>0</v>
      </c>
    </row>
    <row r="130" spans="2:6" ht="18" customHeight="1" x14ac:dyDescent="0.45">
      <c r="B130" s="867" t="str">
        <f>'DIY Grundmodell'!A41</f>
        <v>(Marktwert) Fremdkapital</v>
      </c>
      <c r="C130" s="854"/>
      <c r="D130" s="854"/>
      <c r="E130" s="859"/>
      <c r="F130" s="892">
        <f>'DIY Grundmodell'!D41</f>
        <v>-96862.515253533027</v>
      </c>
    </row>
    <row r="131" spans="2:6" ht="18" hidden="1" customHeight="1" x14ac:dyDescent="0.45">
      <c r="B131" s="867" t="str">
        <f>'DIY Grundmodell'!A42</f>
        <v>Finanzforderungen &amp; Anzahlungen</v>
      </c>
      <c r="C131" s="854"/>
      <c r="D131" s="854"/>
      <c r="E131" s="859"/>
      <c r="F131" s="892">
        <f>'DIY Grundmodell'!D42</f>
        <v>0</v>
      </c>
    </row>
    <row r="132" spans="2:6" ht="18" hidden="1" customHeight="1" x14ac:dyDescent="0.45">
      <c r="B132" s="867" t="str">
        <f>'DIY Grundmodell'!A43</f>
        <v>Anteile Minderheitsgesellschafter</v>
      </c>
      <c r="C132" s="854"/>
      <c r="D132" s="854"/>
      <c r="E132" s="859"/>
      <c r="F132" s="892">
        <f>'DIY Grundmodell'!D43</f>
        <v>0</v>
      </c>
    </row>
    <row r="133" spans="2:6" ht="18" hidden="1" customHeight="1" x14ac:dyDescent="0.45">
      <c r="B133" s="867" t="str">
        <f>'DIY Grundmodell'!A44</f>
        <v>Langfr. Passive Abgrenzungen &amp; Sonstiges</v>
      </c>
      <c r="C133" s="854"/>
      <c r="D133" s="854"/>
      <c r="E133" s="859"/>
      <c r="F133" s="892">
        <f>'DIY Grundmodell'!D44</f>
        <v>0</v>
      </c>
    </row>
    <row r="134" spans="2:6" ht="18" hidden="1" customHeight="1" x14ac:dyDescent="0.45">
      <c r="B134" s="867" t="str">
        <f>'DIY Grundmodell'!A45</f>
        <v>Ungedeckte Pensionsrückstellungen</v>
      </c>
      <c r="C134" s="854"/>
      <c r="D134" s="854"/>
      <c r="E134" s="859"/>
      <c r="F134" s="892">
        <f>'DIY Grundmodell'!D45</f>
        <v>0</v>
      </c>
    </row>
    <row r="135" spans="2:6" ht="18" hidden="1" customHeight="1" x14ac:dyDescent="0.45">
      <c r="B135" s="867" t="str">
        <f>'DIY Grundmodell'!A46</f>
        <v>Verlorene Rechtstreitigkeiten</v>
      </c>
      <c r="C135" s="854"/>
      <c r="D135" s="854"/>
      <c r="E135" s="859"/>
      <c r="F135" s="892">
        <f>'DIY Grundmodell'!D46</f>
        <v>0</v>
      </c>
    </row>
    <row r="136" spans="2:6" ht="18" hidden="1" customHeight="1" x14ac:dyDescent="0.45">
      <c r="B136" s="867" t="str">
        <f>'DIY Grundmodell'!A47</f>
        <v>Wert Eigenkapitaloptionen</v>
      </c>
      <c r="C136" s="854"/>
      <c r="D136" s="854"/>
      <c r="E136" s="859"/>
      <c r="F136" s="892">
        <f>'DIY Grundmodell'!D47</f>
        <v>0</v>
      </c>
    </row>
    <row r="137" spans="2:6" ht="18" customHeight="1" x14ac:dyDescent="0.45">
      <c r="B137" s="867" t="str">
        <f>'DIY Grundmodell'!A48</f>
        <v>Wert Beteiligungen &amp; Finanzinvestitionen</v>
      </c>
      <c r="C137" s="854"/>
      <c r="D137" s="854"/>
      <c r="E137" s="859"/>
      <c r="F137" s="892">
        <f>'DIY Grundmodell'!D48</f>
        <v>27524</v>
      </c>
    </row>
    <row r="138" spans="2:6" ht="18" customHeight="1" x14ac:dyDescent="0.45">
      <c r="B138" s="888" t="s">
        <v>276</v>
      </c>
      <c r="C138" s="853"/>
      <c r="D138" s="856"/>
      <c r="E138" s="856"/>
      <c r="F138" s="904">
        <f>SUM(F127:F137)</f>
        <v>1542097.0437446027</v>
      </c>
    </row>
    <row r="139" spans="2:6" ht="18" customHeight="1" thickBot="1" x14ac:dyDescent="0.5">
      <c r="B139" s="905" t="str">
        <f>"Resultierender Wert je Aktie in " &amp;Datenquelle!$K$13</f>
        <v>Resultierender Wert je Aktie in USD</v>
      </c>
      <c r="C139" s="906"/>
      <c r="D139" s="907"/>
      <c r="E139" s="907"/>
      <c r="F139" s="908">
        <f>F138/F18</f>
        <v>609.63164007663329</v>
      </c>
    </row>
    <row r="140" spans="2:6" ht="18" customHeight="1" x14ac:dyDescent="0.45">
      <c r="B140" s="850"/>
      <c r="C140" s="850"/>
      <c r="D140" s="850"/>
      <c r="E140" s="850"/>
      <c r="F140" s="850"/>
    </row>
    <row r="141" spans="2:6" ht="18" customHeight="1" x14ac:dyDescent="0.45">
      <c r="B141" s="1163" t="s">
        <v>297</v>
      </c>
      <c r="C141" s="1163"/>
      <c r="D141" s="1163"/>
      <c r="E141" s="1163"/>
      <c r="F141" s="1163"/>
    </row>
    <row r="142" spans="2:6" ht="100.5" customHeight="1" x14ac:dyDescent="0.45">
      <c r="B142" s="1159" t="str">
        <f>'DIY Grundmodell'!$A351&amp;" " &amp;'DIY Grundmodell'!$A352&amp;" " &amp;'DIY Grundmodell'!$A353</f>
        <v>Der Barwert des Terminal Value und der Barwert aller diskontierten Cashflows addieren sich zum schuldenfreien Unternehmenswert ("Enterprise Value"). Der Enterprise Value beträgt im vorliegenden Fall USD 1.529.844 Mio. = USD 1.173.369 Mio. (Barwert Terminal Value) plus USD 356.474 Mio. (Barwert aller Cashflows). Methodengerecht sind die liquiden Mittel inkl. handelbarer Wertpapiere (USD 81.592 Mio.) zu addieren und die zinstragenden Verbindlichkeiten (USD 96.863 Mio.) zu subtrahieren.</v>
      </c>
      <c r="C142" s="1159"/>
      <c r="D142" s="1159"/>
      <c r="E142" s="1159"/>
      <c r="F142" s="1159"/>
    </row>
    <row r="143" spans="2:6" ht="159.75" customHeight="1" x14ac:dyDescent="0.45">
      <c r="B143" s="1159" t="str">
        <f>'DIY Grundmodell'!$A354&amp;" " &amp;'DIY Grundmodell'!$A355&amp;" " &amp;'DIY Grundmodell'!$A356&amp;" " &amp;'DIY Grundmodell'!$A357&amp;" " &amp;'DIY Grundmodell'!$A358</f>
        <v>Zusätzlich analysieren wir die Passivseite der Bilanzen, um in der sogenannten "Equity Bridge" ggf. weitere Positionen zu berücksichtigen. Hierzu können insbesondere passivierte Anzahlungen, konsolidierte "Minority Shares" oder ungedeckte Pensionsrückstellungen nebst weiteren Positionen gehören. In besonderen Fällen inkludieren die zinstragenden Verbindlichkeiten passivierte Finanzschulden aus Handelsaktivitäten, z.B. bei Konsolidierung von Bank- oder Leasinggeschäften. In vorgenannten Fällen achten wir auf etwaige Gegenpositionen auf der Aktivseite der Bilanz (Finanzforderungen) und saldieren die Beträge in der Equity Bridge unter der Position Sonstiges. Nach Abzug bzw. Addition der im DCF-Modell einzeln aufgeführten Positionen ergibt sich der Wert des Eigenkapitals zum Bewertungsstichtag in Höhe von USD 1.542.097 Mio.</v>
      </c>
      <c r="C143" s="1159"/>
      <c r="D143" s="1159"/>
      <c r="E143" s="1159"/>
      <c r="F143" s="1159"/>
    </row>
    <row r="144" spans="2:6" ht="89.65" customHeight="1" x14ac:dyDescent="0.45">
      <c r="B144" s="1159" t="str">
        <f>'DIY Grundmodell'!$A359&amp;" " &amp;'DIY Grundmodell'!$A360&amp;" " &amp;'DIY Grundmodell'!$A361</f>
        <v>Der Wert des Eigenkapitals wird durch die Anzahl der ausstehenden Aktien (2.530 Mio. Stück) dividiert, es resultiert der innere Wert der Aktie zum Bewertungsstichtag in Höhe von USD 609,63. Der innere Wert der Aktie kann mit dem aktuellen Börsenkurs (USD 676,87) für Investitionsentscheidungen verglichen werden. Auf Basis der vollständigen Unternehmensbewertung beträgt das Verhältnis von Aktienkurs zu Aktienwert zum Bewertungsstichtag: 111,0%.</v>
      </c>
      <c r="C144" s="1159"/>
      <c r="D144" s="1159"/>
      <c r="E144" s="1159"/>
      <c r="F144" s="1159"/>
    </row>
    <row r="145" spans="2:6" ht="18" customHeight="1" x14ac:dyDescent="0.45">
      <c r="B145" s="1163" t="s">
        <v>328</v>
      </c>
      <c r="C145" s="1163"/>
      <c r="D145" s="1163"/>
      <c r="E145" s="1163"/>
      <c r="F145" s="1163"/>
    </row>
    <row r="146" spans="2:6" ht="68.650000000000006" customHeight="1" x14ac:dyDescent="0.45">
      <c r="B146" s="1159" t="str">
        <f>'DIY Grundmodell'!$A363&amp;" " &amp;'DIY Grundmodell'!$A365</f>
        <v>Bei Erhöhung der Planungsprämissen für Umatz und EBIT-Marge um 10% - ceteris paribus - beträgt der innere Wert der Aktie USD 736,40718 (Preis/Wert: 92%). Bei Reduzierung der gewichteten Kapitalkosten um 100 Basispunkte - ceteris paribus - steigt der innere Wert der Aktie USD 835,23388 (Preis/Wert: 81%).</v>
      </c>
      <c r="C146" s="1159"/>
      <c r="D146" s="1159"/>
      <c r="E146" s="1159"/>
      <c r="F146" s="1159"/>
    </row>
    <row r="147" spans="2:6" ht="18" customHeight="1" x14ac:dyDescent="0.45">
      <c r="B147" s="850"/>
      <c r="C147" s="850"/>
      <c r="D147" s="850"/>
      <c r="E147" s="850"/>
      <c r="F147" s="850"/>
    </row>
    <row r="148" spans="2:6" ht="18" customHeight="1" x14ac:dyDescent="0.45">
      <c r="B148" s="850"/>
      <c r="C148" s="850"/>
      <c r="D148" s="850"/>
      <c r="E148" s="850"/>
      <c r="F148" s="850"/>
    </row>
    <row r="149" spans="2:6" ht="18" customHeight="1" x14ac:dyDescent="0.45">
      <c r="B149" s="850"/>
      <c r="C149" s="850"/>
      <c r="D149" s="850"/>
      <c r="E149" s="850"/>
      <c r="F149" s="850"/>
    </row>
    <row r="150" spans="2:6" ht="18" customHeight="1" x14ac:dyDescent="0.45">
      <c r="B150" s="850"/>
      <c r="C150" s="850"/>
      <c r="D150" s="850"/>
      <c r="E150" s="850"/>
      <c r="F150" s="850"/>
    </row>
    <row r="151" spans="2:6" ht="18" customHeight="1" x14ac:dyDescent="0.45">
      <c r="B151" s="850"/>
      <c r="C151" s="850"/>
      <c r="D151" s="850"/>
      <c r="E151" s="850"/>
      <c r="F151" s="850"/>
    </row>
    <row r="152" spans="2:6" ht="18" customHeight="1" x14ac:dyDescent="0.45">
      <c r="B152" s="850"/>
      <c r="C152" s="850"/>
      <c r="D152" s="850"/>
      <c r="E152" s="850"/>
      <c r="F152" s="850"/>
    </row>
    <row r="153" spans="2:6" ht="18" customHeight="1" x14ac:dyDescent="0.45">
      <c r="B153" s="850"/>
      <c r="C153" s="850"/>
      <c r="D153" s="850"/>
      <c r="E153" s="850"/>
      <c r="F153" s="850"/>
    </row>
    <row r="154" spans="2:6" ht="18" customHeight="1" x14ac:dyDescent="0.45">
      <c r="B154" s="850"/>
      <c r="C154" s="850"/>
      <c r="D154" s="850"/>
      <c r="E154" s="850"/>
      <c r="F154" s="850"/>
    </row>
    <row r="155" spans="2:6" ht="18" customHeight="1" x14ac:dyDescent="0.45">
      <c r="B155" s="850"/>
      <c r="C155" s="850"/>
      <c r="D155" s="850"/>
      <c r="E155" s="850"/>
      <c r="F155" s="850"/>
    </row>
    <row r="156" spans="2:6" ht="18" customHeight="1" x14ac:dyDescent="0.45">
      <c r="B156" s="850"/>
      <c r="C156" s="850"/>
      <c r="D156" s="850"/>
      <c r="E156" s="850"/>
      <c r="F156" s="850"/>
    </row>
    <row r="157" spans="2:6" ht="18" customHeight="1" x14ac:dyDescent="0.45">
      <c r="B157" s="850"/>
      <c r="C157" s="850"/>
      <c r="D157" s="850"/>
      <c r="E157" s="850"/>
      <c r="F157" s="850"/>
    </row>
    <row r="158" spans="2:6" ht="18" customHeight="1" x14ac:dyDescent="0.45">
      <c r="B158" s="850"/>
      <c r="C158" s="850"/>
      <c r="D158" s="850"/>
      <c r="E158" s="850"/>
      <c r="F158" s="850"/>
    </row>
    <row r="159" spans="2:6" ht="18" customHeight="1" x14ac:dyDescent="0.45">
      <c r="B159" s="850"/>
      <c r="C159" s="850"/>
      <c r="D159" s="850"/>
      <c r="E159" s="850"/>
      <c r="F159" s="850"/>
    </row>
    <row r="160" spans="2:6" ht="18" customHeight="1" x14ac:dyDescent="0.45">
      <c r="B160" s="850"/>
      <c r="C160" s="850"/>
      <c r="D160" s="850"/>
      <c r="E160" s="850"/>
      <c r="F160" s="850"/>
    </row>
    <row r="161" spans="2:6" ht="18" customHeight="1" x14ac:dyDescent="0.45">
      <c r="B161" s="850"/>
      <c r="C161" s="850"/>
      <c r="D161" s="850"/>
      <c r="E161" s="850"/>
      <c r="F161" s="850"/>
    </row>
    <row r="162" spans="2:6" ht="18" customHeight="1" x14ac:dyDescent="0.45">
      <c r="B162" s="850"/>
      <c r="C162" s="850"/>
      <c r="D162" s="850"/>
      <c r="E162" s="850"/>
      <c r="F162" s="850"/>
    </row>
    <row r="163" spans="2:6" ht="18" customHeight="1" x14ac:dyDescent="0.45">
      <c r="B163" s="850"/>
      <c r="C163" s="850"/>
      <c r="D163" s="850"/>
      <c r="E163" s="850"/>
      <c r="F163" s="850"/>
    </row>
    <row r="164" spans="2:6" ht="18" customHeight="1" x14ac:dyDescent="0.45">
      <c r="B164" s="850"/>
      <c r="C164" s="850"/>
      <c r="D164" s="850"/>
      <c r="E164" s="850"/>
      <c r="F164" s="850"/>
    </row>
    <row r="165" spans="2:6" ht="18" customHeight="1" x14ac:dyDescent="0.45">
      <c r="B165" s="850"/>
      <c r="C165" s="850"/>
      <c r="D165" s="850"/>
      <c r="E165" s="850"/>
      <c r="F165" s="850"/>
    </row>
    <row r="166" spans="2:6" ht="18" customHeight="1" x14ac:dyDescent="0.45">
      <c r="B166" s="850"/>
      <c r="C166" s="850"/>
      <c r="D166" s="850"/>
      <c r="E166" s="850"/>
      <c r="F166" s="850"/>
    </row>
    <row r="167" spans="2:6" ht="18" customHeight="1" x14ac:dyDescent="0.45">
      <c r="B167" s="850"/>
      <c r="C167" s="850"/>
      <c r="D167" s="850"/>
      <c r="E167" s="850"/>
      <c r="F167" s="850"/>
    </row>
    <row r="168" spans="2:6" ht="18" customHeight="1" x14ac:dyDescent="0.45">
      <c r="B168" s="850"/>
      <c r="C168" s="850"/>
      <c r="D168" s="850"/>
      <c r="E168" s="850"/>
      <c r="F168" s="850"/>
    </row>
    <row r="169" spans="2:6" ht="18" customHeight="1" x14ac:dyDescent="0.45">
      <c r="B169" s="850"/>
      <c r="C169" s="850"/>
      <c r="D169" s="850"/>
      <c r="E169" s="850"/>
      <c r="F169" s="850"/>
    </row>
    <row r="170" spans="2:6" ht="18" customHeight="1" x14ac:dyDescent="0.45">
      <c r="B170" s="850"/>
      <c r="C170" s="850"/>
      <c r="D170" s="850"/>
      <c r="E170" s="850"/>
      <c r="F170" s="850"/>
    </row>
    <row r="735" ht="18" customHeight="1" collapsed="1" x14ac:dyDescent="0.45"/>
  </sheetData>
  <mergeCells count="44">
    <mergeCell ref="B70:F70"/>
    <mergeCell ref="B98:F98"/>
    <mergeCell ref="B99:F99"/>
    <mergeCell ref="B88:F88"/>
    <mergeCell ref="B71:F71"/>
    <mergeCell ref="B87:F87"/>
    <mergeCell ref="B89:F89"/>
    <mergeCell ref="B144:F144"/>
    <mergeCell ref="B118:F118"/>
    <mergeCell ref="B120:F120"/>
    <mergeCell ref="B122:F122"/>
    <mergeCell ref="B141:F141"/>
    <mergeCell ref="B142:F142"/>
    <mergeCell ref="B143:F143"/>
    <mergeCell ref="B121:F121"/>
    <mergeCell ref="B2:F2"/>
    <mergeCell ref="B3:F3"/>
    <mergeCell ref="B37:F37"/>
    <mergeCell ref="B38:F38"/>
    <mergeCell ref="B69:F69"/>
    <mergeCell ref="B5:F5"/>
    <mergeCell ref="B26:F26"/>
    <mergeCell ref="B31:F31"/>
    <mergeCell ref="B32:F32"/>
    <mergeCell ref="B67:F67"/>
    <mergeCell ref="E40:F40"/>
    <mergeCell ref="E51:F51"/>
    <mergeCell ref="B6:F6"/>
    <mergeCell ref="B145:F145"/>
    <mergeCell ref="B146:F146"/>
    <mergeCell ref="B117:F117"/>
    <mergeCell ref="B119:F119"/>
    <mergeCell ref="B72:F72"/>
    <mergeCell ref="B73:F73"/>
    <mergeCell ref="B101:F101"/>
    <mergeCell ref="B90:F90"/>
    <mergeCell ref="B91:F91"/>
    <mergeCell ref="B92:F92"/>
    <mergeCell ref="B93:F93"/>
    <mergeCell ref="B94:F94"/>
    <mergeCell ref="B95:F95"/>
    <mergeCell ref="B96:F96"/>
    <mergeCell ref="B97:F97"/>
    <mergeCell ref="B100:F100"/>
  </mergeCells>
  <conditionalFormatting sqref="D54:D64">
    <cfRule type="top10" dxfId="209" priority="8" percent="1" rank="10"/>
    <cfRule type="top10" dxfId="208" priority="9" percent="1" bottom="1" rank="10"/>
  </conditionalFormatting>
  <conditionalFormatting sqref="E55:E64">
    <cfRule type="cellIs" dxfId="207" priority="13" operator="equal">
      <formula>0</formula>
    </cfRule>
    <cfRule type="top10" dxfId="206" priority="17" percent="1" bottom="1" rank="10"/>
    <cfRule type="top10" dxfId="205" priority="18" percent="1" rank="10"/>
  </conditionalFormatting>
  <conditionalFormatting sqref="E77:E79">
    <cfRule type="cellIs" dxfId="204" priority="1" operator="lessThan">
      <formula>0</formula>
    </cfRule>
    <cfRule type="cellIs" dxfId="203" priority="2" operator="greaterThan">
      <formula>1</formula>
    </cfRule>
  </conditionalFormatting>
  <conditionalFormatting sqref="F15">
    <cfRule type="cellIs" dxfId="202" priority="19" operator="lessThan">
      <formula>1</formula>
    </cfRule>
    <cfRule type="cellIs" dxfId="201" priority="20" operator="greaterThan">
      <formula>1</formula>
    </cfRule>
    <cfRule type="cellIs" dxfId="200" priority="22" operator="greaterThan">
      <formula>1</formula>
    </cfRule>
  </conditionalFormatting>
  <conditionalFormatting sqref="F35 F49 F80:F85">
    <cfRule type="cellIs" dxfId="199" priority="21" operator="greaterThan">
      <formula>1</formula>
    </cfRule>
  </conditionalFormatting>
  <conditionalFormatting sqref="F55:F64">
    <cfRule type="cellIs" dxfId="198" priority="14" operator="equal">
      <formula>0</formula>
    </cfRule>
    <cfRule type="top10" dxfId="197" priority="15" percent="1" bottom="1" rank="10"/>
    <cfRule type="top10" dxfId="196" priority="16" percent="1" rank="10"/>
  </conditionalFormatting>
  <conditionalFormatting sqref="F104">
    <cfRule type="cellIs" dxfId="195" priority="10" operator="greaterThan">
      <formula>1</formula>
    </cfRule>
  </conditionalFormatting>
  <conditionalFormatting sqref="J21">
    <cfRule type="cellIs" dxfId="194" priority="3" operator="lessThan">
      <formula>-0.001</formula>
    </cfRule>
    <cfRule type="cellIs" dxfId="193" priority="4" operator="greaterThan">
      <formula>0.001</formula>
    </cfRule>
  </conditionalFormatting>
  <printOptions horizontalCentered="1"/>
  <pageMargins left="0.70866141732283472" right="0.70866141732283472" top="0.78740157480314965" bottom="0.78740157480314965" header="0.31496062992125984" footer="0.31496062992125984"/>
  <pageSetup paperSize="9" orientation="portrait" r:id="rId1"/>
  <rowBreaks count="3" manualBreakCount="3">
    <brk id="50" max="16383" man="1"/>
    <brk id="102" max="16383" man="1"/>
    <brk id="123" max="16383" man="1"/>
  </rowBreaks>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4E66-83C2-484E-A612-D7A727AC3B2D}">
  <sheetPr>
    <tabColor theme="5" tint="0.79998168889431442"/>
  </sheetPr>
  <dimension ref="B1:AL1188"/>
  <sheetViews>
    <sheetView showGridLines="0" showZeros="0" zoomScale="145" zoomScaleNormal="145" workbookViewId="0">
      <selection activeCell="A13" sqref="A13"/>
    </sheetView>
  </sheetViews>
  <sheetFormatPr baseColWidth="10" defaultColWidth="11.46484375" defaultRowHeight="14.1" customHeight="1" x14ac:dyDescent="0.45"/>
  <cols>
    <col min="1" max="1" width="3.86328125" style="7" customWidth="1"/>
    <col min="2" max="2" width="9.53125" style="7" customWidth="1"/>
    <col min="3" max="15" width="6.86328125" style="7" customWidth="1"/>
    <col min="16" max="17" width="8.1328125" style="7" customWidth="1"/>
    <col min="18" max="18" width="14.1328125" style="7" customWidth="1"/>
    <col min="19" max="29" width="7.86328125" style="7" customWidth="1"/>
    <col min="30" max="31" width="8.1328125" style="7" customWidth="1"/>
    <col min="32" max="36" width="11.46484375" style="7"/>
    <col min="37" max="37" width="2.86328125" style="7" customWidth="1"/>
    <col min="38" max="16384" width="11.46484375" style="7"/>
  </cols>
  <sheetData>
    <row r="1" spans="2:38" ht="14.1" customHeight="1" thickBot="1" x14ac:dyDescent="0.5">
      <c r="B1" s="199"/>
      <c r="C1" s="184"/>
      <c r="D1" s="3"/>
      <c r="E1" s="3"/>
      <c r="F1" s="3"/>
      <c r="G1" s="3"/>
      <c r="H1" s="4"/>
      <c r="I1" s="4"/>
      <c r="J1" s="4"/>
      <c r="K1" s="4"/>
      <c r="L1" s="4"/>
      <c r="M1" s="5"/>
      <c r="N1" s="6"/>
    </row>
    <row r="2" spans="2:38" s="272" customFormat="1" ht="20.100000000000001" customHeight="1" x14ac:dyDescent="0.45">
      <c r="B2" s="759" t="str">
        <f>'DIY Grundmodell'!Q2</f>
        <v>Meta Platforms, Inc.</v>
      </c>
      <c r="C2" s="738"/>
      <c r="D2" s="739"/>
      <c r="E2" s="739" t="s">
        <v>357</v>
      </c>
      <c r="F2" s="739"/>
      <c r="G2" s="739"/>
      <c r="H2" s="739"/>
      <c r="I2" s="739"/>
      <c r="J2" s="739"/>
      <c r="K2" s="739"/>
      <c r="L2" s="739"/>
      <c r="M2" s="740" t="str">
        <f>'DIY Grundmodell'!AB2</f>
        <v>Datum</v>
      </c>
      <c r="N2" s="741"/>
      <c r="O2" s="742">
        <f>'DIY Grundmodell'!AD2</f>
        <v>46129</v>
      </c>
      <c r="R2" s="137" t="str">
        <f>'DIY Grundmodell'!A91</f>
        <v>Multiplikatoren</v>
      </c>
      <c r="S2" s="88"/>
      <c r="T2" s="758">
        <v>1</v>
      </c>
      <c r="U2" s="758">
        <f>T2+1</f>
        <v>2</v>
      </c>
      <c r="V2" s="758">
        <f t="shared" ref="V2:AC2" si="0">U2+1</f>
        <v>3</v>
      </c>
      <c r="W2" s="758">
        <f t="shared" si="0"/>
        <v>4</v>
      </c>
      <c r="X2" s="758">
        <f t="shared" si="0"/>
        <v>5</v>
      </c>
      <c r="Y2" s="758">
        <f t="shared" si="0"/>
        <v>6</v>
      </c>
      <c r="Z2" s="758">
        <f t="shared" si="0"/>
        <v>7</v>
      </c>
      <c r="AA2" s="758">
        <f t="shared" si="0"/>
        <v>8</v>
      </c>
      <c r="AB2" s="758">
        <f t="shared" si="0"/>
        <v>9</v>
      </c>
      <c r="AC2" s="758">
        <f t="shared" si="0"/>
        <v>10</v>
      </c>
      <c r="AF2" s="6"/>
      <c r="AG2" s="6"/>
      <c r="AH2" s="6"/>
      <c r="AI2" s="6"/>
      <c r="AJ2" s="6"/>
      <c r="AK2" s="6"/>
      <c r="AL2" s="6"/>
    </row>
    <row r="3" spans="2:38" ht="14.1" customHeight="1" x14ac:dyDescent="0.45">
      <c r="B3" s="743" t="str">
        <f>'DIY Grundmodell'!Q3</f>
        <v>www.meta.com</v>
      </c>
      <c r="C3" s="8"/>
      <c r="D3" s="437"/>
      <c r="E3" s="102"/>
      <c r="F3" s="86"/>
      <c r="G3" s="86"/>
      <c r="H3" s="86"/>
      <c r="I3" s="86"/>
      <c r="J3" s="86"/>
      <c r="K3" s="86"/>
      <c r="L3" s="9"/>
      <c r="M3" s="10" t="str">
        <f>'DIY Grundmodell'!AB3</f>
        <v>Aktienkurs USD</v>
      </c>
      <c r="N3" s="11"/>
      <c r="O3" s="775">
        <f>'DIY Grundmodell'!AD3</f>
        <v>676.87</v>
      </c>
      <c r="P3" s="768" t="s">
        <v>236</v>
      </c>
      <c r="Q3" s="103"/>
      <c r="R3" s="136"/>
      <c r="S3" s="1179" t="str">
        <f>'DIY Grundmodell'!B92</f>
        <v>Meta Platforms, Inc.</v>
      </c>
      <c r="T3" s="1178" t="str">
        <f>'DIY Grundmodell'!E92</f>
        <v>Alphabet Inc.</v>
      </c>
      <c r="U3" s="1178" t="str">
        <f>'DIY Grundmodell'!F92</f>
        <v>Reddit, Inc.</v>
      </c>
      <c r="V3" s="1178" t="str">
        <f>'DIY Grundmodell'!G92</f>
        <v>Bumble Inc.</v>
      </c>
      <c r="W3" s="1178" t="str">
        <f>'DIY Grundmodell'!H92</f>
        <v>Tencent Holdings</v>
      </c>
      <c r="X3" s="1178" t="str">
        <f>'DIY Grundmodell'!I92</f>
        <v>Amazon.com, Inc.</v>
      </c>
      <c r="Y3" s="1178" t="str">
        <f>'DIY Grundmodell'!J92</f>
        <v>Yelp Inc.</v>
      </c>
      <c r="Z3" s="1178" t="str">
        <f>'DIY Grundmodell'!K92</f>
        <v>Grindr Inc.</v>
      </c>
      <c r="AA3" s="1178" t="str">
        <f>'DIY Grundmodell'!L92</f>
        <v>IAC Inc.</v>
      </c>
      <c r="AB3" s="1178" t="str">
        <f>'DIY Grundmodell'!M92</f>
        <v>Taboola.com Ltd.</v>
      </c>
      <c r="AC3" s="1178" t="str">
        <f>'DIY Grundmodell'!N92</f>
        <v>Leafbuyer Technologies</v>
      </c>
      <c r="AD3" s="103"/>
      <c r="AE3" s="103"/>
      <c r="AF3" s="87"/>
      <c r="AG3" s="87" t="s">
        <v>70</v>
      </c>
      <c r="AH3" s="87" t="s">
        <v>72</v>
      </c>
      <c r="AI3" s="87" t="s">
        <v>70</v>
      </c>
      <c r="AJ3" s="87" t="s">
        <v>72</v>
      </c>
      <c r="AL3" s="87"/>
    </row>
    <row r="4" spans="2:38" ht="14.1" customHeight="1" x14ac:dyDescent="0.45">
      <c r="B4" s="743" t="str">
        <f>'DIY Grundmodell'!Q4</f>
        <v>LTM / Quartal</v>
      </c>
      <c r="D4" s="447">
        <f>'DIY Grundmodell'!S4</f>
        <v>46022</v>
      </c>
      <c r="E4" s="102"/>
      <c r="F4" s="86"/>
      <c r="G4" s="86"/>
      <c r="H4" s="86"/>
      <c r="I4" s="86"/>
      <c r="J4" s="86"/>
      <c r="K4" s="86"/>
      <c r="L4" s="9"/>
      <c r="M4" s="10" t="str">
        <f>'DIY Grundmodell'!AB4</f>
        <v>Aktienwert</v>
      </c>
      <c r="N4" s="11"/>
      <c r="O4" s="775">
        <f>'DIY Grundmodell'!AD4</f>
        <v>609.63164007663329</v>
      </c>
      <c r="P4" s="14">
        <v>596.17336631785474</v>
      </c>
      <c r="Q4" s="14"/>
      <c r="R4" s="136" t="str">
        <f>'DIY Grundmodell'!A92</f>
        <v>TEV/EBITDA</v>
      </c>
      <c r="S4" s="1180"/>
      <c r="T4" s="1178"/>
      <c r="U4" s="1178"/>
      <c r="V4" s="1178"/>
      <c r="W4" s="1178"/>
      <c r="X4" s="1178"/>
      <c r="Y4" s="1178"/>
      <c r="Z4" s="1178"/>
      <c r="AA4" s="1178"/>
      <c r="AB4" s="1178"/>
      <c r="AC4" s="1178"/>
      <c r="AD4" s="14"/>
      <c r="AE4" s="14"/>
      <c r="AF4" s="87" t="s">
        <v>21</v>
      </c>
      <c r="AG4" s="87" t="s">
        <v>71</v>
      </c>
      <c r="AH4" s="87" t="s">
        <v>73</v>
      </c>
      <c r="AI4" s="87" t="s">
        <v>71</v>
      </c>
      <c r="AJ4" s="87" t="s">
        <v>73</v>
      </c>
      <c r="AL4" s="87" t="s">
        <v>171</v>
      </c>
    </row>
    <row r="5" spans="2:38" ht="14.1" customHeight="1" thickBot="1" x14ac:dyDescent="0.5">
      <c r="B5" s="743" t="str">
        <f>'DIY Grundmodell'!Q5</f>
        <v>Letztes Fiskaljahr</v>
      </c>
      <c r="D5" s="447">
        <f>'DIY Grundmodell'!S5</f>
        <v>46022</v>
      </c>
      <c r="E5" s="102"/>
      <c r="F5" s="86"/>
      <c r="G5" s="86"/>
      <c r="H5" s="86"/>
      <c r="I5" s="86"/>
      <c r="J5" s="86"/>
      <c r="K5" s="86"/>
      <c r="L5" s="9"/>
      <c r="M5" s="15" t="str">
        <f>'DIY Grundmodell'!AB5</f>
        <v>Kurs/Wert</v>
      </c>
      <c r="N5" s="16"/>
      <c r="O5" s="776">
        <f>'DIY Grundmodell'!AD5</f>
        <v>1.1102934222950018</v>
      </c>
      <c r="P5" s="117" t="str">
        <f>RIGHT(B11,FIND("in Mio. ",B11)+2)</f>
        <v>USD</v>
      </c>
      <c r="Q5" s="117"/>
      <c r="R5" s="1" t="str">
        <f>'DIY Grundmodell'!A93</f>
        <v>Letzter JA</v>
      </c>
      <c r="S5" s="762">
        <f>'DIY Grundmodell'!B93</f>
        <v>16.267199999999999</v>
      </c>
      <c r="T5" s="54">
        <f>'DIY Grundmodell'!E93</f>
        <v>25.635290000000001</v>
      </c>
      <c r="U5" s="54">
        <f>'DIY Grundmodell'!F93</f>
        <v>60.899949999999997</v>
      </c>
      <c r="V5" s="54">
        <f>'DIY Grundmodell'!G93</f>
        <v>3.9651800000000001</v>
      </c>
      <c r="W5" s="54">
        <f>'DIY Grundmodell'!H93</f>
        <v>13.874269999999999</v>
      </c>
      <c r="X5" s="54">
        <f>'DIY Grundmodell'!I93</f>
        <v>16.931709999999999</v>
      </c>
      <c r="Y5" s="54">
        <f>'DIY Grundmodell'!J93</f>
        <v>6.4804399999999998</v>
      </c>
      <c r="Z5" s="54">
        <f>'DIY Grundmodell'!K93</f>
        <v>19.332920000000001</v>
      </c>
      <c r="AA5" s="54">
        <f>'DIY Grundmodell'!L93</f>
        <v>14.17113</v>
      </c>
      <c r="AB5" s="54">
        <f>'DIY Grundmodell'!M93</f>
        <v>6.2693000000000003</v>
      </c>
      <c r="AC5" s="54">
        <f>'DIY Grundmodell'!N93</f>
        <v>2.1202000000000001</v>
      </c>
      <c r="AD5" s="117"/>
      <c r="AE5" s="117"/>
      <c r="AF5" s="87"/>
      <c r="AG5" s="87" t="s">
        <v>358</v>
      </c>
      <c r="AH5" s="87" t="s">
        <v>3</v>
      </c>
      <c r="AI5" s="87" t="str">
        <f>AG5</f>
        <v>USD</v>
      </c>
      <c r="AJ5" s="87" t="str">
        <f>AH5</f>
        <v>in Mio.</v>
      </c>
      <c r="AL5" s="87" t="s">
        <v>172</v>
      </c>
    </row>
    <row r="6" spans="2:38" ht="14.1" customHeight="1" x14ac:dyDescent="0.45">
      <c r="B6" s="743" t="str">
        <f>'DIY Grundmodell'!Q6</f>
        <v>Anzahl Aktien Mio.</v>
      </c>
      <c r="D6" s="456">
        <f>'DIY Grundmodell'!S6</f>
        <v>2529.55546</v>
      </c>
      <c r="E6" s="102"/>
      <c r="F6" s="86"/>
      <c r="G6" s="86"/>
      <c r="H6" s="86"/>
      <c r="I6" s="86"/>
      <c r="J6" s="86"/>
      <c r="K6" s="86"/>
      <c r="L6" s="9"/>
      <c r="M6" s="18" t="str">
        <f>'DIY Grundmodell'!AB6</f>
        <v>52W Tief</v>
      </c>
      <c r="N6" s="19"/>
      <c r="O6" s="777">
        <f>'DIY Grundmodell'!AD6</f>
        <v>479.8</v>
      </c>
      <c r="P6" s="86"/>
      <c r="Q6" s="86"/>
      <c r="R6" s="1" t="str">
        <f>'DIY Grundmodell'!A94</f>
        <v>LTM</v>
      </c>
      <c r="S6" s="762">
        <f>'DIY Grundmodell'!B94</f>
        <v>16.267199999999999</v>
      </c>
      <c r="T6" s="54">
        <f>'DIY Grundmodell'!E94</f>
        <v>25.635290000000001</v>
      </c>
      <c r="U6" s="54">
        <f>'DIY Grundmodell'!F94</f>
        <v>60.899949999999997</v>
      </c>
      <c r="V6" s="54">
        <f>'DIY Grundmodell'!G94</f>
        <v>3.9651800000000001</v>
      </c>
      <c r="W6" s="54">
        <f>'DIY Grundmodell'!H94</f>
        <v>13.874269999999999</v>
      </c>
      <c r="X6" s="54">
        <f>'DIY Grundmodell'!I94</f>
        <v>16.931709999999999</v>
      </c>
      <c r="Y6" s="54">
        <f>'DIY Grundmodell'!J94</f>
        <v>6.4804399999999998</v>
      </c>
      <c r="Z6" s="54">
        <f>'DIY Grundmodell'!K94</f>
        <v>19.332920000000001</v>
      </c>
      <c r="AA6" s="54">
        <f>'DIY Grundmodell'!L94</f>
        <v>14.17113</v>
      </c>
      <c r="AB6" s="54">
        <f>'DIY Grundmodell'!M94</f>
        <v>6.2693000000000003</v>
      </c>
      <c r="AC6" s="54" t="str">
        <f>'DIY Grundmodell'!N94</f>
        <v>NA</v>
      </c>
      <c r="AD6" s="86"/>
      <c r="AE6" s="86"/>
      <c r="AF6" s="988">
        <f>'DIY Grundmodell'!R93</f>
        <v>45035</v>
      </c>
      <c r="AG6" s="89">
        <f>'DIY Grundmodell'!S93</f>
        <v>215.7</v>
      </c>
      <c r="AH6" s="54">
        <f>'DIY Grundmodell'!T93</f>
        <v>3429.2158599999998</v>
      </c>
      <c r="AI6" s="89">
        <f>'DIY Grundmodell'!U93</f>
        <v>215.7</v>
      </c>
      <c r="AJ6" s="89">
        <f>'DIY Grundmodell'!V93</f>
        <v>3429.2158599999998</v>
      </c>
      <c r="AK6" s="989"/>
      <c r="AL6" s="33">
        <f>'DIY Grundmodell'!X93</f>
        <v>4154.5189899999996</v>
      </c>
    </row>
    <row r="7" spans="2:38" ht="14.1" customHeight="1" thickBot="1" x14ac:dyDescent="0.5">
      <c r="B7" s="743" t="str">
        <f>'DIY Grundmodell'!Q7</f>
        <v>Freefloat</v>
      </c>
      <c r="D7" s="454">
        <f>'DIY Grundmodell'!S7</f>
        <v>0.86334169999999999</v>
      </c>
      <c r="E7" s="102"/>
      <c r="F7" s="86"/>
      <c r="G7" s="86"/>
      <c r="H7" s="86"/>
      <c r="I7" s="86"/>
      <c r="J7" s="86"/>
      <c r="K7" s="86"/>
      <c r="L7" s="9"/>
      <c r="M7" s="15" t="str">
        <f>'DIY Grundmodell'!AB7</f>
        <v>52W Hoch</v>
      </c>
      <c r="N7" s="16"/>
      <c r="O7" s="778">
        <f>'DIY Grundmodell'!AD7</f>
        <v>796.25</v>
      </c>
      <c r="P7" s="86"/>
      <c r="Q7" s="86"/>
      <c r="R7" s="1" t="str">
        <f>'DIY Grundmodell'!A95</f>
        <v>Forward</v>
      </c>
      <c r="S7" s="762">
        <f>'DIY Grundmodell'!B95</f>
        <v>12.187889999999999</v>
      </c>
      <c r="T7" s="54">
        <f>'DIY Grundmodell'!E95</f>
        <v>18.25487</v>
      </c>
      <c r="U7" s="54">
        <f>'DIY Grundmodell'!F95</f>
        <v>21.509920000000001</v>
      </c>
      <c r="V7" s="54">
        <f>'DIY Grundmodell'!G95</f>
        <v>3.9385400000000002</v>
      </c>
      <c r="W7" s="54">
        <f>'DIY Grundmodell'!H95</f>
        <v>11.3622</v>
      </c>
      <c r="X7" s="54">
        <f>'DIY Grundmodell'!I95</f>
        <v>13.018929999999999</v>
      </c>
      <c r="Y7" s="54">
        <f>'DIY Grundmodell'!J95</f>
        <v>4.1325099999999999</v>
      </c>
      <c r="Z7" s="54">
        <f>'DIY Grundmodell'!K95</f>
        <v>12.332520000000001</v>
      </c>
      <c r="AA7" s="54">
        <f>'DIY Grundmodell'!L95</f>
        <v>13.676600000000001</v>
      </c>
      <c r="AB7" s="54">
        <f>'DIY Grundmodell'!M95</f>
        <v>4.7689500000000002</v>
      </c>
      <c r="AC7" s="54" t="str">
        <f>'DIY Grundmodell'!N95</f>
        <v>NA</v>
      </c>
      <c r="AD7" s="86"/>
      <c r="AE7" s="86"/>
      <c r="AF7" s="988">
        <f>'DIY Grundmodell'!R94</f>
        <v>45036</v>
      </c>
      <c r="AG7" s="89">
        <f>'DIY Grundmodell'!S94</f>
        <v>213.07</v>
      </c>
      <c r="AH7" s="54">
        <f>'DIY Grundmodell'!T94</f>
        <v>3510.422</v>
      </c>
      <c r="AI7" s="89">
        <f>'DIY Grundmodell'!U94</f>
        <v>213.07</v>
      </c>
      <c r="AJ7" s="89">
        <f>'DIY Grundmodell'!V94</f>
        <v>3510.422</v>
      </c>
      <c r="AK7" s="989"/>
      <c r="AL7" s="33">
        <f>'DIY Grundmodell'!X94</f>
        <v>4129.7923700000001</v>
      </c>
    </row>
    <row r="8" spans="2:38" ht="14.1" customHeight="1" x14ac:dyDescent="0.45">
      <c r="B8" s="92" t="str">
        <f>'DIY Grundmodell'!Q8</f>
        <v>Unt.-Rating S&amp;P</v>
      </c>
      <c r="C8" s="5"/>
      <c r="D8" s="442" t="str">
        <f>'DIY Grundmodell'!S8</f>
        <v>AA-</v>
      </c>
      <c r="E8" s="102"/>
      <c r="F8" s="86"/>
      <c r="G8" s="86"/>
      <c r="H8" s="86"/>
      <c r="I8" s="86"/>
      <c r="J8" s="86"/>
      <c r="K8" s="86"/>
      <c r="L8" s="9"/>
      <c r="M8" s="21" t="str">
        <f>'DIY Grundmodell'!AB8</f>
        <v>TV/TEV</v>
      </c>
      <c r="N8" s="22"/>
      <c r="O8" s="779">
        <f>'DIY Grundmodell'!AD8</f>
        <v>0.76698643092546925</v>
      </c>
      <c r="P8" s="86"/>
      <c r="Q8" s="86"/>
      <c r="R8" s="136" t="str">
        <f>'DIY Grundmodell'!A96</f>
        <v>TEV/EBIT</v>
      </c>
      <c r="S8" s="763" t="str">
        <f>S3</f>
        <v>Meta Platforms, Inc.</v>
      </c>
      <c r="T8" s="757" t="str">
        <f t="shared" ref="T8:AC8" si="1">T3</f>
        <v>Alphabet Inc.</v>
      </c>
      <c r="U8" s="757" t="str">
        <f t="shared" si="1"/>
        <v>Reddit, Inc.</v>
      </c>
      <c r="V8" s="757" t="str">
        <f t="shared" si="1"/>
        <v>Bumble Inc.</v>
      </c>
      <c r="W8" s="757" t="str">
        <f t="shared" si="1"/>
        <v>Tencent Holdings</v>
      </c>
      <c r="X8" s="757" t="str">
        <f t="shared" si="1"/>
        <v>Amazon.com, Inc.</v>
      </c>
      <c r="Y8" s="757" t="str">
        <f t="shared" si="1"/>
        <v>Yelp Inc.</v>
      </c>
      <c r="Z8" s="757" t="str">
        <f t="shared" si="1"/>
        <v>Grindr Inc.</v>
      </c>
      <c r="AA8" s="757" t="str">
        <f t="shared" si="1"/>
        <v>IAC Inc.</v>
      </c>
      <c r="AB8" s="757" t="str">
        <f t="shared" si="1"/>
        <v>Taboola.com Ltd.</v>
      </c>
      <c r="AC8" s="757" t="str">
        <f t="shared" si="1"/>
        <v>Leafbuyer Technologies</v>
      </c>
      <c r="AD8" s="86"/>
      <c r="AE8" s="86"/>
      <c r="AF8" s="988">
        <f>'DIY Grundmodell'!R95</f>
        <v>45037</v>
      </c>
      <c r="AG8" s="89">
        <f>'DIY Grundmodell'!S95</f>
        <v>212.89</v>
      </c>
      <c r="AH8" s="54">
        <f>'DIY Grundmodell'!T95</f>
        <v>3771.8083200000001</v>
      </c>
      <c r="AI8" s="89">
        <f>'DIY Grundmodell'!U95</f>
        <v>212.89</v>
      </c>
      <c r="AJ8" s="89">
        <f>'DIY Grundmodell'!V95</f>
        <v>3771.8083200000001</v>
      </c>
      <c r="AK8" s="989"/>
      <c r="AL8" s="33">
        <f>'DIY Grundmodell'!X95</f>
        <v>4133.5213199999998</v>
      </c>
    </row>
    <row r="9" spans="2:38" ht="14.1" customHeight="1" x14ac:dyDescent="0.45">
      <c r="B9" s="743" t="str">
        <f>'DIY Grundmodell'!Q9</f>
        <v>Net Debt/EBITDA</v>
      </c>
      <c r="D9" s="466">
        <f>'DIY Grundmodell'!S9</f>
        <v>3.4242138735131315E-2</v>
      </c>
      <c r="E9" s="102"/>
      <c r="F9" s="86"/>
      <c r="G9" s="86"/>
      <c r="H9" s="86"/>
      <c r="I9" s="86"/>
      <c r="J9" s="86"/>
      <c r="K9" s="86"/>
      <c r="L9" s="9"/>
      <c r="M9" s="10" t="str">
        <f>'DIY Grundmodell'!AB9</f>
        <v>Dividende 2025</v>
      </c>
      <c r="N9" s="24"/>
      <c r="O9" s="775">
        <f>'DIY Grundmodell'!AD9</f>
        <v>2.1043478260869564</v>
      </c>
      <c r="P9" s="86"/>
      <c r="Q9" s="86"/>
      <c r="R9" s="1" t="str">
        <f>'DIY Grundmodell'!A97</f>
        <v>Letzter JA</v>
      </c>
      <c r="S9" s="762">
        <f>'DIY Grundmodell'!B97</f>
        <v>20.67428</v>
      </c>
      <c r="T9" s="54">
        <f>'DIY Grundmodell'!E97</f>
        <v>30.832920000000001</v>
      </c>
      <c r="U9" s="54">
        <f>'DIY Grundmodell'!F97</f>
        <v>64.663349999999994</v>
      </c>
      <c r="V9" s="54">
        <f>'DIY Grundmodell'!G97</f>
        <v>4.3354900000000001</v>
      </c>
      <c r="W9" s="54">
        <f>'DIY Grundmodell'!H97</f>
        <v>15.624879999999999</v>
      </c>
      <c r="X9" s="54">
        <f>'DIY Grundmodell'!I97</f>
        <v>34.510449999999999</v>
      </c>
      <c r="Y9" s="54">
        <f>'DIY Grundmodell'!J97</f>
        <v>7.0713400000000002</v>
      </c>
      <c r="Z9" s="54">
        <f>'DIY Grundmodell'!K97</f>
        <v>20.493590000000001</v>
      </c>
      <c r="AA9" s="54">
        <f>'DIY Grundmodell'!L97</f>
        <v>37.175080000000001</v>
      </c>
      <c r="AB9" s="54">
        <f>'DIY Grundmodell'!M97</f>
        <v>24.723320000000001</v>
      </c>
      <c r="AC9" s="54">
        <f>'DIY Grundmodell'!N97</f>
        <v>5.4117899999999999</v>
      </c>
      <c r="AD9" s="86"/>
      <c r="AE9" s="86"/>
      <c r="AF9" s="988">
        <f>'DIY Grundmodell'!R96</f>
        <v>45038</v>
      </c>
      <c r="AG9" s="89" t="e">
        <f>'DIY Grundmodell'!S96</f>
        <v>#N/A</v>
      </c>
      <c r="AH9" s="54" t="e">
        <f>'DIY Grundmodell'!T96</f>
        <v>#N/A</v>
      </c>
      <c r="AI9" s="89">
        <f>'DIY Grundmodell'!U96</f>
        <v>212.89</v>
      </c>
      <c r="AJ9" s="89">
        <f>'DIY Grundmodell'!V96</f>
        <v>0</v>
      </c>
      <c r="AK9" s="989"/>
      <c r="AL9" s="33">
        <f>'DIY Grundmodell'!X96</f>
        <v>4133.5213199999998</v>
      </c>
    </row>
    <row r="10" spans="2:38" ht="14.1" customHeight="1" x14ac:dyDescent="0.45">
      <c r="B10" s="743" t="str">
        <f>'DIY Grundmodell'!Q10</f>
        <v>Market Cap</v>
      </c>
      <c r="D10" s="411">
        <f>'DIY Grundmodell'!S10</f>
        <v>1712180.20692</v>
      </c>
      <c r="E10" s="102"/>
      <c r="F10" s="86"/>
      <c r="G10" s="86"/>
      <c r="H10" s="86"/>
      <c r="I10" s="86"/>
      <c r="J10" s="86"/>
      <c r="K10" s="86"/>
      <c r="L10" s="9"/>
      <c r="M10" s="10" t="str">
        <f>'DIY Grundmodell'!AB10</f>
        <v>Erw. Dividende</v>
      </c>
      <c r="N10" s="5"/>
      <c r="O10" s="775">
        <f>'DIY Grundmodell'!AD10</f>
        <v>2.2446199999999998</v>
      </c>
      <c r="P10" s="86"/>
      <c r="Q10" s="86"/>
      <c r="R10" s="1" t="str">
        <f>'DIY Grundmodell'!A98</f>
        <v>LTM</v>
      </c>
      <c r="S10" s="762">
        <f>'DIY Grundmodell'!B98</f>
        <v>20.67428</v>
      </c>
      <c r="T10" s="54">
        <f>'DIY Grundmodell'!E98</f>
        <v>30.832920000000001</v>
      </c>
      <c r="U10" s="54">
        <f>'DIY Grundmodell'!F98</f>
        <v>64.663349999999994</v>
      </c>
      <c r="V10" s="54">
        <f>'DIY Grundmodell'!G98</f>
        <v>4.3354900000000001</v>
      </c>
      <c r="W10" s="54">
        <f>'DIY Grundmodell'!H98</f>
        <v>15.624879999999999</v>
      </c>
      <c r="X10" s="54">
        <f>'DIY Grundmodell'!I98</f>
        <v>34.510449999999999</v>
      </c>
      <c r="Y10" s="54">
        <f>'DIY Grundmodell'!J98</f>
        <v>7.0713400000000002</v>
      </c>
      <c r="Z10" s="54">
        <f>'DIY Grundmodell'!K98</f>
        <v>20.493590000000001</v>
      </c>
      <c r="AA10" s="54">
        <f>'DIY Grundmodell'!L98</f>
        <v>37.175080000000001</v>
      </c>
      <c r="AB10" s="54">
        <f>'DIY Grundmodell'!M98</f>
        <v>24.723320000000001</v>
      </c>
      <c r="AC10" s="54">
        <f>'DIY Grundmodell'!N98</f>
        <v>20.780180000000001</v>
      </c>
      <c r="AD10" s="86"/>
      <c r="AE10" s="86"/>
      <c r="AF10" s="988">
        <f>'DIY Grundmodell'!R97</f>
        <v>45039</v>
      </c>
      <c r="AG10" s="89" t="e">
        <f>'DIY Grundmodell'!S97</f>
        <v>#N/A</v>
      </c>
      <c r="AH10" s="54" t="e">
        <f>'DIY Grundmodell'!T97</f>
        <v>#N/A</v>
      </c>
      <c r="AI10" s="89">
        <f>'DIY Grundmodell'!U97</f>
        <v>212.89</v>
      </c>
      <c r="AJ10" s="89">
        <f>'DIY Grundmodell'!V97</f>
        <v>0</v>
      </c>
      <c r="AK10" s="989"/>
      <c r="AL10" s="33">
        <f>'DIY Grundmodell'!X97</f>
        <v>4133.5213199999998</v>
      </c>
    </row>
    <row r="11" spans="2:38" ht="14.1" customHeight="1" thickBot="1" x14ac:dyDescent="0.5">
      <c r="B11" s="749" t="str">
        <f>'DIY Grundmodell'!Q11</f>
        <v>in Mio. USD</v>
      </c>
      <c r="C11" s="750"/>
      <c r="D11" s="774"/>
      <c r="E11" s="752"/>
      <c r="F11" s="753"/>
      <c r="G11" s="753"/>
      <c r="H11" s="753"/>
      <c r="I11" s="753"/>
      <c r="J11" s="753"/>
      <c r="K11" s="753"/>
      <c r="L11" s="751"/>
      <c r="M11" s="754" t="str">
        <f>'DIY Grundmodell'!AB11</f>
        <v>Erw. D-Rendite</v>
      </c>
      <c r="N11" s="755"/>
      <c r="O11" s="780">
        <f>'DIY Grundmodell'!AD11</f>
        <v>3.3161759274306733E-3</v>
      </c>
      <c r="P11" s="86"/>
      <c r="Q11" s="86"/>
      <c r="R11" s="1" t="str">
        <f>'DIY Grundmodell'!A99</f>
        <v>Forward</v>
      </c>
      <c r="S11" s="762">
        <f>'DIY Grundmodell'!B99</f>
        <v>19.702860000000001</v>
      </c>
      <c r="T11" s="54">
        <f>'DIY Grundmodell'!E99</f>
        <v>25.0976</v>
      </c>
      <c r="U11" s="54">
        <f>'DIY Grundmodell'!F99</f>
        <v>34.174669999999999</v>
      </c>
      <c r="V11" s="54">
        <f>'DIY Grundmodell'!G99</f>
        <v>4.9126099999999999</v>
      </c>
      <c r="W11" s="54">
        <f>'DIY Grundmodell'!H99</f>
        <v>14.901479999999999</v>
      </c>
      <c r="X11" s="54">
        <f>'DIY Grundmodell'!I99</f>
        <v>27.876090000000001</v>
      </c>
      <c r="Y11" s="54">
        <f>'DIY Grundmodell'!J99</f>
        <v>8.5730299999999993</v>
      </c>
      <c r="Z11" s="54">
        <f>'DIY Grundmodell'!K99</f>
        <v>17.33625</v>
      </c>
      <c r="AA11" s="54">
        <f>'DIY Grundmodell'!L99</f>
        <v>28.548549999999999</v>
      </c>
      <c r="AB11" s="54">
        <f>'DIY Grundmodell'!M99</f>
        <v>11.116540000000001</v>
      </c>
      <c r="AC11" s="54" t="str">
        <f>'DIY Grundmodell'!N99</f>
        <v>NA</v>
      </c>
      <c r="AD11" s="86"/>
      <c r="AE11" s="86"/>
      <c r="AF11" s="988">
        <f>'DIY Grundmodell'!R98</f>
        <v>45040</v>
      </c>
      <c r="AG11" s="89">
        <f>'DIY Grundmodell'!S98</f>
        <v>212.79</v>
      </c>
      <c r="AH11" s="54">
        <f>'DIY Grundmodell'!T98</f>
        <v>3351.6382699999999</v>
      </c>
      <c r="AI11" s="89">
        <f>'DIY Grundmodell'!U98</f>
        <v>212.79</v>
      </c>
      <c r="AJ11" s="89">
        <f>'DIY Grundmodell'!V98</f>
        <v>3351.6382699999999</v>
      </c>
      <c r="AK11" s="989"/>
      <c r="AL11" s="33">
        <f>'DIY Grundmodell'!X98</f>
        <v>4137.0445900000004</v>
      </c>
    </row>
    <row r="12" spans="2:38" ht="14.1" customHeight="1" thickBot="1" x14ac:dyDescent="0.5">
      <c r="B12" s="57"/>
      <c r="C12" s="57"/>
      <c r="D12" s="57"/>
      <c r="E12" s="57"/>
      <c r="F12" s="57"/>
      <c r="G12" s="57"/>
      <c r="H12" s="57"/>
      <c r="I12" s="57"/>
      <c r="J12" s="57"/>
      <c r="K12" s="57"/>
      <c r="L12" s="57"/>
      <c r="M12" s="57"/>
      <c r="N12" s="57"/>
      <c r="O12" s="57"/>
      <c r="P12" s="86"/>
      <c r="Q12" s="86"/>
      <c r="R12" s="136" t="str">
        <f>'DIY Grundmodell'!A100</f>
        <v>KGV (normalisiert)</v>
      </c>
      <c r="S12" s="764"/>
      <c r="T12" s="138"/>
      <c r="U12" s="138"/>
      <c r="V12" s="138"/>
      <c r="W12" s="138"/>
      <c r="X12" s="138"/>
      <c r="Y12" s="138"/>
      <c r="Z12" s="138"/>
      <c r="AA12" s="138"/>
      <c r="AB12" s="138"/>
      <c r="AC12" s="138"/>
      <c r="AD12" s="86"/>
      <c r="AE12" s="86"/>
      <c r="AF12" s="988">
        <f>'DIY Grundmodell'!R99</f>
        <v>45041</v>
      </c>
      <c r="AG12" s="89">
        <f>'DIY Grundmodell'!S99</f>
        <v>207.55</v>
      </c>
      <c r="AH12" s="54">
        <f>'DIY Grundmodell'!T99</f>
        <v>3984.5822600000001</v>
      </c>
      <c r="AI12" s="89">
        <f>'DIY Grundmodell'!U99</f>
        <v>207.55</v>
      </c>
      <c r="AJ12" s="89">
        <f>'DIY Grundmodell'!V99</f>
        <v>3984.5822600000001</v>
      </c>
      <c r="AK12" s="989"/>
      <c r="AL12" s="33">
        <f>'DIY Grundmodell'!X99</f>
        <v>4071.6304300000002</v>
      </c>
    </row>
    <row r="13" spans="2:38" ht="14.1" customHeight="1" x14ac:dyDescent="0.45">
      <c r="B13" s="27" t="str">
        <f>'DIY Grundmodell'!Q12</f>
        <v>Historie</v>
      </c>
      <c r="C13" s="69">
        <f>'DIY Grundmodell'!R12</f>
        <v>2016</v>
      </c>
      <c r="D13" s="69">
        <f>'DIY Grundmodell'!S12</f>
        <v>2017</v>
      </c>
      <c r="E13" s="69">
        <f>'DIY Grundmodell'!T12</f>
        <v>2018</v>
      </c>
      <c r="F13" s="69">
        <f>'DIY Grundmodell'!U12</f>
        <v>2019</v>
      </c>
      <c r="G13" s="69">
        <f>'DIY Grundmodell'!V12</f>
        <v>2020</v>
      </c>
      <c r="H13" s="69">
        <f>'DIY Grundmodell'!W12</f>
        <v>2021</v>
      </c>
      <c r="I13" s="69">
        <f>'DIY Grundmodell'!X12</f>
        <v>2022</v>
      </c>
      <c r="J13" s="69">
        <f>'DIY Grundmodell'!Y12</f>
        <v>2023</v>
      </c>
      <c r="K13" s="69">
        <f>'DIY Grundmodell'!Z12</f>
        <v>2024</v>
      </c>
      <c r="L13" s="70">
        <f>'DIY Grundmodell'!AA12</f>
        <v>2025</v>
      </c>
      <c r="M13" s="71" t="str">
        <f>'DIY Grundmodell'!AB12</f>
        <v>2026e</v>
      </c>
      <c r="N13" s="69" t="str">
        <f>'DIY Grundmodell'!AC12</f>
        <v>2027e</v>
      </c>
      <c r="O13" s="70" t="str">
        <f>'DIY Grundmodell'!AD12</f>
        <v>2028e</v>
      </c>
      <c r="P13" s="86"/>
      <c r="Q13" s="86"/>
      <c r="R13" s="1" t="str">
        <f>'DIY Grundmodell'!A101</f>
        <v>Letzter JA</v>
      </c>
      <c r="S13" s="762">
        <f>'DIY Grundmodell'!B101</f>
        <v>32.43985</v>
      </c>
      <c r="T13" s="54">
        <f>'DIY Grundmodell'!E101</f>
        <v>48.993630000000003</v>
      </c>
      <c r="U13" s="54">
        <f>'DIY Grundmodell'!F101</f>
        <v>99.36242</v>
      </c>
      <c r="V13" s="54">
        <f>'DIY Grundmodell'!G101</f>
        <v>1.45702</v>
      </c>
      <c r="W13" s="54">
        <f>'DIY Grundmodell'!H101</f>
        <v>25.725239999999999</v>
      </c>
      <c r="X13" s="54">
        <f>'DIY Grundmodell'!I101</f>
        <v>53.103560000000002</v>
      </c>
      <c r="Y13" s="54">
        <f>'DIY Grundmodell'!J101</f>
        <v>13.73282</v>
      </c>
      <c r="Z13" s="54">
        <f>'DIY Grundmodell'!K101</f>
        <v>32.449950000000001</v>
      </c>
      <c r="AA13" s="54">
        <f>'DIY Grundmodell'!L101</f>
        <v>131.99507</v>
      </c>
      <c r="AB13" s="54">
        <f>'DIY Grundmodell'!M101</f>
        <v>47.420380000000002</v>
      </c>
      <c r="AC13" s="54">
        <f>'DIY Grundmodell'!N101</f>
        <v>7.4938599999999997</v>
      </c>
      <c r="AD13" s="86"/>
      <c r="AE13" s="86"/>
      <c r="AF13" s="988">
        <f>'DIY Grundmodell'!R100</f>
        <v>45042</v>
      </c>
      <c r="AG13" s="89">
        <f>'DIY Grundmodell'!S100</f>
        <v>209.4</v>
      </c>
      <c r="AH13" s="54">
        <f>'DIY Grundmodell'!T100</f>
        <v>8793.2776599999997</v>
      </c>
      <c r="AI13" s="89">
        <f>'DIY Grundmodell'!U100</f>
        <v>209.4</v>
      </c>
      <c r="AJ13" s="89">
        <f>'DIY Grundmodell'!V100</f>
        <v>8793.2776599999997</v>
      </c>
      <c r="AK13" s="989"/>
      <c r="AL13" s="33">
        <f>'DIY Grundmodell'!X100</f>
        <v>4055.9877799999999</v>
      </c>
    </row>
    <row r="14" spans="2:38" s="31" customFormat="1" ht="14.1" customHeight="1" x14ac:dyDescent="0.45">
      <c r="B14" s="10" t="str">
        <f>'DIY Grundmodell'!Q13</f>
        <v>Umsatz</v>
      </c>
      <c r="C14" s="781">
        <f>'DIY Grundmodell'!R13</f>
        <v>27638</v>
      </c>
      <c r="D14" s="781">
        <f>'DIY Grundmodell'!S13</f>
        <v>40653</v>
      </c>
      <c r="E14" s="781">
        <f>'DIY Grundmodell'!T13</f>
        <v>55838</v>
      </c>
      <c r="F14" s="781">
        <f>'DIY Grundmodell'!U13</f>
        <v>70697</v>
      </c>
      <c r="G14" s="781">
        <f>'DIY Grundmodell'!V13</f>
        <v>85965</v>
      </c>
      <c r="H14" s="781">
        <f>'DIY Grundmodell'!W13</f>
        <v>117929</v>
      </c>
      <c r="I14" s="781">
        <f>'DIY Grundmodell'!X13</f>
        <v>116609</v>
      </c>
      <c r="J14" s="781">
        <f>'DIY Grundmodell'!Y13</f>
        <v>134902</v>
      </c>
      <c r="K14" s="781">
        <f>'DIY Grundmodell'!Z13</f>
        <v>164501</v>
      </c>
      <c r="L14" s="782">
        <f>'DIY Grundmodell'!AA13</f>
        <v>200966</v>
      </c>
      <c r="M14" s="783">
        <f>'DIY Grundmodell'!AB13</f>
        <v>250863.95</v>
      </c>
      <c r="N14" s="781">
        <f>'DIY Grundmodell'!AC13</f>
        <v>298236</v>
      </c>
      <c r="O14" s="782">
        <f>'DIY Grundmodell'!AD13</f>
        <v>347061</v>
      </c>
      <c r="P14" s="86"/>
      <c r="Q14" s="86"/>
      <c r="R14" s="1" t="str">
        <f>'DIY Grundmodell'!A102</f>
        <v>LTM</v>
      </c>
      <c r="S14" s="762">
        <f>'DIY Grundmodell'!B102</f>
        <v>32.43985</v>
      </c>
      <c r="T14" s="54">
        <f>'DIY Grundmodell'!E102</f>
        <v>48.993630000000003</v>
      </c>
      <c r="U14" s="54">
        <f>'DIY Grundmodell'!F102</f>
        <v>99.36242</v>
      </c>
      <c r="V14" s="54">
        <f>'DIY Grundmodell'!G102</f>
        <v>1.45702</v>
      </c>
      <c r="W14" s="54">
        <f>'DIY Grundmodell'!H102</f>
        <v>25.725239999999999</v>
      </c>
      <c r="X14" s="54">
        <f>'DIY Grundmodell'!I102</f>
        <v>53.103560000000002</v>
      </c>
      <c r="Y14" s="54">
        <f>'DIY Grundmodell'!J102</f>
        <v>13.73282</v>
      </c>
      <c r="Z14" s="54">
        <f>'DIY Grundmodell'!K102</f>
        <v>32.449950000000001</v>
      </c>
      <c r="AA14" s="54">
        <f>'DIY Grundmodell'!L102</f>
        <v>131.99507</v>
      </c>
      <c r="AB14" s="54">
        <f>'DIY Grundmodell'!M102</f>
        <v>47.420380000000002</v>
      </c>
      <c r="AC14" s="54">
        <f>'DIY Grundmodell'!N102</f>
        <v>39.354840000000003</v>
      </c>
      <c r="AD14" s="86"/>
      <c r="AE14" s="86"/>
      <c r="AF14" s="988">
        <f>'DIY Grundmodell'!R101</f>
        <v>45043</v>
      </c>
      <c r="AG14" s="89">
        <f>'DIY Grundmodell'!S101</f>
        <v>238.56</v>
      </c>
      <c r="AH14" s="54">
        <f>'DIY Grundmodell'!T101</f>
        <v>16984.644199999999</v>
      </c>
      <c r="AI14" s="89">
        <f>'DIY Grundmodell'!U101</f>
        <v>238.56</v>
      </c>
      <c r="AJ14" s="89">
        <f>'DIY Grundmodell'!V101</f>
        <v>16984.644199999999</v>
      </c>
      <c r="AK14" s="989"/>
      <c r="AL14" s="33">
        <f>'DIY Grundmodell'!X101</f>
        <v>4135.3522300000004</v>
      </c>
    </row>
    <row r="15" spans="2:38" ht="14.1" customHeight="1" x14ac:dyDescent="0.45">
      <c r="B15" s="73" t="str">
        <f>'DIY Grundmodell'!Q14</f>
        <v>Entw.</v>
      </c>
      <c r="C15" s="784">
        <f>'DIY Grundmodell'!R14</f>
        <v>0.54161088799643009</v>
      </c>
      <c r="D15" s="784">
        <f>'DIY Grundmodell'!S14</f>
        <v>0.47090961719371882</v>
      </c>
      <c r="E15" s="784">
        <f>'DIY Grundmodell'!T14</f>
        <v>0.37352716896661997</v>
      </c>
      <c r="F15" s="784">
        <f>'DIY Grundmodell'!U14</f>
        <v>0.26610910132884413</v>
      </c>
      <c r="G15" s="784">
        <f>'DIY Grundmodell'!V14</f>
        <v>0.21596390228722573</v>
      </c>
      <c r="H15" s="784">
        <f>'DIY Grundmodell'!W14</f>
        <v>0.37182574303495608</v>
      </c>
      <c r="I15" s="784">
        <f>'DIY Grundmodell'!X14</f>
        <v>-1.1193175554782941E-2</v>
      </c>
      <c r="J15" s="784">
        <f>'DIY Grundmodell'!Y14</f>
        <v>0.15687468377226454</v>
      </c>
      <c r="K15" s="784">
        <f>'DIY Grundmodell'!Z14</f>
        <v>0.21941112807816054</v>
      </c>
      <c r="L15" s="785">
        <f>'DIY Grundmodell'!AA14</f>
        <v>0.22167038498246217</v>
      </c>
      <c r="M15" s="786">
        <f>'DIY Grundmodell'!AB14</f>
        <v>0.24829050685190546</v>
      </c>
      <c r="N15" s="784">
        <f>'DIY Grundmodell'!AC14</f>
        <v>0.18883562185798319</v>
      </c>
      <c r="O15" s="785">
        <f>'DIY Grundmodell'!AD14</f>
        <v>0.16371263026596394</v>
      </c>
      <c r="P15" s="86"/>
      <c r="Q15" s="86"/>
      <c r="R15" s="136" t="str">
        <f>'DIY Grundmodell'!A103</f>
        <v>Kurs / Buchwert EK</v>
      </c>
      <c r="S15" s="764"/>
      <c r="T15" s="138"/>
      <c r="U15" s="138"/>
      <c r="V15" s="138"/>
      <c r="W15" s="138"/>
      <c r="X15" s="138"/>
      <c r="Y15" s="138"/>
      <c r="Z15" s="138"/>
      <c r="AA15" s="138"/>
      <c r="AB15" s="138"/>
      <c r="AC15" s="138"/>
      <c r="AD15" s="86"/>
      <c r="AE15" s="86"/>
      <c r="AF15" s="988">
        <f>'DIY Grundmodell'!R102</f>
        <v>45044</v>
      </c>
      <c r="AG15" s="89">
        <f>'DIY Grundmodell'!S102</f>
        <v>240.32</v>
      </c>
      <c r="AH15" s="54">
        <f>'DIY Grundmodell'!T102</f>
        <v>9505.6268899999995</v>
      </c>
      <c r="AI15" s="89">
        <f>'DIY Grundmodell'!U102</f>
        <v>240.32</v>
      </c>
      <c r="AJ15" s="89">
        <f>'DIY Grundmodell'!V102</f>
        <v>9505.6268899999995</v>
      </c>
      <c r="AK15" s="989"/>
      <c r="AL15" s="33">
        <f>'DIY Grundmodell'!X102</f>
        <v>4169.4813999999997</v>
      </c>
    </row>
    <row r="16" spans="2:38" s="31" customFormat="1" ht="14.1" customHeight="1" x14ac:dyDescent="0.45">
      <c r="B16" s="32" t="str">
        <f>'DIY Grundmodell'!Q15</f>
        <v>EBIT</v>
      </c>
      <c r="C16" s="599">
        <f>'DIY Grundmodell'!R15</f>
        <v>12427</v>
      </c>
      <c r="D16" s="599">
        <f>'DIY Grundmodell'!S15</f>
        <v>20203</v>
      </c>
      <c r="E16" s="599">
        <f>'DIY Grundmodell'!T15</f>
        <v>24913</v>
      </c>
      <c r="F16" s="599">
        <f>'DIY Grundmodell'!U15</f>
        <v>28986</v>
      </c>
      <c r="G16" s="599">
        <f>'DIY Grundmodell'!V15</f>
        <v>32671</v>
      </c>
      <c r="H16" s="599">
        <f>'DIY Grundmodell'!W15</f>
        <v>46753</v>
      </c>
      <c r="I16" s="599">
        <f>'DIY Grundmodell'!X15</f>
        <v>33555</v>
      </c>
      <c r="J16" s="599">
        <f>'DIY Grundmodell'!Y15</f>
        <v>46751</v>
      </c>
      <c r="K16" s="599">
        <f>'DIY Grundmodell'!Z15</f>
        <v>69380</v>
      </c>
      <c r="L16" s="787">
        <f>'DIY Grundmodell'!AA15</f>
        <v>83276</v>
      </c>
      <c r="M16" s="788">
        <f>'DIY Grundmodell'!AB15</f>
        <v>86128</v>
      </c>
      <c r="N16" s="599">
        <f>'DIY Grundmodell'!AC15</f>
        <v>101254.1</v>
      </c>
      <c r="O16" s="787">
        <f>'DIY Grundmodell'!AD15</f>
        <v>118644</v>
      </c>
      <c r="P16" s="86"/>
      <c r="Q16" s="86"/>
      <c r="R16" s="1" t="str">
        <f>'DIY Grundmodell'!A104</f>
        <v>Letzter JA</v>
      </c>
      <c r="S16" s="762">
        <f>'DIY Grundmodell'!B104</f>
        <v>7.88279</v>
      </c>
      <c r="T16" s="54">
        <f>'DIY Grundmodell'!E104</f>
        <v>9.78125</v>
      </c>
      <c r="U16" s="54">
        <f>'DIY Grundmodell'!F104</f>
        <v>10.58724</v>
      </c>
      <c r="V16" s="54">
        <f>'DIY Grundmodell'!G104</f>
        <v>0.98007</v>
      </c>
      <c r="W16" s="54">
        <f>'DIY Grundmodell'!H104</f>
        <v>3.5903399999999999</v>
      </c>
      <c r="X16" s="54">
        <f>'DIY Grundmodell'!I104</f>
        <v>6.51851</v>
      </c>
      <c r="Y16" s="54">
        <f>'DIY Grundmodell'!J104</f>
        <v>2.3126500000000001</v>
      </c>
      <c r="Z16" s="54">
        <f>'DIY Grundmodell'!K104</f>
        <v>50.937060000000002</v>
      </c>
      <c r="AA16" s="54">
        <f>'DIY Grundmodell'!L104</f>
        <v>0.71057000000000003</v>
      </c>
      <c r="AB16" s="54">
        <f>'DIY Grundmodell'!M104</f>
        <v>1.1149899999999999</v>
      </c>
      <c r="AC16" s="54" t="str">
        <f>'DIY Grundmodell'!N104</f>
        <v>NM</v>
      </c>
      <c r="AD16" s="86"/>
      <c r="AE16" s="86"/>
      <c r="AF16" s="988">
        <f>'DIY Grundmodell'!R103</f>
        <v>45045</v>
      </c>
      <c r="AG16" s="89" t="e">
        <f>'DIY Grundmodell'!S103</f>
        <v>#N/A</v>
      </c>
      <c r="AH16" s="54" t="e">
        <f>'DIY Grundmodell'!T103</f>
        <v>#N/A</v>
      </c>
      <c r="AI16" s="89">
        <f>'DIY Grundmodell'!U103</f>
        <v>240.32</v>
      </c>
      <c r="AJ16" s="89">
        <f>'DIY Grundmodell'!V103</f>
        <v>0</v>
      </c>
      <c r="AK16" s="989"/>
      <c r="AL16" s="33">
        <f>'DIY Grundmodell'!X103</f>
        <v>4169.4813999999997</v>
      </c>
    </row>
    <row r="17" spans="2:38" ht="14.1" customHeight="1" thickBot="1" x14ac:dyDescent="0.5">
      <c r="B17" s="80" t="str">
        <f>'DIY Grundmodell'!Q16</f>
        <v>/Umsatz</v>
      </c>
      <c r="C17" s="789">
        <f>'DIY Grundmodell'!R16</f>
        <v>0.44963456111151312</v>
      </c>
      <c r="D17" s="789">
        <f>'DIY Grundmodell'!S16</f>
        <v>0.49696209381841439</v>
      </c>
      <c r="E17" s="789">
        <f>'DIY Grundmodell'!T16</f>
        <v>0.44616569361366809</v>
      </c>
      <c r="F17" s="789">
        <f>'DIY Grundmodell'!U16</f>
        <v>0.41000325332050863</v>
      </c>
      <c r="G17" s="789">
        <f>'DIY Grundmodell'!V16</f>
        <v>0.3800500203571221</v>
      </c>
      <c r="H17" s="789">
        <f>'DIY Grundmodell'!W16</f>
        <v>0.39645040660058173</v>
      </c>
      <c r="I17" s="789">
        <f>'DIY Grundmodell'!X16</f>
        <v>0.28775651965114185</v>
      </c>
      <c r="J17" s="789">
        <f>'DIY Grundmodell'!Y16</f>
        <v>0.34655527716416362</v>
      </c>
      <c r="K17" s="789">
        <f>'DIY Grundmodell'!Z16</f>
        <v>0.42176035404040096</v>
      </c>
      <c r="L17" s="790">
        <f>'DIY Grundmodell'!AA16</f>
        <v>0.41437855159579234</v>
      </c>
      <c r="M17" s="791">
        <f>'DIY Grundmodell'!AB16</f>
        <v>0.34332553561402501</v>
      </c>
      <c r="N17" s="792">
        <f>'DIY Grundmodell'!AC16</f>
        <v>0.33950998538070526</v>
      </c>
      <c r="O17" s="793">
        <f>'DIY Grundmodell'!AD16</f>
        <v>0.34185344939362244</v>
      </c>
      <c r="P17" s="86"/>
      <c r="Q17" s="86"/>
      <c r="R17" s="1" t="str">
        <f>'DIY Grundmodell'!A105</f>
        <v>LTM</v>
      </c>
      <c r="S17" s="765">
        <f>'DIY Grundmodell'!B105</f>
        <v>7.88279</v>
      </c>
      <c r="T17" s="54">
        <f>'DIY Grundmodell'!E105</f>
        <v>9.78125</v>
      </c>
      <c r="U17" s="54">
        <f>'DIY Grundmodell'!F105</f>
        <v>10.58724</v>
      </c>
      <c r="V17" s="54">
        <f>'DIY Grundmodell'!G105</f>
        <v>0.98007</v>
      </c>
      <c r="W17" s="54">
        <f>'DIY Grundmodell'!H105</f>
        <v>3.5903399999999999</v>
      </c>
      <c r="X17" s="54">
        <f>'DIY Grundmodell'!I105</f>
        <v>6.51851</v>
      </c>
      <c r="Y17" s="54">
        <f>'DIY Grundmodell'!J105</f>
        <v>2.3126500000000001</v>
      </c>
      <c r="Z17" s="54">
        <f>'DIY Grundmodell'!K105</f>
        <v>50.937060000000002</v>
      </c>
      <c r="AA17" s="54">
        <f>'DIY Grundmodell'!L105</f>
        <v>0.71057000000000003</v>
      </c>
      <c r="AB17" s="54">
        <f>'DIY Grundmodell'!M105</f>
        <v>1.1149899999999999</v>
      </c>
      <c r="AC17" s="54" t="str">
        <f>'DIY Grundmodell'!N105</f>
        <v>NM</v>
      </c>
      <c r="AD17" s="86"/>
      <c r="AE17" s="86"/>
      <c r="AF17" s="988">
        <f>'DIY Grundmodell'!R104</f>
        <v>45046</v>
      </c>
      <c r="AG17" s="89" t="e">
        <f>'DIY Grundmodell'!S104</f>
        <v>#N/A</v>
      </c>
      <c r="AH17" s="54" t="e">
        <f>'DIY Grundmodell'!T104</f>
        <v>#N/A</v>
      </c>
      <c r="AI17" s="89">
        <f>'DIY Grundmodell'!U104</f>
        <v>240.32</v>
      </c>
      <c r="AJ17" s="89">
        <f>'DIY Grundmodell'!V104</f>
        <v>0</v>
      </c>
      <c r="AK17" s="989"/>
      <c r="AL17" s="33">
        <f>'DIY Grundmodell'!X104</f>
        <v>4169.4813999999997</v>
      </c>
    </row>
    <row r="18" spans="2:38" ht="14.1" customHeight="1" x14ac:dyDescent="0.45">
      <c r="B18" s="41" t="str">
        <f>'DIY Grundmodell'!Q23</f>
        <v>Prognose</v>
      </c>
      <c r="C18" s="42" t="str">
        <f>'DIY Grundmodell'!R23</f>
        <v>LTM</v>
      </c>
      <c r="D18" s="43" t="str">
        <f>'DIY Grundmodell'!S23</f>
        <v>LTM+1</v>
      </c>
      <c r="E18" s="43" t="str">
        <f>'DIY Grundmodell'!T23</f>
        <v>LTM+2</v>
      </c>
      <c r="F18" s="43" t="str">
        <f>'DIY Grundmodell'!U23</f>
        <v>LTM+3</v>
      </c>
      <c r="G18" s="43" t="str">
        <f>'DIY Grundmodell'!V23</f>
        <v>LTM+4</v>
      </c>
      <c r="H18" s="43" t="str">
        <f>'DIY Grundmodell'!W23</f>
        <v>LTM+5</v>
      </c>
      <c r="I18" s="43" t="str">
        <f>'DIY Grundmodell'!X23</f>
        <v>LTM+6</v>
      </c>
      <c r="J18" s="43" t="str">
        <f>'DIY Grundmodell'!Y23</f>
        <v>LTM+7</v>
      </c>
      <c r="K18" s="43" t="str">
        <f>'DIY Grundmodell'!Z23</f>
        <v>LTM+8</v>
      </c>
      <c r="L18" s="43" t="str">
        <f>'DIY Grundmodell'!AA23</f>
        <v>LTM+9</v>
      </c>
      <c r="M18" s="43" t="str">
        <f>'DIY Grundmodell'!AB23</f>
        <v>LTM+10</v>
      </c>
      <c r="N18" s="44" t="str">
        <f>'DIY Grundmodell'!AC23</f>
        <v>ewig</v>
      </c>
      <c r="O18" s="44" t="str">
        <f>'DIY Grundmodell'!AD23</f>
        <v>Median</v>
      </c>
      <c r="P18" s="86"/>
      <c r="Q18" s="86"/>
      <c r="R18" s="7">
        <f>'DIY Grundmodell'!A106</f>
        <v>0</v>
      </c>
      <c r="T18" s="7">
        <f>'DIY Grundmodell'!E106</f>
        <v>0</v>
      </c>
      <c r="U18" s="7">
        <f>'DIY Grundmodell'!F106</f>
        <v>0</v>
      </c>
      <c r="V18" s="7">
        <f>'DIY Grundmodell'!G106</f>
        <v>0</v>
      </c>
      <c r="W18" s="7">
        <f>'DIY Grundmodell'!H106</f>
        <v>0</v>
      </c>
      <c r="X18" s="7">
        <f>'DIY Grundmodell'!I106</f>
        <v>0</v>
      </c>
      <c r="Y18" s="7">
        <f>'DIY Grundmodell'!J106</f>
        <v>0</v>
      </c>
      <c r="Z18" s="7">
        <f>'DIY Grundmodell'!K106</f>
        <v>0</v>
      </c>
      <c r="AA18" s="7">
        <f>'DIY Grundmodell'!L106</f>
        <v>0</v>
      </c>
      <c r="AB18" s="7">
        <f>'DIY Grundmodell'!M106</f>
        <v>0</v>
      </c>
      <c r="AC18" s="7">
        <f>'DIY Grundmodell'!N106</f>
        <v>0</v>
      </c>
      <c r="AD18" s="86"/>
      <c r="AE18" s="86"/>
      <c r="AF18" s="988">
        <f>'DIY Grundmodell'!R105</f>
        <v>45047</v>
      </c>
      <c r="AG18" s="89">
        <f>'DIY Grundmodell'!S105</f>
        <v>243.18</v>
      </c>
      <c r="AH18" s="54">
        <f>'DIY Grundmodell'!T105</f>
        <v>7087.2160299999996</v>
      </c>
      <c r="AI18" s="89">
        <f>'DIY Grundmodell'!U105</f>
        <v>243.18</v>
      </c>
      <c r="AJ18" s="89">
        <f>'DIY Grundmodell'!V105</f>
        <v>7087.2160299999996</v>
      </c>
      <c r="AK18" s="989"/>
      <c r="AL18" s="33">
        <f>'DIY Grundmodell'!X105</f>
        <v>4167.8668900000002</v>
      </c>
    </row>
    <row r="19" spans="2:38" s="31" customFormat="1" ht="14.1" customHeight="1" x14ac:dyDescent="0.45">
      <c r="B19" s="10" t="str">
        <f>'DIY Grundmodell'!Q24</f>
        <v>Umsatz</v>
      </c>
      <c r="C19" s="782">
        <f>'DIY Grundmodell'!R24</f>
        <v>200966</v>
      </c>
      <c r="D19" s="781">
        <f>'DIY Grundmodell'!S24</f>
        <v>250863.95000000004</v>
      </c>
      <c r="E19" s="781">
        <f>'DIY Grundmodell'!T24</f>
        <v>284024.38500000001</v>
      </c>
      <c r="F19" s="781">
        <f>'DIY Grundmodell'!U24</f>
        <v>316573.25038961595</v>
      </c>
      <c r="G19" s="781">
        <f>'DIY Grundmodell'!V24</f>
        <v>349874.00417806819</v>
      </c>
      <c r="H19" s="781">
        <f>'DIY Grundmodell'!W24</f>
        <v>382905.18109544076</v>
      </c>
      <c r="I19" s="781">
        <f>'DIY Grundmodell'!X24</f>
        <v>419054.79103589512</v>
      </c>
      <c r="J19" s="781">
        <f>'DIY Grundmodell'!Y24</f>
        <v>458617.24144799949</v>
      </c>
      <c r="K19" s="781">
        <f>'DIY Grundmodell'!Z24</f>
        <v>501914.73442754743</v>
      </c>
      <c r="L19" s="781">
        <f>'DIY Grundmodell'!AA24</f>
        <v>533196.26338642603</v>
      </c>
      <c r="M19" s="781">
        <f>'DIY Grundmodell'!AB24</f>
        <v>556230.34196471958</v>
      </c>
      <c r="N19" s="794">
        <f>'DIY Grundmodell'!AC24</f>
        <v>580259.49273759546</v>
      </c>
      <c r="O19" s="794">
        <f>'DIY Grundmodell'!AD24</f>
        <v>400979.98606566794</v>
      </c>
      <c r="P19" s="86"/>
      <c r="Q19" s="86"/>
      <c r="R19" s="136" t="s">
        <v>234</v>
      </c>
      <c r="S19" s="1179" t="str">
        <f>S3</f>
        <v>Meta Platforms, Inc.</v>
      </c>
      <c r="T19" s="1178" t="str">
        <f t="shared" ref="T19:AC19" si="2">T3</f>
        <v>Alphabet Inc.</v>
      </c>
      <c r="U19" s="1178" t="str">
        <f t="shared" si="2"/>
        <v>Reddit, Inc.</v>
      </c>
      <c r="V19" s="1178" t="str">
        <f t="shared" si="2"/>
        <v>Bumble Inc.</v>
      </c>
      <c r="W19" s="1178" t="str">
        <f t="shared" si="2"/>
        <v>Tencent Holdings</v>
      </c>
      <c r="X19" s="1178" t="str">
        <f t="shared" si="2"/>
        <v>Amazon.com, Inc.</v>
      </c>
      <c r="Y19" s="1178" t="str">
        <f t="shared" si="2"/>
        <v>Yelp Inc.</v>
      </c>
      <c r="Z19" s="1178" t="str">
        <f t="shared" si="2"/>
        <v>Grindr Inc.</v>
      </c>
      <c r="AA19" s="1178" t="str">
        <f t="shared" si="2"/>
        <v>IAC Inc.</v>
      </c>
      <c r="AB19" s="1178" t="str">
        <f t="shared" si="2"/>
        <v>Taboola.com Ltd.</v>
      </c>
      <c r="AC19" s="1178" t="str">
        <f t="shared" si="2"/>
        <v>Leafbuyer Technologies</v>
      </c>
      <c r="AD19" s="86"/>
      <c r="AE19" s="86"/>
      <c r="AF19" s="988">
        <f>'DIY Grundmodell'!R106</f>
        <v>45048</v>
      </c>
      <c r="AG19" s="89">
        <f>'DIY Grundmodell'!S106</f>
        <v>239.24</v>
      </c>
      <c r="AH19" s="54">
        <f>'DIY Grundmodell'!T106</f>
        <v>5825.5298899999998</v>
      </c>
      <c r="AI19" s="89">
        <f>'DIY Grundmodell'!U106</f>
        <v>239.24</v>
      </c>
      <c r="AJ19" s="89">
        <f>'DIY Grundmodell'!V106</f>
        <v>5825.5298899999998</v>
      </c>
      <c r="AK19" s="989"/>
      <c r="AL19" s="33">
        <f>'DIY Grundmodell'!X106</f>
        <v>4119.5804500000004</v>
      </c>
    </row>
    <row r="20" spans="2:38" ht="14.1" customHeight="1" collapsed="1" x14ac:dyDescent="0.45">
      <c r="B20" s="73" t="str">
        <f>'DIY Grundmodell'!Q25</f>
        <v>Entw.</v>
      </c>
      <c r="C20" s="785">
        <f>'DIY Grundmodell'!R25</f>
        <v>0.17965484855599906</v>
      </c>
      <c r="D20" s="784">
        <f>'DIY Grundmodell'!S25</f>
        <v>0.24829050685190546</v>
      </c>
      <c r="E20" s="784">
        <f>'DIY Grundmodell'!T25</f>
        <v>0.13218493530058822</v>
      </c>
      <c r="F20" s="784">
        <f>'DIY Grundmodell'!U25</f>
        <v>0.11459884118617475</v>
      </c>
      <c r="G20" s="784">
        <f>'DIY Grundmodell'!V25</f>
        <v>0.10519130642740031</v>
      </c>
      <c r="H20" s="784">
        <f>'DIY Grundmodell'!W25</f>
        <v>9.440877722530458E-2</v>
      </c>
      <c r="I20" s="784">
        <f>'DIY Grundmodell'!X25</f>
        <v>9.440877722530458E-2</v>
      </c>
      <c r="J20" s="784">
        <f>'DIY Grundmodell'!Y25</f>
        <v>9.440877722530458E-2</v>
      </c>
      <c r="K20" s="784">
        <f>'DIY Grundmodell'!Z25</f>
        <v>9.440877722530458E-2</v>
      </c>
      <c r="L20" s="784">
        <f>'DIY Grundmodell'!AA25</f>
        <v>6.2324388612652291E-2</v>
      </c>
      <c r="M20" s="784">
        <f>'DIY Grundmodell'!AB25</f>
        <v>4.3200000000000002E-2</v>
      </c>
      <c r="N20" s="795">
        <f>'DIY Grundmodell'!AC25</f>
        <v>4.3199999999999905E-2</v>
      </c>
      <c r="O20" s="795">
        <f>'DIY Grundmodell'!AD25</f>
        <v>9.440877722530458E-2</v>
      </c>
      <c r="P20" s="146"/>
      <c r="Q20" s="86"/>
      <c r="R20" s="136" t="str">
        <f>'DIY Grundmodell'!A108</f>
        <v>Umsatzwachstum p.a.</v>
      </c>
      <c r="S20" s="1180"/>
      <c r="T20" s="1178"/>
      <c r="U20" s="1178"/>
      <c r="V20" s="1178"/>
      <c r="W20" s="1178"/>
      <c r="X20" s="1178"/>
      <c r="Y20" s="1178"/>
      <c r="Z20" s="1178"/>
      <c r="AA20" s="1178"/>
      <c r="AB20" s="1178"/>
      <c r="AC20" s="1178"/>
      <c r="AD20" s="86"/>
      <c r="AE20" s="86"/>
      <c r="AF20" s="988">
        <f>'DIY Grundmodell'!R107</f>
        <v>45049</v>
      </c>
      <c r="AG20" s="89">
        <f>'DIY Grundmodell'!S107</f>
        <v>237.03</v>
      </c>
      <c r="AH20" s="54">
        <f>'DIY Grundmodell'!T107</f>
        <v>8168.9687400000003</v>
      </c>
      <c r="AI20" s="89">
        <f>'DIY Grundmodell'!U107</f>
        <v>237.03</v>
      </c>
      <c r="AJ20" s="89">
        <f>'DIY Grundmodell'!V107</f>
        <v>8168.9687400000003</v>
      </c>
      <c r="AK20" s="989"/>
      <c r="AL20" s="33">
        <f>'DIY Grundmodell'!X107</f>
        <v>4090.7522199999999</v>
      </c>
    </row>
    <row r="21" spans="2:38" s="31" customFormat="1" ht="14.1" customHeight="1" x14ac:dyDescent="0.45">
      <c r="B21" s="32" t="str">
        <f>'DIY Grundmodell'!Q26</f>
        <v>EBIT</v>
      </c>
      <c r="C21" s="787">
        <f>'DIY Grundmodell'!R26</f>
        <v>84075.919760000004</v>
      </c>
      <c r="D21" s="599">
        <f>'DIY Grundmodell'!S26</f>
        <v>77515.200000000012</v>
      </c>
      <c r="E21" s="599">
        <f>'DIY Grundmodell'!T26</f>
        <v>86786.203319202425</v>
      </c>
      <c r="F21" s="599">
        <f>'DIY Grundmodell'!U26</f>
        <v>97399.491868297016</v>
      </c>
      <c r="G21" s="599">
        <f>'DIY Grundmodell'!V26</f>
        <v>108878.24486030487</v>
      </c>
      <c r="H21" s="599">
        <f>'DIY Grundmodell'!W26</f>
        <v>120506.90239465765</v>
      </c>
      <c r="I21" s="599">
        <f>'DIY Grundmodell'!X26</f>
        <v>133360.82093517465</v>
      </c>
      <c r="J21" s="599">
        <f>'DIY Grundmodell'!Y26</f>
        <v>147567.7048437871</v>
      </c>
      <c r="K21" s="599">
        <f>'DIY Grundmodell'!Z26</f>
        <v>163268.45053529541</v>
      </c>
      <c r="L21" s="599">
        <f>'DIY Grundmodell'!AA26</f>
        <v>175323.37154193208</v>
      </c>
      <c r="M21" s="599">
        <f>'DIY Grundmodell'!AB26</f>
        <v>184857.84223259581</v>
      </c>
      <c r="N21" s="796">
        <f>'DIY Grundmodell'!AC26</f>
        <v>192843.70101704393</v>
      </c>
      <c r="O21" s="796">
        <f>'DIY Grundmodell'!AD26</f>
        <v>126933.86166491616</v>
      </c>
      <c r="P21" s="86"/>
      <c r="Q21" s="86"/>
      <c r="R21" s="1" t="str">
        <f>'DIY Grundmodell'!A109</f>
        <v>LTM/LTM-1</v>
      </c>
      <c r="S21" s="766">
        <f>'DIY Grundmodell'!B109</f>
        <v>0.17965484855599906</v>
      </c>
      <c r="T21" s="134">
        <f>'DIY Grundmodell'!E109</f>
        <v>0.15090000000000001</v>
      </c>
      <c r="U21" s="134">
        <f>'DIY Grundmodell'!F109</f>
        <v>0.69396800000000003</v>
      </c>
      <c r="V21" s="134">
        <f>'DIY Grundmodell'!G109</f>
        <v>-9.8900000000000002E-2</v>
      </c>
      <c r="W21" s="134">
        <f>'DIY Grundmodell'!H109</f>
        <v>0.138596</v>
      </c>
      <c r="X21" s="134">
        <f>'DIY Grundmodell'!I109</f>
        <v>0.123777</v>
      </c>
      <c r="Y21" s="134">
        <f>'DIY Grundmodell'!J109</f>
        <v>3.7456000000000003E-2</v>
      </c>
      <c r="Z21" s="134">
        <f>'DIY Grundmodell'!K109</f>
        <v>0.27641300000000002</v>
      </c>
      <c r="AA21" s="134">
        <f>'DIY Grundmodell'!L109</f>
        <v>-8.7307999999999997E-2</v>
      </c>
      <c r="AB21" s="134">
        <f>'DIY Grundmodell'!M109</f>
        <v>8.2559999999999995E-2</v>
      </c>
      <c r="AC21" s="134">
        <f>'DIY Grundmodell'!N109</f>
        <v>-0.19658300000000001</v>
      </c>
      <c r="AD21" s="86"/>
      <c r="AE21" s="86"/>
      <c r="AF21" s="988">
        <f>'DIY Grundmodell'!R108</f>
        <v>45050</v>
      </c>
      <c r="AG21" s="89">
        <f>'DIY Grundmodell'!S108</f>
        <v>233.52</v>
      </c>
      <c r="AH21" s="54">
        <f>'DIY Grundmodell'!T108</f>
        <v>4177.53035</v>
      </c>
      <c r="AI21" s="89">
        <f>'DIY Grundmodell'!U108</f>
        <v>233.52</v>
      </c>
      <c r="AJ21" s="89">
        <f>'DIY Grundmodell'!V108</f>
        <v>4177.53035</v>
      </c>
      <c r="AK21" s="989"/>
      <c r="AL21" s="33">
        <f>'DIY Grundmodell'!X108</f>
        <v>4061.2168900000001</v>
      </c>
    </row>
    <row r="22" spans="2:38" s="31" customFormat="1" ht="14.1" customHeight="1" x14ac:dyDescent="0.45">
      <c r="B22" s="80" t="str">
        <f>'DIY Grundmodell'!Q27</f>
        <v>/Umsatz</v>
      </c>
      <c r="C22" s="790">
        <f>'DIY Grundmodell'!R27</f>
        <v>0.41835892519132589</v>
      </c>
      <c r="D22" s="789">
        <f>'DIY Grundmodell'!S27</f>
        <v>0.30899298205262254</v>
      </c>
      <c r="E22" s="789">
        <f>'DIY Grundmodell'!T27</f>
        <v>0.30555898684263472</v>
      </c>
      <c r="F22" s="789">
        <f>'DIY Grundmodell'!U27</f>
        <v>0.30766810445426018</v>
      </c>
      <c r="G22" s="789">
        <f>'DIY Grundmodell'!V27</f>
        <v>0.31119272526715458</v>
      </c>
      <c r="H22" s="789">
        <f>'DIY Grundmodell'!W27</f>
        <v>0.31471734608004898</v>
      </c>
      <c r="I22" s="789">
        <f>'DIY Grundmodell'!X27</f>
        <v>0.31824196689294337</v>
      </c>
      <c r="J22" s="789">
        <f>'DIY Grundmodell'!Y27</f>
        <v>0.32176658770583777</v>
      </c>
      <c r="K22" s="789">
        <f>'DIY Grundmodell'!Z27</f>
        <v>0.32529120851873217</v>
      </c>
      <c r="L22" s="789">
        <f>'DIY Grundmodell'!AA27</f>
        <v>0.32881582933162656</v>
      </c>
      <c r="M22" s="789">
        <f>'DIY Grundmodell'!AB27</f>
        <v>0.33234045014452107</v>
      </c>
      <c r="N22" s="797">
        <f>'DIY Grundmodell'!AC27</f>
        <v>0.33234045014452107</v>
      </c>
      <c r="O22" s="797">
        <f>'DIY Grundmodell'!AD27</f>
        <v>0.31647965648649617</v>
      </c>
      <c r="P22" s="86"/>
      <c r="Q22" s="86"/>
      <c r="R22" s="1" t="str">
        <f>'DIY Grundmodell'!A110</f>
        <v>über 2 Jahre</v>
      </c>
      <c r="S22" s="766">
        <f>'DIY Grundmodell'!B110</f>
        <v>0.22054000000000001</v>
      </c>
      <c r="T22" s="134">
        <f>'DIY Grundmodell'!E110</f>
        <v>0.144765</v>
      </c>
      <c r="U22" s="134">
        <f>'DIY Grundmodell'!F110</f>
        <v>0.65509399999999995</v>
      </c>
      <c r="V22" s="134">
        <f>'DIY Grundmodell'!G110</f>
        <v>-4.1838E-2</v>
      </c>
      <c r="W22" s="134">
        <f>'DIY Grundmodell'!H110</f>
        <v>0.11103399999999999</v>
      </c>
      <c r="X22" s="134">
        <f>'DIY Grundmodell'!I110</f>
        <v>0.11682099999999999</v>
      </c>
      <c r="Y22" s="134">
        <f>'DIY Grundmodell'!J110</f>
        <v>4.6733999999999998E-2</v>
      </c>
      <c r="Z22" s="134">
        <f>'DIY Grundmodell'!K110</f>
        <v>0.30151</v>
      </c>
      <c r="AA22" s="134">
        <f>'DIY Grundmodell'!L110</f>
        <v>-9.4598000000000002E-2</v>
      </c>
      <c r="AB22" s="134">
        <f>'DIY Grundmodell'!M110</f>
        <v>0.15243000000000001</v>
      </c>
      <c r="AC22" s="134">
        <f>'DIY Grundmodell'!N110</f>
        <v>-1.3802E-2</v>
      </c>
      <c r="AD22" s="86"/>
      <c r="AE22" s="86"/>
      <c r="AF22" s="988">
        <f>'DIY Grundmodell'!R109</f>
        <v>45051</v>
      </c>
      <c r="AG22" s="89">
        <f>'DIY Grundmodell'!S109</f>
        <v>232.78</v>
      </c>
      <c r="AH22" s="54">
        <f>'DIY Grundmodell'!T109</f>
        <v>6285.17173</v>
      </c>
      <c r="AI22" s="89">
        <f>'DIY Grundmodell'!U109</f>
        <v>232.78</v>
      </c>
      <c r="AJ22" s="89">
        <f>'DIY Grundmodell'!V109</f>
        <v>6285.17173</v>
      </c>
      <c r="AK22" s="989"/>
      <c r="AL22" s="33">
        <f>'DIY Grundmodell'!X109</f>
        <v>4136.25335</v>
      </c>
    </row>
    <row r="23" spans="2:38" ht="14.1" customHeight="1" x14ac:dyDescent="0.45">
      <c r="B23" s="10" t="str">
        <f>'DIY Grundmodell'!Q28</f>
        <v>Sonst</v>
      </c>
      <c r="C23" s="782">
        <f>'DIY Grundmodell'!R28</f>
        <v>21773</v>
      </c>
      <c r="D23" s="781">
        <f>'DIY Grundmodell'!S28</f>
        <v>171</v>
      </c>
      <c r="E23" s="781">
        <f>'DIY Grundmodell'!T28</f>
        <v>178.38719999999998</v>
      </c>
      <c r="F23" s="781">
        <f>'DIY Grundmodell'!U28</f>
        <v>186.09352703999997</v>
      </c>
      <c r="G23" s="781">
        <f>'DIY Grundmodell'!V28</f>
        <v>194.13276740812796</v>
      </c>
      <c r="H23" s="781">
        <f>'DIY Grundmodell'!W28</f>
        <v>202.51930296015908</v>
      </c>
      <c r="I23" s="781">
        <f>'DIY Grundmodell'!X28</f>
        <v>211.26813684803793</v>
      </c>
      <c r="J23" s="781">
        <f>'DIY Grundmodell'!Y28</f>
        <v>220.39492035987314</v>
      </c>
      <c r="K23" s="781">
        <f>'DIY Grundmodell'!Z28</f>
        <v>229.91598091941964</v>
      </c>
      <c r="L23" s="781">
        <f>'DIY Grundmodell'!AA28</f>
        <v>239.84835129513854</v>
      </c>
      <c r="M23" s="781">
        <f>'DIY Grundmodell'!AB28</f>
        <v>250.20980007108849</v>
      </c>
      <c r="N23" s="794">
        <f>'DIY Grundmodell'!AC28</f>
        <v>261.01886343415947</v>
      </c>
      <c r="O23" s="798">
        <f>'DIY Grundmodell'!AD28</f>
        <v>206.8937199040985</v>
      </c>
      <c r="P23" s="86"/>
      <c r="Q23" s="86"/>
      <c r="R23" s="1" t="str">
        <f>'DIY Grundmodell'!A111</f>
        <v>über 3 Jahre</v>
      </c>
      <c r="S23" s="766">
        <f>'DIY Grundmodell'!B111</f>
        <v>0.198938</v>
      </c>
      <c r="T23" s="134">
        <f>'DIY Grundmodell'!E111</f>
        <v>0.12511700000000001</v>
      </c>
      <c r="U23" s="134">
        <f>'DIY Grundmodell'!F111</f>
        <v>0.48934499999999997</v>
      </c>
      <c r="V23" s="134">
        <f>'DIY Grundmodell'!G111</f>
        <v>2.2423999999999999E-2</v>
      </c>
      <c r="W23" s="134">
        <f>'DIY Grundmodell'!H111</f>
        <v>0.106743</v>
      </c>
      <c r="X23" s="134">
        <f>'DIY Grundmodell'!I111</f>
        <v>0.117313</v>
      </c>
      <c r="Y23" s="134">
        <f>'DIY Grundmodell'!J111</f>
        <v>7.0696999999999996E-2</v>
      </c>
      <c r="Z23" s="134">
        <f>'DIY Grundmodell'!K111</f>
        <v>0.31147900000000001</v>
      </c>
      <c r="AA23" s="134">
        <f>'DIY Grundmodell'!L111</f>
        <v>-0.22966600000000001</v>
      </c>
      <c r="AB23" s="134">
        <f>'DIY Grundmodell'!M111</f>
        <v>0.109185</v>
      </c>
      <c r="AC23" s="134">
        <f>'DIY Grundmodell'!N111</f>
        <v>4.1154999999999997E-2</v>
      </c>
      <c r="AD23" s="86"/>
      <c r="AE23" s="86"/>
      <c r="AF23" s="988">
        <f>'DIY Grundmodell'!R110</f>
        <v>45052</v>
      </c>
      <c r="AG23" s="89" t="e">
        <f>'DIY Grundmodell'!S110</f>
        <v>#N/A</v>
      </c>
      <c r="AH23" s="54" t="e">
        <f>'DIY Grundmodell'!T110</f>
        <v>#N/A</v>
      </c>
      <c r="AI23" s="89">
        <f>'DIY Grundmodell'!U110</f>
        <v>232.78</v>
      </c>
      <c r="AJ23" s="89">
        <f>'DIY Grundmodell'!V110</f>
        <v>0</v>
      </c>
      <c r="AK23" s="989"/>
      <c r="AL23" s="33">
        <f>'DIY Grundmodell'!X110</f>
        <v>4136.25335</v>
      </c>
    </row>
    <row r="24" spans="2:38" ht="14.1" customHeight="1" x14ac:dyDescent="0.45">
      <c r="B24" s="10" t="str">
        <f>'DIY Grundmodell'!Q29</f>
        <v>Steuer</v>
      </c>
      <c r="C24" s="782">
        <f>'DIY Grundmodell'!R29</f>
        <v>-25474</v>
      </c>
      <c r="D24" s="781">
        <f>'DIY Grundmodell'!S29</f>
        <v>-10708.828413667219</v>
      </c>
      <c r="E24" s="781">
        <f>'DIY Grundmodell'!T29</f>
        <v>-13071.53103193499</v>
      </c>
      <c r="F24" s="781">
        <f>'DIY Grundmodell'!U29</f>
        <v>-15884.013261887996</v>
      </c>
      <c r="G24" s="781">
        <f>'DIY Grundmodell'!V29</f>
        <v>-19112.915760616841</v>
      </c>
      <c r="H24" s="781">
        <f>'DIY Grundmodell'!W29</f>
        <v>-22656.302892991167</v>
      </c>
      <c r="I24" s="781">
        <f>'DIY Grundmodell'!X29</f>
        <v>-26735.031966914714</v>
      </c>
      <c r="J24" s="781">
        <f>'DIY Grundmodell'!Y29</f>
        <v>-31422.077279726724</v>
      </c>
      <c r="K24" s="781">
        <f>'DIY Grundmodell'!Z29</f>
        <v>-36799.748800466172</v>
      </c>
      <c r="L24" s="781">
        <f>'DIY Grundmodell'!AA29</f>
        <v>-41703.038383373612</v>
      </c>
      <c r="M24" s="781">
        <f>'DIY Grundmodell'!AB29</f>
        <v>-46277.013008166723</v>
      </c>
      <c r="N24" s="794">
        <f>'DIY Grundmodell'!AC29</f>
        <v>-48276.17997011952</v>
      </c>
      <c r="O24" s="794">
        <f>'DIY Grundmodell'!AD29</f>
        <v>-24695.66742995294</v>
      </c>
      <c r="P24" s="86"/>
      <c r="Q24" s="86"/>
      <c r="R24" s="136" t="str">
        <f>'DIY Grundmodell'!A112</f>
        <v>EBIT-Marge</v>
      </c>
      <c r="S24" s="764"/>
      <c r="T24" s="138"/>
      <c r="U24" s="138"/>
      <c r="V24" s="138"/>
      <c r="W24" s="138"/>
      <c r="X24" s="138"/>
      <c r="Y24" s="138"/>
      <c r="Z24" s="138"/>
      <c r="AA24" s="138"/>
      <c r="AB24" s="138"/>
      <c r="AC24" s="138"/>
      <c r="AD24" s="86"/>
      <c r="AE24" s="86"/>
      <c r="AF24" s="988">
        <f>'DIY Grundmodell'!R111</f>
        <v>45053</v>
      </c>
      <c r="AG24" s="89" t="e">
        <f>'DIY Grundmodell'!S111</f>
        <v>#N/A</v>
      </c>
      <c r="AH24" s="54" t="e">
        <f>'DIY Grundmodell'!T111</f>
        <v>#N/A</v>
      </c>
      <c r="AI24" s="89">
        <f>'DIY Grundmodell'!U111</f>
        <v>232.78</v>
      </c>
      <c r="AJ24" s="89">
        <f>'DIY Grundmodell'!V111</f>
        <v>0</v>
      </c>
      <c r="AK24" s="989"/>
      <c r="AL24" s="33">
        <f>'DIY Grundmodell'!X111</f>
        <v>4136.25335</v>
      </c>
    </row>
    <row r="25" spans="2:38" s="31" customFormat="1" ht="14.1" customHeight="1" x14ac:dyDescent="0.45">
      <c r="B25" s="73" t="str">
        <f>'DIY Grundmodell'!Q30</f>
        <v>S-Quote</v>
      </c>
      <c r="C25" s="785">
        <f>'DIY Grundmodell'!R30</f>
        <v>0.2406637692454425</v>
      </c>
      <c r="D25" s="784">
        <f>'DIY Grundmodell'!S30</f>
        <v>0.13784724202840681</v>
      </c>
      <c r="E25" s="784">
        <f>'DIY Grundmodell'!T30</f>
        <v>0.15030865958080605</v>
      </c>
      <c r="F25" s="784">
        <f>'DIY Grundmodell'!U30</f>
        <v>0.16277007713320529</v>
      </c>
      <c r="G25" s="784">
        <f>'DIY Grundmodell'!V30</f>
        <v>0.17523149468560453</v>
      </c>
      <c r="H25" s="784">
        <f>'DIY Grundmodell'!W30</f>
        <v>0.18769291223800375</v>
      </c>
      <c r="I25" s="784">
        <f>'DIY Grundmodell'!X30</f>
        <v>0.20015432979040301</v>
      </c>
      <c r="J25" s="784">
        <f>'DIY Grundmodell'!Y30</f>
        <v>0.21261574734280225</v>
      </c>
      <c r="K25" s="784">
        <f>'DIY Grundmodell'!Z30</f>
        <v>0.22507716489520146</v>
      </c>
      <c r="L25" s="784">
        <f>'DIY Grundmodell'!AA30</f>
        <v>0.23753858244760076</v>
      </c>
      <c r="M25" s="784">
        <f>'DIY Grundmodell'!AB30</f>
        <v>0.25</v>
      </c>
      <c r="N25" s="795">
        <f>'DIY Grundmodell'!AC30</f>
        <v>0.25</v>
      </c>
      <c r="O25" s="795">
        <f>'DIY Grundmodell'!AD30</f>
        <v>0.19392362101420338</v>
      </c>
      <c r="P25" s="86"/>
      <c r="Q25" s="86"/>
      <c r="R25" s="1" t="str">
        <f>'DIY Grundmodell'!A113</f>
        <v>Letzter JA</v>
      </c>
      <c r="S25" s="766">
        <f>'DIY Grundmodell'!B113</f>
        <v>0.41437855159579234</v>
      </c>
      <c r="T25" s="134">
        <f>'DIY Grundmodell'!E113</f>
        <v>0.320326</v>
      </c>
      <c r="U25" s="134">
        <f>'DIY Grundmodell'!F113</f>
        <v>0.20067299999999999</v>
      </c>
      <c r="V25" s="134">
        <f>'DIY Grundmodell'!G113</f>
        <v>0.261374</v>
      </c>
      <c r="W25" s="134">
        <f>'DIY Grundmodell'!H113</f>
        <v>0.32673400000000002</v>
      </c>
      <c r="X25" s="134">
        <f>'DIY Grundmodell'!I113</f>
        <v>0.111552</v>
      </c>
      <c r="Y25" s="134">
        <f>'DIY Grundmodell'!J113</f>
        <v>0.12862699999999999</v>
      </c>
      <c r="Z25" s="134">
        <f>'DIY Grundmodell'!K113</f>
        <v>0.300535</v>
      </c>
      <c r="AA25" s="134">
        <f>'DIY Grundmodell'!L113</f>
        <v>4.5719000000000003E-2</v>
      </c>
      <c r="AB25" s="134">
        <f>'DIY Grundmodell'!M113</f>
        <v>2.3040999999999999E-2</v>
      </c>
      <c r="AC25" s="134">
        <f>'DIY Grundmodell'!N113</f>
        <v>4.6691999999999997E-2</v>
      </c>
      <c r="AD25" s="86"/>
      <c r="AE25" s="86"/>
      <c r="AF25" s="988">
        <f>'DIY Grundmodell'!R112</f>
        <v>45054</v>
      </c>
      <c r="AG25" s="89">
        <f>'DIY Grundmodell'!S112</f>
        <v>233.27</v>
      </c>
      <c r="AH25" s="54">
        <f>'DIY Grundmodell'!T112</f>
        <v>3825.7516300000002</v>
      </c>
      <c r="AI25" s="89">
        <f>'DIY Grundmodell'!U112</f>
        <v>233.27</v>
      </c>
      <c r="AJ25" s="89">
        <f>'DIY Grundmodell'!V112</f>
        <v>3825.7516300000002</v>
      </c>
      <c r="AK25" s="989"/>
      <c r="AL25" s="33">
        <f>'DIY Grundmodell'!X112</f>
        <v>4138.1229800000001</v>
      </c>
    </row>
    <row r="26" spans="2:38" ht="14.1" customHeight="1" x14ac:dyDescent="0.45">
      <c r="B26" s="40" t="str">
        <f>'DIY Grundmodell'!Q31</f>
        <v>EBIT-T</v>
      </c>
      <c r="C26" s="787"/>
      <c r="D26" s="599">
        <f>'DIY Grundmodell'!S31</f>
        <v>66977.371586332796</v>
      </c>
      <c r="E26" s="599">
        <f>'DIY Grundmodell'!T31</f>
        <v>73893.059487267426</v>
      </c>
      <c r="F26" s="599">
        <f>'DIY Grundmodell'!U31</f>
        <v>81701.572133449008</v>
      </c>
      <c r="G26" s="599">
        <f>'DIY Grundmodell'!V31</f>
        <v>89959.46186709615</v>
      </c>
      <c r="H26" s="599">
        <f>'DIY Grundmodell'!W31</f>
        <v>98053.118804626647</v>
      </c>
      <c r="I26" s="599">
        <f>'DIY Grundmodell'!X31</f>
        <v>106837.05710510796</v>
      </c>
      <c r="J26" s="599">
        <f>'DIY Grundmodell'!Y31</f>
        <v>116366.02248442023</v>
      </c>
      <c r="K26" s="599">
        <f>'DIY Grundmodell'!Z31</f>
        <v>126698.61771574865</v>
      </c>
      <c r="L26" s="599">
        <f>'DIY Grundmodell'!AA31</f>
        <v>133860.1815098536</v>
      </c>
      <c r="M26" s="599">
        <f>'DIY Grundmodell'!AB31</f>
        <v>138831.03902450018</v>
      </c>
      <c r="N26" s="796">
        <f>'DIY Grundmodell'!AC31</f>
        <v>144828.53991035855</v>
      </c>
      <c r="O26" s="796">
        <f>'DIY Grundmodell'!AD31</f>
        <v>102445.08795486731</v>
      </c>
      <c r="P26" s="86"/>
      <c r="Q26" s="86"/>
      <c r="R26" s="1" t="str">
        <f>'DIY Grundmodell'!A114</f>
        <v>LTM</v>
      </c>
      <c r="S26" s="767">
        <f>'DIY Grundmodell'!B114</f>
        <v>0.41835892519132589</v>
      </c>
      <c r="T26" s="134">
        <f>'DIY Grundmodell'!E114</f>
        <v>0.320326</v>
      </c>
      <c r="U26" s="134">
        <f>'DIY Grundmodell'!F114</f>
        <v>0.20067299999999999</v>
      </c>
      <c r="V26" s="134">
        <f>'DIY Grundmodell'!G114</f>
        <v>0.261374</v>
      </c>
      <c r="W26" s="134">
        <f>'DIY Grundmodell'!H114</f>
        <v>0.32673400000000002</v>
      </c>
      <c r="X26" s="134">
        <f>'DIY Grundmodell'!I114</f>
        <v>0.111552</v>
      </c>
      <c r="Y26" s="134">
        <f>'DIY Grundmodell'!J114</f>
        <v>0.12862699999999999</v>
      </c>
      <c r="Z26" s="134">
        <f>'DIY Grundmodell'!K114</f>
        <v>0.300535</v>
      </c>
      <c r="AA26" s="134">
        <f>'DIY Grundmodell'!L114</f>
        <v>4.5719000000000003E-2</v>
      </c>
      <c r="AB26" s="134">
        <f>'DIY Grundmodell'!M114</f>
        <v>2.3040999999999999E-2</v>
      </c>
      <c r="AC26" s="134">
        <f>'DIY Grundmodell'!N114</f>
        <v>1.5488E-2</v>
      </c>
      <c r="AD26" s="86"/>
      <c r="AE26" s="86"/>
      <c r="AF26" s="988">
        <f>'DIY Grundmodell'!R113</f>
        <v>45055</v>
      </c>
      <c r="AG26" s="89">
        <f>'DIY Grundmodell'!S113</f>
        <v>233.37</v>
      </c>
      <c r="AH26" s="54">
        <f>'DIY Grundmodell'!T113</f>
        <v>3935.92274</v>
      </c>
      <c r="AI26" s="89">
        <f>'DIY Grundmodell'!U113</f>
        <v>233.37</v>
      </c>
      <c r="AJ26" s="89">
        <f>'DIY Grundmodell'!V113</f>
        <v>3935.92274</v>
      </c>
      <c r="AK26" s="989"/>
      <c r="AL26" s="33">
        <f>'DIY Grundmodell'!X113</f>
        <v>4119.1733700000004</v>
      </c>
    </row>
    <row r="27" spans="2:38" s="31" customFormat="1" ht="14.1" customHeight="1" x14ac:dyDescent="0.45">
      <c r="B27" s="80" t="str">
        <f>'DIY Grundmodell'!Q32</f>
        <v>Entw.</v>
      </c>
      <c r="C27" s="790"/>
      <c r="D27" s="789">
        <f>'DIY Grundmodell'!S32</f>
        <v>-0.16668816856890645</v>
      </c>
      <c r="E27" s="789">
        <f>'DIY Grundmodell'!T32</f>
        <v>0.10325409518378037</v>
      </c>
      <c r="F27" s="789">
        <f>'DIY Grundmodell'!U32</f>
        <v>0.10567315388432497</v>
      </c>
      <c r="G27" s="789">
        <f>'DIY Grundmodell'!V32</f>
        <v>0.10107381679460148</v>
      </c>
      <c r="H27" s="789">
        <f>'DIY Grundmodell'!W32</f>
        <v>8.9970046169105089E-2</v>
      </c>
      <c r="I27" s="789">
        <f>'DIY Grundmodell'!X32</f>
        <v>8.9583466671606216E-2</v>
      </c>
      <c r="J27" s="789">
        <f>'DIY Grundmodell'!Y32</f>
        <v>8.9191574885271629E-2</v>
      </c>
      <c r="K27" s="789">
        <f>'DIY Grundmodell'!Z32</f>
        <v>8.8793919485490758E-2</v>
      </c>
      <c r="L27" s="789">
        <f>'DIY Grundmodell'!AA32</f>
        <v>5.6524403527212108E-2</v>
      </c>
      <c r="M27" s="789">
        <f>'DIY Grundmodell'!AB32</f>
        <v>3.7134698747443906E-2</v>
      </c>
      <c r="N27" s="797">
        <f>'DIY Grundmodell'!AC32</f>
        <v>4.3199999999999683E-2</v>
      </c>
      <c r="O27" s="797">
        <f>'DIY Grundmodell'!AD32</f>
        <v>8.9387520778438923E-2</v>
      </c>
      <c r="P27" s="86"/>
      <c r="Q27" s="86"/>
      <c r="R27" s="7"/>
      <c r="S27" s="7"/>
      <c r="T27" s="7"/>
      <c r="U27" s="7"/>
      <c r="V27" s="7"/>
      <c r="W27" s="7"/>
      <c r="X27" s="7"/>
      <c r="Y27" s="7"/>
      <c r="Z27" s="7"/>
      <c r="AA27" s="7"/>
      <c r="AB27" s="7"/>
      <c r="AC27" s="7"/>
      <c r="AD27" s="86"/>
      <c r="AE27" s="86"/>
      <c r="AF27" s="988">
        <f>'DIY Grundmodell'!R114</f>
        <v>45056</v>
      </c>
      <c r="AG27" s="89">
        <f>'DIY Grundmodell'!S114</f>
        <v>233.08</v>
      </c>
      <c r="AH27" s="54">
        <f>'DIY Grundmodell'!T114</f>
        <v>4456.2588500000002</v>
      </c>
      <c r="AI27" s="89">
        <f>'DIY Grundmodell'!U114</f>
        <v>233.08</v>
      </c>
      <c r="AJ27" s="89">
        <f>'DIY Grundmodell'!V114</f>
        <v>4456.2588500000002</v>
      </c>
      <c r="AK27" s="989"/>
      <c r="AL27" s="33">
        <f>'DIY Grundmodell'!X114</f>
        <v>4137.6421899999996</v>
      </c>
    </row>
    <row r="28" spans="2:38" ht="14.1" customHeight="1" x14ac:dyDescent="0.45">
      <c r="B28" s="47" t="s">
        <v>68</v>
      </c>
      <c r="C28" s="782"/>
      <c r="D28" s="781">
        <f>'DIY Grundmodell'!S33</f>
        <v>-62961.024085475874</v>
      </c>
      <c r="E28" s="781">
        <f>'DIY Grundmodell'!T33</f>
        <v>-69471.685815684832</v>
      </c>
      <c r="F28" s="781">
        <f>'DIY Grundmodell'!U33</f>
        <v>-63454.550622434559</v>
      </c>
      <c r="G28" s="781">
        <f>'DIY Grundmodell'!V33</f>
        <v>-50855.290879811721</v>
      </c>
      <c r="H28" s="781">
        <f>'DIY Grundmodell'!W33</f>
        <v>-50172.532614824369</v>
      </c>
      <c r="I28" s="781">
        <f>'DIY Grundmodell'!X33</f>
        <v>-23017.272680241913</v>
      </c>
      <c r="J28" s="781">
        <f>'DIY Grundmodell'!Y33</f>
        <v>-25190.305249044988</v>
      </c>
      <c r="K28" s="781">
        <f>'DIY Grundmodell'!Z33</f>
        <v>-18199.466271712517</v>
      </c>
      <c r="L28" s="781">
        <f>'DIY Grundmodell'!AA33</f>
        <v>-13401.133197060248</v>
      </c>
      <c r="M28" s="781">
        <f>'DIY Grundmodell'!AB33</f>
        <v>-13980.06215117327</v>
      </c>
      <c r="N28" s="794">
        <f>'DIY Grundmodell'!AC33</f>
        <v>-37711.656040744274</v>
      </c>
      <c r="O28" s="794">
        <f>'DIY Grundmodell'!AD33</f>
        <v>-37681.418931934677</v>
      </c>
      <c r="P28" s="86"/>
      <c r="Q28" s="86"/>
      <c r="AD28" s="86"/>
      <c r="AE28" s="86"/>
      <c r="AF28" s="988">
        <f>'DIY Grundmodell'!R115</f>
        <v>45057</v>
      </c>
      <c r="AG28" s="89">
        <f>'DIY Grundmodell'!S115</f>
        <v>235.79</v>
      </c>
      <c r="AH28" s="54">
        <f>'DIY Grundmodell'!T115</f>
        <v>4821.6673499999997</v>
      </c>
      <c r="AI28" s="89">
        <f>'DIY Grundmodell'!U115</f>
        <v>235.79</v>
      </c>
      <c r="AJ28" s="89">
        <f>'DIY Grundmodell'!V115</f>
        <v>4821.6673499999997</v>
      </c>
      <c r="AK28" s="989"/>
      <c r="AL28" s="33">
        <f>'DIY Grundmodell'!X115</f>
        <v>4130.6212699999996</v>
      </c>
    </row>
    <row r="29" spans="2:38" ht="14.1" customHeight="1" x14ac:dyDescent="0.45">
      <c r="B29" s="73" t="str">
        <f>'DIY Grundmodell'!Q34</f>
        <v>Umsatzzuwachs/Reinvest</v>
      </c>
      <c r="C29" s="785"/>
      <c r="D29" s="799">
        <f>'DIY Grundmodell'!S34</f>
        <v>0.52668195096352577</v>
      </c>
      <c r="E29" s="799">
        <f>'DIY Grundmodell'!T34</f>
        <v>0.46851987262798339</v>
      </c>
      <c r="F29" s="799">
        <f>'DIY Grundmodell'!U34</f>
        <v>0.52479693673346506</v>
      </c>
      <c r="G29" s="799">
        <f>'DIY Grundmodell'!V34</f>
        <v>0.6495130859724394</v>
      </c>
      <c r="H29" s="799">
        <f>'DIY Grundmodell'!W34</f>
        <v>0.72050598318358194</v>
      </c>
      <c r="I29" s="799">
        <f>'DIY Grundmodell'!X34</f>
        <v>1.7188157329371556</v>
      </c>
      <c r="J29" s="799">
        <f>'DIY Grundmodell'!Y34</f>
        <v>1.7188157329371556</v>
      </c>
      <c r="K29" s="799">
        <f>'DIY Grundmodell'!Z34</f>
        <v>1.7188157329371558</v>
      </c>
      <c r="L29" s="799">
        <f>'DIY Grundmodell'!AA34</f>
        <v>1.7188157329371556</v>
      </c>
      <c r="M29" s="799">
        <f>'DIY Grundmodell'!AB34</f>
        <v>1.7188157329371556</v>
      </c>
      <c r="N29" s="800">
        <f>'DIY Grundmodell'!AC34</f>
        <v>0.66470722100299839</v>
      </c>
      <c r="O29" s="800">
        <f>'DIY Grundmodell'!AD34</f>
        <v>1.2196608580603687</v>
      </c>
      <c r="P29" s="86"/>
      <c r="Q29" s="86"/>
      <c r="AD29" s="86"/>
      <c r="AE29" s="86"/>
      <c r="AF29" s="988">
        <f>'DIY Grundmodell'!R116</f>
        <v>45058</v>
      </c>
      <c r="AG29" s="89">
        <f>'DIY Grundmodell'!S116</f>
        <v>233.81</v>
      </c>
      <c r="AH29" s="54">
        <f>'DIY Grundmodell'!T116</f>
        <v>3778.7086300000001</v>
      </c>
      <c r="AI29" s="89">
        <f>'DIY Grundmodell'!U116</f>
        <v>233.81</v>
      </c>
      <c r="AJ29" s="89">
        <f>'DIY Grundmodell'!V116</f>
        <v>3778.7086300000001</v>
      </c>
      <c r="AK29" s="989"/>
      <c r="AL29" s="33">
        <f>'DIY Grundmodell'!X116</f>
        <v>4124.0810199999996</v>
      </c>
    </row>
    <row r="30" spans="2:38" s="31" customFormat="1" ht="14.1" customHeight="1" x14ac:dyDescent="0.45">
      <c r="B30" s="40" t="str">
        <f>'DIY Grundmodell'!Q35</f>
        <v>FCFF</v>
      </c>
      <c r="C30" s="787"/>
      <c r="D30" s="599">
        <f>'DIY Grundmodell'!S35</f>
        <v>4016.3475008569221</v>
      </c>
      <c r="E30" s="599">
        <f>'DIY Grundmodell'!T35</f>
        <v>4421.3736715825944</v>
      </c>
      <c r="F30" s="599">
        <f>'DIY Grundmodell'!U35</f>
        <v>18247.021511014449</v>
      </c>
      <c r="G30" s="599">
        <f>'DIY Grundmodell'!V35</f>
        <v>39104.170987284429</v>
      </c>
      <c r="H30" s="599">
        <f>'DIY Grundmodell'!W35</f>
        <v>47880.586189802278</v>
      </c>
      <c r="I30" s="599">
        <f>'DIY Grundmodell'!X35</f>
        <v>83819.784424866055</v>
      </c>
      <c r="J30" s="599">
        <f>'DIY Grundmodell'!Y35</f>
        <v>91175.717235375239</v>
      </c>
      <c r="K30" s="599">
        <f>'DIY Grundmodell'!Z35</f>
        <v>108499.15144403614</v>
      </c>
      <c r="L30" s="599">
        <f>'DIY Grundmodell'!AA35</f>
        <v>120459.04831279335</v>
      </c>
      <c r="M30" s="599">
        <f>'DIY Grundmodell'!AB35</f>
        <v>124850.9768733269</v>
      </c>
      <c r="N30" s="796">
        <f>'DIY Grundmodell'!AC35</f>
        <v>107116.88386961428</v>
      </c>
      <c r="O30" s="796">
        <f>'DIY Grundmodell'!AD35</f>
        <v>65850.185307334163</v>
      </c>
      <c r="P30" s="86"/>
      <c r="Q30" s="86"/>
      <c r="R30" s="7"/>
      <c r="S30" s="7"/>
      <c r="T30" s="7"/>
      <c r="U30" s="7"/>
      <c r="V30" s="7"/>
      <c r="W30" s="7"/>
      <c r="X30" s="7"/>
      <c r="Y30" s="7"/>
      <c r="Z30" s="7"/>
      <c r="AA30" s="7"/>
      <c r="AB30" s="7"/>
      <c r="AC30" s="7"/>
      <c r="AD30" s="86"/>
      <c r="AE30" s="86"/>
      <c r="AF30" s="988">
        <f>'DIY Grundmodell'!R117</f>
        <v>45059</v>
      </c>
      <c r="AG30" s="89" t="e">
        <f>'DIY Grundmodell'!S117</f>
        <v>#N/A</v>
      </c>
      <c r="AH30" s="54" t="e">
        <f>'DIY Grundmodell'!T117</f>
        <v>#N/A</v>
      </c>
      <c r="AI30" s="89">
        <f>'DIY Grundmodell'!U117</f>
        <v>233.81</v>
      </c>
      <c r="AJ30" s="89">
        <f>'DIY Grundmodell'!V117</f>
        <v>0</v>
      </c>
      <c r="AK30" s="989"/>
      <c r="AL30" s="33">
        <f>'DIY Grundmodell'!X117</f>
        <v>4124.0810199999996</v>
      </c>
    </row>
    <row r="31" spans="2:38" ht="14.1" customHeight="1" collapsed="1" x14ac:dyDescent="0.45">
      <c r="B31" s="73" t="str">
        <f>'DIY Grundmodell'!Q36</f>
        <v>R-Rate</v>
      </c>
      <c r="C31" s="785"/>
      <c r="D31" s="784">
        <f>'DIY Grundmodell'!S36</f>
        <v>0.94244040786008509</v>
      </c>
      <c r="E31" s="784">
        <f>'DIY Grundmodell'!T36</f>
        <v>0.94244040786008521</v>
      </c>
      <c r="F31" s="784">
        <f>'DIY Grundmodell'!U36</f>
        <v>0.77843560152323699</v>
      </c>
      <c r="G31" s="784">
        <f>'DIY Grundmodell'!V36</f>
        <v>0.56653600437798057</v>
      </c>
      <c r="H31" s="784">
        <f>'DIY Grundmodell'!W36</f>
        <v>0.51274629762457291</v>
      </c>
      <c r="I31" s="784">
        <f>'DIY Grundmodell'!X36</f>
        <v>0.21586965876607608</v>
      </c>
      <c r="J31" s="784">
        <f>'DIY Grundmodell'!Y36</f>
        <v>0.21688552360829272</v>
      </c>
      <c r="K31" s="784">
        <f>'DIY Grundmodell'!Z36</f>
        <v>0.14390490312671897</v>
      </c>
      <c r="L31" s="784">
        <f>'DIY Grundmodell'!AA36</f>
        <v>0.10029261924648851</v>
      </c>
      <c r="M31" s="784">
        <f>'DIY Grundmodell'!AB36</f>
        <v>0.10088020276262612</v>
      </c>
      <c r="N31" s="795">
        <f>'DIY Grundmodell'!AC36</f>
        <v>0.26085842634393408</v>
      </c>
      <c r="O31" s="795">
        <f>'DIY Grundmodell'!AD36</f>
        <v>0.36481591061643281</v>
      </c>
      <c r="P31" s="86"/>
      <c r="Q31" s="86"/>
      <c r="AD31" s="86"/>
      <c r="AE31" s="86"/>
      <c r="AF31" s="988">
        <f>'DIY Grundmodell'!R118</f>
        <v>45060</v>
      </c>
      <c r="AG31" s="89" t="e">
        <f>'DIY Grundmodell'!S118</f>
        <v>#N/A</v>
      </c>
      <c r="AH31" s="54" t="e">
        <f>'DIY Grundmodell'!T118</f>
        <v>#N/A</v>
      </c>
      <c r="AI31" s="89">
        <f>'DIY Grundmodell'!U118</f>
        <v>233.81</v>
      </c>
      <c r="AJ31" s="89">
        <f>'DIY Grundmodell'!V118</f>
        <v>0</v>
      </c>
      <c r="AK31" s="989"/>
      <c r="AL31" s="33">
        <f>'DIY Grundmodell'!X118</f>
        <v>4124.0810199999996</v>
      </c>
    </row>
    <row r="32" spans="2:38" s="31" customFormat="1" ht="14.1" customHeight="1" x14ac:dyDescent="0.45">
      <c r="B32" s="73" t="str">
        <f>'DIY Grundmodell'!Q37</f>
        <v>ROCE</v>
      </c>
      <c r="C32" s="785"/>
      <c r="D32" s="784">
        <f>'DIY Grundmodell'!S37</f>
        <v>0.28916248094097335</v>
      </c>
      <c r="E32" s="784">
        <f>'DIY Grundmodell'!T37</f>
        <v>0.24530206867454502</v>
      </c>
      <c r="F32" s="784">
        <f>'DIY Grundmodell'!U37</f>
        <v>0.22396807412199451</v>
      </c>
      <c r="G32" s="784">
        <f>'DIY Grundmodell'!V37</f>
        <v>0.21639817696321487</v>
      </c>
      <c r="H32" s="784">
        <f>'DIY Grundmodell'!W37</f>
        <v>0.21043678938196173</v>
      </c>
      <c r="I32" s="784">
        <f>'DIY Grundmodell'!X37</f>
        <v>0.21849307083352659</v>
      </c>
      <c r="J32" s="784">
        <f>'DIY Grundmodell'!Y37</f>
        <v>0.11</v>
      </c>
      <c r="K32" s="784">
        <f>'DIY Grundmodell'!Z37</f>
        <v>0.23799371695152932</v>
      </c>
      <c r="L32" s="784">
        <f>'DIY Grundmodell'!AA37</f>
        <v>0.2452666117994084</v>
      </c>
      <c r="M32" s="784">
        <f>'DIY Grundmodell'!AB37</f>
        <v>0.24800769714019108</v>
      </c>
      <c r="N32" s="795">
        <f>'DIY Grundmodell'!AC37</f>
        <v>0.24236451695452566</v>
      </c>
      <c r="O32" s="795">
        <f>'DIY Grundmodell'!AD37</f>
        <v>0.23098089553676193</v>
      </c>
      <c r="P32" s="86"/>
      <c r="Q32" s="86"/>
      <c r="R32" s="7"/>
      <c r="S32" s="7"/>
      <c r="T32" s="7"/>
      <c r="U32" s="7"/>
      <c r="V32" s="7"/>
      <c r="W32" s="7"/>
      <c r="X32" s="7"/>
      <c r="Y32" s="7"/>
      <c r="Z32" s="7"/>
      <c r="AA32" s="7"/>
      <c r="AB32" s="7"/>
      <c r="AC32" s="7"/>
      <c r="AD32" s="86"/>
      <c r="AE32" s="86"/>
      <c r="AF32" s="988">
        <f>'DIY Grundmodell'!R119</f>
        <v>45061</v>
      </c>
      <c r="AG32" s="89">
        <f>'DIY Grundmodell'!S119</f>
        <v>238.86</v>
      </c>
      <c r="AH32" s="54">
        <f>'DIY Grundmodell'!T119</f>
        <v>4933.2305200000001</v>
      </c>
      <c r="AI32" s="89">
        <f>'DIY Grundmodell'!U119</f>
        <v>238.86</v>
      </c>
      <c r="AJ32" s="89">
        <f>'DIY Grundmodell'!V119</f>
        <v>4933.2305200000001</v>
      </c>
      <c r="AK32" s="989"/>
      <c r="AL32" s="33">
        <f>'DIY Grundmodell'!X119</f>
        <v>4136.2842099999998</v>
      </c>
    </row>
    <row r="33" spans="2:38" ht="14.1" customHeight="1" thickBot="1" x14ac:dyDescent="0.5">
      <c r="B33" s="48" t="str">
        <f>'DIY Grundmodell'!Q38</f>
        <v>WACC</v>
      </c>
      <c r="C33" s="785"/>
      <c r="D33" s="784">
        <f>'DIY Grundmodell'!S38</f>
        <v>9.2426411680227527E-2</v>
      </c>
      <c r="E33" s="784">
        <f>'DIY Grundmodell'!T38</f>
        <v>9.1069916725427622E-2</v>
      </c>
      <c r="F33" s="784">
        <f>'DIY Grundmodell'!U38</f>
        <v>8.9713421770627716E-2</v>
      </c>
      <c r="G33" s="784">
        <f>'DIY Grundmodell'!V38</f>
        <v>8.8356926815827824E-2</v>
      </c>
      <c r="H33" s="784">
        <f>'DIY Grundmodell'!W38</f>
        <v>8.7000431861027919E-2</v>
      </c>
      <c r="I33" s="784">
        <f>'DIY Grundmodell'!X38</f>
        <v>8.5643936906228013E-2</v>
      </c>
      <c r="J33" s="784">
        <f>'DIY Grundmodell'!Y38</f>
        <v>8.4287441951428121E-2</v>
      </c>
      <c r="K33" s="784">
        <f>'DIY Grundmodell'!Z38</f>
        <v>8.2930946996628216E-2</v>
      </c>
      <c r="L33" s="784">
        <f>'DIY Grundmodell'!AA38</f>
        <v>8.2561386573167916E-2</v>
      </c>
      <c r="M33" s="784">
        <f>'DIY Grundmodell'!AB38</f>
        <v>8.2953038675466398E-2</v>
      </c>
      <c r="N33" s="801">
        <f>'DIY Grundmodell'!AC38</f>
        <v>8.2953038675466398E-2</v>
      </c>
      <c r="O33" s="801">
        <f>'DIY Grundmodell'!AD38</f>
        <v>8.6322184383627959E-2</v>
      </c>
      <c r="P33" s="86"/>
      <c r="Q33" s="86"/>
      <c r="AD33" s="86"/>
      <c r="AE33" s="86"/>
      <c r="AF33" s="988">
        <f>'DIY Grundmodell'!R120</f>
        <v>45062</v>
      </c>
      <c r="AG33" s="89">
        <f>'DIY Grundmodell'!S120</f>
        <v>238.82</v>
      </c>
      <c r="AH33" s="54">
        <f>'DIY Grundmodell'!T120</f>
        <v>4337.8715499999998</v>
      </c>
      <c r="AI33" s="89">
        <f>'DIY Grundmodell'!U120</f>
        <v>238.82</v>
      </c>
      <c r="AJ33" s="89">
        <f>'DIY Grundmodell'!V120</f>
        <v>4337.8715499999998</v>
      </c>
      <c r="AK33" s="989"/>
      <c r="AL33" s="33">
        <f>'DIY Grundmodell'!X120</f>
        <v>4109.8970099999997</v>
      </c>
    </row>
    <row r="34" spans="2:38" ht="14.1" customHeight="1" x14ac:dyDescent="0.45">
      <c r="B34" s="40" t="str">
        <f>'DIY Grundmodell'!Q39</f>
        <v>PV TV</v>
      </c>
      <c r="C34" s="787">
        <f>'DIY Grundmodell'!R39</f>
        <v>1173369.2511902978</v>
      </c>
      <c r="D34" s="599">
        <f>'DIY Grundmodell'!S39</f>
        <v>1281819.5606537326</v>
      </c>
      <c r="E34" s="599">
        <f>'DIY Grundmodell'!T39</f>
        <v>1398554.7612994923</v>
      </c>
      <c r="F34" s="599">
        <f>'DIY Grundmodell'!U39</f>
        <v>1524023.8944692733</v>
      </c>
      <c r="G34" s="599">
        <f>'DIY Grundmodell'!V39</f>
        <v>1658681.9621784675</v>
      </c>
      <c r="H34" s="599">
        <f>'DIY Grundmodell'!W39</f>
        <v>1802988.0092080915</v>
      </c>
      <c r="I34" s="599">
        <f>'DIY Grundmodell'!X39</f>
        <v>1957403.000511395</v>
      </c>
      <c r="J34" s="599">
        <f>'DIY Grundmodell'!Y39</f>
        <v>2122387.4922925504</v>
      </c>
      <c r="K34" s="599">
        <f>'DIY Grundmodell'!Z39</f>
        <v>2298399.0969221704</v>
      </c>
      <c r="L34" s="599">
        <f>'DIY Grundmodell'!AA39</f>
        <v>2488158.1132625816</v>
      </c>
      <c r="M34" s="802">
        <f>'DIY Grundmodell'!AB39</f>
        <v>2694558.3894627281</v>
      </c>
      <c r="N34" s="131" t="str">
        <f>'DIY Grundmodell'!AC39</f>
        <v>= Terminal Value</v>
      </c>
      <c r="O34" s="132">
        <f>'DIY Grundmodell'!AD39</f>
        <v>0</v>
      </c>
      <c r="P34" s="86"/>
      <c r="Q34" s="86"/>
      <c r="AD34" s="86"/>
      <c r="AE34" s="86"/>
      <c r="AF34" s="988">
        <f>'DIY Grundmodell'!R121</f>
        <v>45063</v>
      </c>
      <c r="AG34" s="89">
        <f>'DIY Grundmodell'!S121</f>
        <v>242.48500000000001</v>
      </c>
      <c r="AH34" s="54">
        <f>'DIY Grundmodell'!T121</f>
        <v>5139.0039999999999</v>
      </c>
      <c r="AI34" s="89">
        <f>'DIY Grundmodell'!U121</f>
        <v>242.48500000000001</v>
      </c>
      <c r="AJ34" s="89">
        <f>'DIY Grundmodell'!V121</f>
        <v>5139.0039999999999</v>
      </c>
      <c r="AK34" s="989"/>
      <c r="AL34" s="33">
        <f>'DIY Grundmodell'!X121</f>
        <v>4158.7707700000001</v>
      </c>
    </row>
    <row r="35" spans="2:38" ht="14.1" customHeight="1" collapsed="1" x14ac:dyDescent="0.45">
      <c r="B35" s="40" t="str">
        <f>'DIY Grundmodell'!Q40</f>
        <v>PV FCFF</v>
      </c>
      <c r="C35" s="787">
        <f>'DIY Grundmodell'!R40</f>
        <v>356474.3078078382</v>
      </c>
      <c r="D35" s="599">
        <f>'DIY Grundmodell'!S40</f>
        <v>3676.5382619040683</v>
      </c>
      <c r="E35" s="599">
        <f>'DIY Grundmodell'!T40</f>
        <v>3714.0868741635572</v>
      </c>
      <c r="F35" s="599">
        <f>'DIY Grundmodell'!U40</f>
        <v>14101.167906972312</v>
      </c>
      <c r="G35" s="599">
        <f>'DIY Grundmodell'!V40</f>
        <v>27870.046966448161</v>
      </c>
      <c r="H35" s="599">
        <f>'DIY Grundmodell'!W40</f>
        <v>31550.836317855392</v>
      </c>
      <c r="I35" s="599">
        <f>'DIY Grundmodell'!X40</f>
        <v>51194.35456247293</v>
      </c>
      <c r="J35" s="599">
        <f>'DIY Grundmodell'!Y40</f>
        <v>51744.976409110001</v>
      </c>
      <c r="K35" s="599">
        <f>'DIY Grundmodell'!Z40</f>
        <v>57361.463547528183</v>
      </c>
      <c r="L35" s="599">
        <f>'DIY Grundmodell'!AA40</f>
        <v>58988.402701681269</v>
      </c>
      <c r="M35" s="599">
        <f>'DIY Grundmodell'!AB40</f>
        <v>56272.434259702364</v>
      </c>
      <c r="N35" s="736" t="str">
        <f>'DIY Grundmodell'!AC40</f>
        <v>R-Rate</v>
      </c>
      <c r="O35" s="52">
        <f>'DIY Grundmodell'!AD40</f>
        <v>0.26085842634393408</v>
      </c>
      <c r="P35" s="86"/>
      <c r="Q35" s="86"/>
      <c r="AD35" s="86"/>
      <c r="AE35" s="86"/>
      <c r="AF35" s="988">
        <f>'DIY Grundmodell'!R122</f>
        <v>45064</v>
      </c>
      <c r="AG35" s="89">
        <f>'DIY Grundmodell'!S122</f>
        <v>246.85</v>
      </c>
      <c r="AH35" s="54">
        <f>'DIY Grundmodell'!T122</f>
        <v>5663.5536099999999</v>
      </c>
      <c r="AI35" s="89">
        <f>'DIY Grundmodell'!U122</f>
        <v>246.85</v>
      </c>
      <c r="AJ35" s="89">
        <f>'DIY Grundmodell'!V122</f>
        <v>5663.5536099999999</v>
      </c>
      <c r="AK35" s="989"/>
      <c r="AL35" s="33">
        <f>'DIY Grundmodell'!X122</f>
        <v>4198.0509499999998</v>
      </c>
    </row>
    <row r="36" spans="2:38" s="31" customFormat="1" ht="14.1" customHeight="1" x14ac:dyDescent="0.45">
      <c r="B36" s="40" t="str">
        <f>'DIY Grundmodell'!Q41</f>
        <v>TEV</v>
      </c>
      <c r="C36" s="787">
        <f>'DIY Grundmodell'!R41</f>
        <v>1529843.5589981358</v>
      </c>
      <c r="D36" s="599">
        <f>'DIY Grundmodell'!S41</f>
        <v>1657393.7151045031</v>
      </c>
      <c r="E36" s="599">
        <f>'DIY Grundmodell'!T41</f>
        <v>1803911.0490487346</v>
      </c>
      <c r="F36" s="599">
        <f>'DIY Grundmodell'!U41</f>
        <v>1947499.0603177249</v>
      </c>
      <c r="G36" s="599">
        <f>'DIY Grundmodell'!V41</f>
        <v>2080469.9212768269</v>
      </c>
      <c r="H36" s="599">
        <f>'DIY Grundmodell'!W41</f>
        <v>2213591.1167119872</v>
      </c>
      <c r="I36" s="599">
        <f>'DIY Grundmodell'!X41</f>
        <v>2319351.9902229896</v>
      </c>
      <c r="J36" s="599">
        <f>'DIY Grundmodell'!Y41</f>
        <v>2423668.519228464</v>
      </c>
      <c r="K36" s="599">
        <f>'DIY Grundmodell'!Z41</f>
        <v>2516166.4932899596</v>
      </c>
      <c r="L36" s="599">
        <f>'DIY Grundmodell'!AA41</f>
        <v>2603445.639512131</v>
      </c>
      <c r="M36" s="599">
        <f>'DIY Grundmodell'!AB41</f>
        <v>2694558.3894627281</v>
      </c>
      <c r="N36" s="736" t="str">
        <f>'DIY Grundmodell'!AC41</f>
        <v>"g"=i(rf)</v>
      </c>
      <c r="O36" s="52">
        <f>'DIY Grundmodell'!AD41</f>
        <v>4.3200000000000002E-2</v>
      </c>
      <c r="P36" s="7"/>
      <c r="Q36" s="7"/>
      <c r="R36" s="7"/>
      <c r="S36" s="7"/>
      <c r="T36" s="7"/>
      <c r="U36" s="7"/>
      <c r="V36" s="7"/>
      <c r="W36" s="7"/>
      <c r="X36" s="7"/>
      <c r="Y36" s="7"/>
      <c r="Z36" s="7"/>
      <c r="AA36" s="7"/>
      <c r="AB36" s="7"/>
      <c r="AC36" s="7"/>
      <c r="AD36" s="7"/>
      <c r="AE36" s="7"/>
      <c r="AF36" s="988">
        <f>'DIY Grundmodell'!R123</f>
        <v>45065</v>
      </c>
      <c r="AG36" s="89">
        <f>'DIY Grundmodell'!S123</f>
        <v>245.64</v>
      </c>
      <c r="AH36" s="54">
        <f>'DIY Grundmodell'!T123</f>
        <v>5338.6365900000001</v>
      </c>
      <c r="AI36" s="89">
        <f>'DIY Grundmodell'!U123</f>
        <v>245.64</v>
      </c>
      <c r="AJ36" s="89">
        <f>'DIY Grundmodell'!V123</f>
        <v>5338.6365900000001</v>
      </c>
      <c r="AK36" s="989"/>
      <c r="AL36" s="33">
        <f>'DIY Grundmodell'!X123</f>
        <v>4191.9797900000003</v>
      </c>
    </row>
    <row r="37" spans="2:38" s="31" customFormat="1" ht="14.1" customHeight="1" x14ac:dyDescent="0.45">
      <c r="B37" s="40" t="str">
        <f>'DIY Grundmodell'!Q42</f>
        <v>TEV/EBIT</v>
      </c>
      <c r="C37" s="803">
        <f>'DIY Grundmodell'!R42</f>
        <v>13.95606797451344</v>
      </c>
      <c r="D37" s="804">
        <f>'DIY Grundmodell'!S42</f>
        <v>16.536363973178581</v>
      </c>
      <c r="E37" s="804">
        <f>'DIY Grundmodell'!T42</f>
        <v>16.114943479616954</v>
      </c>
      <c r="F37" s="804">
        <f>'DIY Grundmodell'!U42</f>
        <v>15.647144202046237</v>
      </c>
      <c r="G37" s="804">
        <f>'DIY Grundmodell'!V42</f>
        <v>15.234282700888709</v>
      </c>
      <c r="H37" s="804">
        <f>'DIY Grundmodell'!W42</f>
        <v>14.961699067687778</v>
      </c>
      <c r="I37" s="804">
        <f>'DIY Grundmodell'!X42</f>
        <v>14.677496634958995</v>
      </c>
      <c r="J37" s="804">
        <f>'DIY Grundmodell'!Y42</f>
        <v>14.382465963940261</v>
      </c>
      <c r="K37" s="804">
        <f>'DIY Grundmodell'!Z42</f>
        <v>14.077423344109596</v>
      </c>
      <c r="L37" s="804">
        <f>'DIY Grundmodell'!AA42</f>
        <v>14.191822181947311</v>
      </c>
      <c r="M37" s="804">
        <f>'DIY Grundmodell'!AB42</f>
        <v>14.576381271790043</v>
      </c>
      <c r="N37" s="737" t="str">
        <f>'DIY Grundmodell'!AC42</f>
        <v>TV = FCFF/(wacc-g)</v>
      </c>
      <c r="O37" s="133"/>
      <c r="P37" s="7"/>
      <c r="Q37" s="7"/>
      <c r="R37" s="7"/>
      <c r="S37" s="7"/>
      <c r="T37" s="7"/>
      <c r="U37" s="7"/>
      <c r="V37" s="7"/>
      <c r="W37" s="7"/>
      <c r="X37" s="7"/>
      <c r="Y37" s="7"/>
      <c r="Z37" s="7"/>
      <c r="AA37" s="7"/>
      <c r="AB37" s="7"/>
      <c r="AC37" s="7"/>
      <c r="AD37" s="7"/>
      <c r="AE37" s="7"/>
      <c r="AF37" s="988">
        <f>'DIY Grundmodell'!R124</f>
        <v>45066</v>
      </c>
      <c r="AG37" s="89" t="e">
        <f>'DIY Grundmodell'!S124</f>
        <v>#N/A</v>
      </c>
      <c r="AH37" s="54" t="e">
        <f>'DIY Grundmodell'!T124</f>
        <v>#N/A</v>
      </c>
      <c r="AI37" s="89">
        <f>'DIY Grundmodell'!U124</f>
        <v>245.64</v>
      </c>
      <c r="AJ37" s="89">
        <f>'DIY Grundmodell'!V124</f>
        <v>0</v>
      </c>
      <c r="AK37" s="989"/>
      <c r="AL37" s="33">
        <f>'DIY Grundmodell'!X124</f>
        <v>4191.9797900000003</v>
      </c>
    </row>
    <row r="38" spans="2:38" ht="14.1" customHeight="1" x14ac:dyDescent="0.45">
      <c r="B38" s="55" t="str">
        <f>'DIY Grundmodell'!Q43</f>
        <v>Unternehmenswert schuldenfrei</v>
      </c>
      <c r="C38" s="56"/>
      <c r="D38" s="56"/>
      <c r="E38" s="802">
        <f>'DIY Grundmodell'!T43</f>
        <v>1529843.5589981358</v>
      </c>
      <c r="F38" s="1138" t="str">
        <f>'DIY Grundmodell'!U43</f>
        <v>Kapitalkosten USD</v>
      </c>
      <c r="G38" s="1139"/>
      <c r="H38" s="57" t="s">
        <v>235</v>
      </c>
      <c r="I38" s="57"/>
      <c r="J38" s="57"/>
      <c r="K38" s="57"/>
      <c r="L38" s="57"/>
      <c r="M38" s="57"/>
      <c r="N38" s="57"/>
      <c r="O38" s="58"/>
      <c r="AF38" s="988">
        <f>'DIY Grundmodell'!R125</f>
        <v>45067</v>
      </c>
      <c r="AG38" s="89" t="e">
        <f>'DIY Grundmodell'!S125</f>
        <v>#N/A</v>
      </c>
      <c r="AH38" s="54" t="e">
        <f>'DIY Grundmodell'!T125</f>
        <v>#N/A</v>
      </c>
      <c r="AI38" s="89">
        <f>'DIY Grundmodell'!U125</f>
        <v>245.64</v>
      </c>
      <c r="AJ38" s="89">
        <f>'DIY Grundmodell'!V125</f>
        <v>0</v>
      </c>
      <c r="AK38" s="989"/>
      <c r="AL38" s="33">
        <f>'DIY Grundmodell'!X125</f>
        <v>4191.9797900000003</v>
      </c>
    </row>
    <row r="39" spans="2:38" ht="14.1" customHeight="1" x14ac:dyDescent="0.45">
      <c r="B39" s="10" t="str">
        <f>'DIY Grundmodell'!Q44</f>
        <v>Liquide Mittel</v>
      </c>
      <c r="C39" s="30"/>
      <c r="D39" s="30"/>
      <c r="E39" s="781">
        <f>'DIY Grundmodell'!T44</f>
        <v>81592</v>
      </c>
      <c r="F39" s="10" t="str">
        <f>'DIY Grundmodell'!U44</f>
        <v>i (rf)</v>
      </c>
      <c r="G39" s="473">
        <f>'DIY Grundmodell'!V44</f>
        <v>4.3200000000000002E-2</v>
      </c>
      <c r="H39" s="1140" t="s">
        <v>264</v>
      </c>
      <c r="I39" s="1140"/>
      <c r="J39" s="1140"/>
      <c r="K39" s="1140"/>
      <c r="L39" s="1140"/>
      <c r="M39" s="1140"/>
      <c r="N39" s="1140"/>
      <c r="O39" s="1176"/>
      <c r="P39" s="51"/>
      <c r="Q39" s="51"/>
      <c r="AD39" s="51"/>
      <c r="AE39" s="51"/>
      <c r="AF39" s="988">
        <f>'DIY Grundmodell'!R126</f>
        <v>45068</v>
      </c>
      <c r="AG39" s="89">
        <f>'DIY Grundmodell'!S126</f>
        <v>248.32</v>
      </c>
      <c r="AH39" s="54">
        <f>'DIY Grundmodell'!T126</f>
        <v>6888.0193499999996</v>
      </c>
      <c r="AI39" s="89">
        <f>'DIY Grundmodell'!U126</f>
        <v>248.32</v>
      </c>
      <c r="AJ39" s="89">
        <f>'DIY Grundmodell'!V126</f>
        <v>6888.0193499999996</v>
      </c>
      <c r="AK39" s="989"/>
      <c r="AL39" s="33">
        <f>'DIY Grundmodell'!X126</f>
        <v>4192.6306999999997</v>
      </c>
    </row>
    <row r="40" spans="2:38" ht="14.1" customHeight="1" x14ac:dyDescent="0.45">
      <c r="B40" s="10" t="str">
        <f>'DIY Grundmodell'!Q45</f>
        <v>Handelbare langfristige Wertpapiere</v>
      </c>
      <c r="C40" s="30"/>
      <c r="D40" s="30"/>
      <c r="E40" s="781">
        <f>'DIY Grundmodell'!T45</f>
        <v>0</v>
      </c>
      <c r="F40" s="10" t="str">
        <f>'DIY Grundmodell'!U45</f>
        <v>ERP adj.</v>
      </c>
      <c r="G40" s="473">
        <f>'DIY Grundmodell'!V45</f>
        <v>6.6912423369693594E-2</v>
      </c>
      <c r="H40" s="1140"/>
      <c r="I40" s="1140"/>
      <c r="J40" s="1140"/>
      <c r="K40" s="1140"/>
      <c r="L40" s="1140"/>
      <c r="M40" s="1140"/>
      <c r="N40" s="1140"/>
      <c r="O40" s="1176"/>
      <c r="P40" s="51"/>
      <c r="Q40" s="51"/>
      <c r="AD40" s="51"/>
      <c r="AE40" s="51"/>
      <c r="AF40" s="988">
        <f>'DIY Grundmodell'!R127</f>
        <v>45069</v>
      </c>
      <c r="AG40" s="89">
        <f>'DIY Grundmodell'!S127</f>
        <v>246.74</v>
      </c>
      <c r="AH40" s="54">
        <f>'DIY Grundmodell'!T127</f>
        <v>4379.1711299999997</v>
      </c>
      <c r="AI40" s="89">
        <f>'DIY Grundmodell'!U127</f>
        <v>246.74</v>
      </c>
      <c r="AJ40" s="89">
        <f>'DIY Grundmodell'!V127</f>
        <v>4379.1711299999997</v>
      </c>
      <c r="AK40" s="989"/>
      <c r="AL40" s="33">
        <f>'DIY Grundmodell'!X127</f>
        <v>4145.5751899999996</v>
      </c>
    </row>
    <row r="41" spans="2:38" ht="14.1" customHeight="1" x14ac:dyDescent="0.45">
      <c r="B41" s="10" t="str">
        <f>'DIY Grundmodell'!Q46</f>
        <v>(Marktwert) Fremdkapital</v>
      </c>
      <c r="C41" s="30"/>
      <c r="D41" s="30"/>
      <c r="E41" s="781">
        <f>'DIY Grundmodell'!T46</f>
        <v>-96862.515253533027</v>
      </c>
      <c r="F41" s="10" t="str">
        <f>'DIY Grundmodell'!U46</f>
        <v>Beta</v>
      </c>
      <c r="G41" s="442">
        <f>'DIY Grundmodell'!V46</f>
        <v>0.8</v>
      </c>
      <c r="H41" s="1140"/>
      <c r="I41" s="1140"/>
      <c r="J41" s="1140"/>
      <c r="K41" s="1140"/>
      <c r="L41" s="1140"/>
      <c r="M41" s="1140"/>
      <c r="N41" s="1140"/>
      <c r="O41" s="1176"/>
      <c r="P41" s="51" t="s">
        <v>24</v>
      </c>
      <c r="Q41" s="51"/>
      <c r="AD41" s="51"/>
      <c r="AE41" s="51"/>
      <c r="AF41" s="988">
        <f>'DIY Grundmodell'!R128</f>
        <v>45070</v>
      </c>
      <c r="AG41" s="89">
        <f>'DIY Grundmodell'!S128</f>
        <v>249.21</v>
      </c>
      <c r="AH41" s="54">
        <f>'DIY Grundmodell'!T128</f>
        <v>4417.08277</v>
      </c>
      <c r="AI41" s="89">
        <f>'DIY Grundmodell'!U128</f>
        <v>249.21</v>
      </c>
      <c r="AJ41" s="89">
        <f>'DIY Grundmodell'!V128</f>
        <v>4417.08277</v>
      </c>
      <c r="AK41" s="989"/>
      <c r="AL41" s="33">
        <f>'DIY Grundmodell'!X128</f>
        <v>4115.2385700000004</v>
      </c>
    </row>
    <row r="42" spans="2:38" ht="14.1" customHeight="1" x14ac:dyDescent="0.45">
      <c r="B42" s="10" t="str">
        <f>'DIY Grundmodell'!Q47</f>
        <v>Finanzforderungen</v>
      </c>
      <c r="C42" s="30"/>
      <c r="D42" s="30"/>
      <c r="E42" s="781">
        <f>'DIY Grundmodell'!T47</f>
        <v>0</v>
      </c>
      <c r="F42" s="10" t="str">
        <f>'DIY Grundmodell'!U47</f>
        <v>Aufschlag</v>
      </c>
      <c r="G42" s="473">
        <f>'DIY Grundmodell'!V47</f>
        <v>0</v>
      </c>
      <c r="H42" s="1140"/>
      <c r="I42" s="1140"/>
      <c r="J42" s="1140"/>
      <c r="K42" s="1140"/>
      <c r="L42" s="1140"/>
      <c r="M42" s="1140"/>
      <c r="N42" s="1140"/>
      <c r="O42" s="1176"/>
      <c r="P42" s="51"/>
      <c r="Q42" s="51"/>
      <c r="AD42" s="51"/>
      <c r="AE42" s="51"/>
      <c r="AF42" s="988">
        <f>'DIY Grundmodell'!R129</f>
        <v>45071</v>
      </c>
      <c r="AG42" s="89">
        <f>'DIY Grundmodell'!S129</f>
        <v>252.69</v>
      </c>
      <c r="AH42" s="54">
        <f>'DIY Grundmodell'!T129</f>
        <v>5653.03917</v>
      </c>
      <c r="AI42" s="89">
        <f>'DIY Grundmodell'!U129</f>
        <v>252.69</v>
      </c>
      <c r="AJ42" s="89">
        <f>'DIY Grundmodell'!V129</f>
        <v>5653.03917</v>
      </c>
      <c r="AK42" s="989"/>
      <c r="AL42" s="33">
        <f>'DIY Grundmodell'!X129</f>
        <v>4151.2798700000003</v>
      </c>
    </row>
    <row r="43" spans="2:38" ht="14.1" customHeight="1" x14ac:dyDescent="0.45">
      <c r="B43" s="10" t="str">
        <f>'DIY Grundmodell'!Q48</f>
        <v>Anteile Minderheitsgesellschafter</v>
      </c>
      <c r="C43" s="30"/>
      <c r="D43" s="30"/>
      <c r="E43" s="781">
        <f>'DIY Grundmodell'!T48</f>
        <v>0</v>
      </c>
      <c r="F43" s="10" t="str">
        <f>'DIY Grundmodell'!U48</f>
        <v>i EK</v>
      </c>
      <c r="G43" s="473">
        <f>'DIY Grundmodell'!V48</f>
        <v>9.6729938695754886E-2</v>
      </c>
      <c r="H43" s="1140"/>
      <c r="I43" s="1140"/>
      <c r="J43" s="1140"/>
      <c r="K43" s="1140"/>
      <c r="L43" s="1140"/>
      <c r="M43" s="1140"/>
      <c r="N43" s="1140"/>
      <c r="O43" s="1176"/>
      <c r="AF43" s="988">
        <f>'DIY Grundmodell'!R130</f>
        <v>45072</v>
      </c>
      <c r="AG43" s="89">
        <f>'DIY Grundmodell'!S130</f>
        <v>262.04000000000002</v>
      </c>
      <c r="AH43" s="54">
        <f>'DIY Grundmodell'!T130</f>
        <v>6752.4196700000002</v>
      </c>
      <c r="AI43" s="89">
        <f>'DIY Grundmodell'!U130</f>
        <v>262.04000000000002</v>
      </c>
      <c r="AJ43" s="89">
        <f>'DIY Grundmodell'!V130</f>
        <v>6752.4196700000002</v>
      </c>
      <c r="AK43" s="989"/>
      <c r="AL43" s="33">
        <f>'DIY Grundmodell'!X130</f>
        <v>4205.4525299999996</v>
      </c>
    </row>
    <row r="44" spans="2:38" ht="14.1" customHeight="1" x14ac:dyDescent="0.45">
      <c r="B44" s="10" t="str">
        <f>'DIY Grundmodell'!Q49</f>
        <v>Langfristige Passive Abgrenzungen / Sonstiges</v>
      </c>
      <c r="C44" s="30"/>
      <c r="D44" s="30"/>
      <c r="E44" s="781">
        <f>'DIY Grundmodell'!T49</f>
        <v>0</v>
      </c>
      <c r="F44" s="10" t="str">
        <f>'DIY Grundmodell'!U49</f>
        <v>i FK</v>
      </c>
      <c r="G44" s="473">
        <f>'DIY Grundmodell'!V49</f>
        <v>5.5586666666666673E-2</v>
      </c>
      <c r="H44" s="1140"/>
      <c r="I44" s="1140"/>
      <c r="J44" s="1140"/>
      <c r="K44" s="1140"/>
      <c r="L44" s="1140"/>
      <c r="M44" s="1140"/>
      <c r="N44" s="1140"/>
      <c r="O44" s="1176"/>
      <c r="AF44" s="988">
        <f>'DIY Grundmodell'!R131</f>
        <v>45073</v>
      </c>
      <c r="AG44" s="89" t="e">
        <f>'DIY Grundmodell'!S131</f>
        <v>#N/A</v>
      </c>
      <c r="AH44" s="54" t="e">
        <f>'DIY Grundmodell'!T131</f>
        <v>#N/A</v>
      </c>
      <c r="AI44" s="89">
        <f>'DIY Grundmodell'!U131</f>
        <v>262.04000000000002</v>
      </c>
      <c r="AJ44" s="89">
        <f>'DIY Grundmodell'!V131</f>
        <v>0</v>
      </c>
      <c r="AK44" s="989"/>
      <c r="AL44" s="33">
        <f>'DIY Grundmodell'!X131</f>
        <v>4205.4525299999996</v>
      </c>
    </row>
    <row r="45" spans="2:38" ht="14.1" customHeight="1" x14ac:dyDescent="0.45">
      <c r="B45" s="10" t="str">
        <f>'DIY Grundmodell'!Q50</f>
        <v>Ungedeckte Pensionsrückstellungen</v>
      </c>
      <c r="C45" s="30"/>
      <c r="D45" s="30"/>
      <c r="E45" s="781">
        <f>'DIY Grundmodell'!T50</f>
        <v>0</v>
      </c>
      <c r="F45" s="10" t="str">
        <f>'DIY Grundmodell'!U50</f>
        <v>Steuer</v>
      </c>
      <c r="G45" s="473">
        <f>'DIY Grundmodell'!V50</f>
        <v>0.25</v>
      </c>
      <c r="H45" s="1140"/>
      <c r="I45" s="1140"/>
      <c r="J45" s="1140"/>
      <c r="K45" s="1140"/>
      <c r="L45" s="1140"/>
      <c r="M45" s="1140"/>
      <c r="N45" s="1140"/>
      <c r="O45" s="1176"/>
      <c r="AF45" s="988">
        <f>'DIY Grundmodell'!R132</f>
        <v>45074</v>
      </c>
      <c r="AG45" s="89" t="e">
        <f>'DIY Grundmodell'!S132</f>
        <v>#N/A</v>
      </c>
      <c r="AH45" s="54" t="e">
        <f>'DIY Grundmodell'!T132</f>
        <v>#N/A</v>
      </c>
      <c r="AI45" s="89">
        <f>'DIY Grundmodell'!U132</f>
        <v>262.04000000000002</v>
      </c>
      <c r="AJ45" s="89">
        <f>'DIY Grundmodell'!V132</f>
        <v>0</v>
      </c>
      <c r="AK45" s="989"/>
      <c r="AL45" s="33">
        <f>'DIY Grundmodell'!X132</f>
        <v>4205.4525299999996</v>
      </c>
    </row>
    <row r="46" spans="2:38" ht="14.1" customHeight="1" x14ac:dyDescent="0.45">
      <c r="B46" s="10" t="str">
        <f>'DIY Grundmodell'!Q51</f>
        <v>Verlorene Rechtstreitigkeiten</v>
      </c>
      <c r="C46" s="30"/>
      <c r="D46" s="30"/>
      <c r="E46" s="781">
        <f>'DIY Grundmodell'!T51</f>
        <v>0</v>
      </c>
      <c r="F46" s="10" t="str">
        <f>'DIY Grundmodell'!U51</f>
        <v>i FK - T</v>
      </c>
      <c r="G46" s="473">
        <f>'DIY Grundmodell'!V51</f>
        <v>4.1690000000000005E-2</v>
      </c>
      <c r="H46" s="1140"/>
      <c r="I46" s="1140"/>
      <c r="J46" s="1140"/>
      <c r="K46" s="1140"/>
      <c r="L46" s="1140"/>
      <c r="M46" s="1140"/>
      <c r="N46" s="1140"/>
      <c r="O46" s="1176"/>
      <c r="AF46" s="988">
        <f>'DIY Grundmodell'!R133</f>
        <v>45075</v>
      </c>
      <c r="AG46" s="89" t="e">
        <f>'DIY Grundmodell'!S133</f>
        <v>#N/A</v>
      </c>
      <c r="AH46" s="54" t="e">
        <f>'DIY Grundmodell'!T133</f>
        <v>#N/A</v>
      </c>
      <c r="AI46" s="89">
        <f>'DIY Grundmodell'!U133</f>
        <v>262.04000000000002</v>
      </c>
      <c r="AJ46" s="89">
        <f>'DIY Grundmodell'!V133</f>
        <v>0</v>
      </c>
      <c r="AK46" s="989"/>
      <c r="AL46" s="33">
        <f>'DIY Grundmodell'!X133</f>
        <v>4205.4525299999996</v>
      </c>
    </row>
    <row r="47" spans="2:38" ht="14.1" customHeight="1" x14ac:dyDescent="0.45">
      <c r="B47" s="10" t="str">
        <f>'DIY Grundmodell'!Q52</f>
        <v>Wert Eigenkapitaloptionen</v>
      </c>
      <c r="C47" s="30"/>
      <c r="D47" s="30"/>
      <c r="E47" s="781">
        <f>'DIY Grundmodell'!T52</f>
        <v>0</v>
      </c>
      <c r="F47" s="10" t="str">
        <f>'DIY Grundmodell'!U52</f>
        <v>Wert EK</v>
      </c>
      <c r="G47" s="782">
        <f>'DIY Grundmodell'!V52</f>
        <v>1712180.20692</v>
      </c>
      <c r="H47" s="1140"/>
      <c r="I47" s="1140"/>
      <c r="J47" s="1140"/>
      <c r="K47" s="1140"/>
      <c r="L47" s="1140"/>
      <c r="M47" s="1140"/>
      <c r="N47" s="1140"/>
      <c r="O47" s="1176"/>
      <c r="AF47" s="988">
        <f>'DIY Grundmodell'!R134</f>
        <v>45076</v>
      </c>
      <c r="AG47" s="89">
        <f>'DIY Grundmodell'!S134</f>
        <v>262.52</v>
      </c>
      <c r="AH47" s="54">
        <f>'DIY Grundmodell'!T134</f>
        <v>6252.3023300000004</v>
      </c>
      <c r="AI47" s="89">
        <f>'DIY Grundmodell'!U134</f>
        <v>262.52</v>
      </c>
      <c r="AJ47" s="89">
        <f>'DIY Grundmodell'!V134</f>
        <v>6252.3023300000004</v>
      </c>
      <c r="AK47" s="989"/>
      <c r="AL47" s="33">
        <f>'DIY Grundmodell'!X134</f>
        <v>4205.5206900000003</v>
      </c>
    </row>
    <row r="48" spans="2:38" ht="14.1" customHeight="1" x14ac:dyDescent="0.45">
      <c r="B48" s="10" t="str">
        <f>'DIY Grundmodell'!Q53</f>
        <v>Wert Beteiligungen und Finanzinvestitionen</v>
      </c>
      <c r="C48" s="30"/>
      <c r="D48" s="30"/>
      <c r="E48" s="781">
        <f>'DIY Grundmodell'!T53</f>
        <v>27524</v>
      </c>
      <c r="F48" s="10" t="str">
        <f>'DIY Grundmodell'!U53</f>
        <v>Wert FK</v>
      </c>
      <c r="G48" s="782">
        <f>'DIY Grundmodell'!V53</f>
        <v>96862.515253533027</v>
      </c>
      <c r="H48" s="1140"/>
      <c r="I48" s="1140"/>
      <c r="J48" s="1140"/>
      <c r="K48" s="1140"/>
      <c r="L48" s="1140"/>
      <c r="M48" s="1140"/>
      <c r="N48" s="1140"/>
      <c r="O48" s="1176"/>
      <c r="AF48" s="988">
        <f>'DIY Grundmodell'!R135</f>
        <v>45077</v>
      </c>
      <c r="AG48" s="89">
        <f>'DIY Grundmodell'!S135</f>
        <v>264.72000000000003</v>
      </c>
      <c r="AH48" s="54">
        <f>'DIY Grundmodell'!T135</f>
        <v>6743.3952200000003</v>
      </c>
      <c r="AI48" s="89">
        <f>'DIY Grundmodell'!U135</f>
        <v>264.72000000000003</v>
      </c>
      <c r="AJ48" s="89">
        <f>'DIY Grundmodell'!V135</f>
        <v>6743.3952200000003</v>
      </c>
      <c r="AK48" s="989"/>
      <c r="AL48" s="33">
        <f>'DIY Grundmodell'!X135</f>
        <v>4179.82546</v>
      </c>
    </row>
    <row r="49" spans="2:38" ht="14.1" customHeight="1" x14ac:dyDescent="0.45">
      <c r="B49" s="40" t="str">
        <f>'DIY Grundmodell'!Q54</f>
        <v>Wert des Eigenkapitals 100%</v>
      </c>
      <c r="C49" s="36"/>
      <c r="D49" s="36"/>
      <c r="E49" s="599">
        <f>'DIY Grundmodell'!T54</f>
        <v>1542097.0437446027</v>
      </c>
      <c r="F49" s="40" t="str">
        <f>'DIY Grundmodell'!U54</f>
        <v>WACC</v>
      </c>
      <c r="G49" s="805">
        <f>'DIY Grundmodell'!V54</f>
        <v>9.3782906635027433E-2</v>
      </c>
      <c r="H49" s="1140"/>
      <c r="I49" s="1140"/>
      <c r="J49" s="1140"/>
      <c r="K49" s="1140"/>
      <c r="L49" s="1140"/>
      <c r="M49" s="1140"/>
      <c r="N49" s="1140"/>
      <c r="O49" s="1176"/>
      <c r="AF49" s="988">
        <f>'DIY Grundmodell'!R136</f>
        <v>45078</v>
      </c>
      <c r="AG49" s="89">
        <f>'DIY Grundmodell'!S136</f>
        <v>272.61</v>
      </c>
      <c r="AH49" s="54">
        <f>'DIY Grundmodell'!T136</f>
        <v>6981.40852</v>
      </c>
      <c r="AI49" s="89">
        <f>'DIY Grundmodell'!U136</f>
        <v>272.61</v>
      </c>
      <c r="AJ49" s="89">
        <f>'DIY Grundmodell'!V136</f>
        <v>6981.40852</v>
      </c>
      <c r="AK49" s="989"/>
      <c r="AL49" s="33">
        <f>'DIY Grundmodell'!X136</f>
        <v>4221.0202200000003</v>
      </c>
    </row>
    <row r="50" spans="2:38" ht="14.1" customHeight="1" x14ac:dyDescent="0.45">
      <c r="B50" s="60" t="str">
        <f>'DIY Grundmodell'!Q55</f>
        <v>Umsatzverteilung Industrien</v>
      </c>
      <c r="C50" s="61"/>
      <c r="D50" s="62"/>
      <c r="E50" s="60" t="str">
        <f>'DIY Grundmodell'!T55</f>
        <v>Umsatzverteilung Regionen</v>
      </c>
      <c r="F50" s="63"/>
      <c r="G50" s="64"/>
      <c r="H50" s="1140"/>
      <c r="I50" s="1140"/>
      <c r="J50" s="1140"/>
      <c r="K50" s="1140"/>
      <c r="L50" s="1140"/>
      <c r="M50" s="1140"/>
      <c r="N50" s="1140"/>
      <c r="O50" s="1176"/>
      <c r="AF50" s="988">
        <f>'DIY Grundmodell'!R137</f>
        <v>45079</v>
      </c>
      <c r="AG50" s="89" t="e">
        <f>'DIY Grundmodell'!S137</f>
        <v>#N/A</v>
      </c>
      <c r="AH50" s="54" t="e">
        <f>'DIY Grundmodell'!T137</f>
        <v>#N/A</v>
      </c>
      <c r="AI50" s="89">
        <f>'DIY Grundmodell'!U137</f>
        <v>272.61</v>
      </c>
      <c r="AJ50" s="89">
        <f>'DIY Grundmodell'!V137</f>
        <v>5293.2492899999997</v>
      </c>
      <c r="AK50" s="989"/>
      <c r="AL50" s="33">
        <f>'DIY Grundmodell'!X137</f>
        <v>4282.3655699999999</v>
      </c>
    </row>
    <row r="51" spans="2:38" ht="14.1" customHeight="1" x14ac:dyDescent="0.45">
      <c r="B51" s="65" t="str">
        <f>'DIY Grundmodell'!Q56</f>
        <v>Interactive Media and Services</v>
      </c>
      <c r="C51" s="8"/>
      <c r="D51" s="806">
        <f>'DIY Grundmodell'!S56</f>
        <v>0.98901804285301986</v>
      </c>
      <c r="E51" s="65" t="str">
        <f>'DIY Grundmodell'!T56</f>
        <v>United States</v>
      </c>
      <c r="F51" s="5"/>
      <c r="G51" s="806">
        <f>'DIY Grundmodell'!V56</f>
        <v>0.37210274374769864</v>
      </c>
      <c r="H51" s="1140"/>
      <c r="I51" s="1140"/>
      <c r="J51" s="1140"/>
      <c r="K51" s="1140"/>
      <c r="L51" s="1140"/>
      <c r="M51" s="1140"/>
      <c r="N51" s="1140"/>
      <c r="O51" s="1176"/>
      <c r="AF51" s="988">
        <f>'DIY Grundmodell'!R138</f>
        <v>45080</v>
      </c>
      <c r="AG51" s="89" t="e">
        <f>'DIY Grundmodell'!S138</f>
        <v>#N/A</v>
      </c>
      <c r="AH51" s="54" t="e">
        <f>'DIY Grundmodell'!T138</f>
        <v>#N/A</v>
      </c>
      <c r="AI51" s="89">
        <f>'DIY Grundmodell'!U138</f>
        <v>272.61</v>
      </c>
      <c r="AJ51" s="89">
        <f>'DIY Grundmodell'!V138</f>
        <v>0</v>
      </c>
      <c r="AK51" s="989"/>
      <c r="AL51" s="33">
        <f>'DIY Grundmodell'!X138</f>
        <v>4282.3655699999999</v>
      </c>
    </row>
    <row r="52" spans="2:38" ht="14.1" customHeight="1" x14ac:dyDescent="0.45">
      <c r="B52" s="65" t="str">
        <f>'DIY Grundmodell'!Q57</f>
        <v>Technology Hardware, Storage &amp; Peripherals</v>
      </c>
      <c r="C52" s="8"/>
      <c r="D52" s="806">
        <f>'DIY Grundmodell'!S57</f>
        <v>1.0981957146980087E-2</v>
      </c>
      <c r="E52" s="65" t="str">
        <f>'DIY Grundmodell'!T57</f>
        <v>Asia-Pacific</v>
      </c>
      <c r="F52" s="5"/>
      <c r="G52" s="806">
        <f>'DIY Grundmodell'!V57</f>
        <v>0.26779156673268117</v>
      </c>
      <c r="H52" s="1140"/>
      <c r="I52" s="1140"/>
      <c r="J52" s="1140"/>
      <c r="K52" s="1140"/>
      <c r="L52" s="1140"/>
      <c r="M52" s="1140"/>
      <c r="N52" s="1140"/>
      <c r="O52" s="1176"/>
      <c r="AF52" s="988">
        <f>'DIY Grundmodell'!R139</f>
        <v>45081</v>
      </c>
      <c r="AG52" s="89" t="e">
        <f>'DIY Grundmodell'!S139</f>
        <v>#N/A</v>
      </c>
      <c r="AH52" s="54" t="e">
        <f>'DIY Grundmodell'!T139</f>
        <v>#N/A</v>
      </c>
      <c r="AI52" s="89">
        <f>'DIY Grundmodell'!U139</f>
        <v>272.61</v>
      </c>
      <c r="AJ52" s="89">
        <f>'DIY Grundmodell'!V139</f>
        <v>0</v>
      </c>
      <c r="AK52" s="989"/>
      <c r="AL52" s="33">
        <f>'DIY Grundmodell'!X139</f>
        <v>4282.3655699999999</v>
      </c>
    </row>
    <row r="53" spans="2:38" ht="14.1" customHeight="1" x14ac:dyDescent="0.45">
      <c r="B53" s="65">
        <f>'DIY Grundmodell'!Q58</f>
        <v>0</v>
      </c>
      <c r="C53" s="8"/>
      <c r="D53" s="806">
        <f>'DIY Grundmodell'!S58</f>
        <v>0</v>
      </c>
      <c r="E53" s="65" t="str">
        <f>'DIY Grundmodell'!T58</f>
        <v>Europe</v>
      </c>
      <c r="F53" s="5"/>
      <c r="G53" s="806">
        <f>'DIY Grundmodell'!V58</f>
        <v>0.23172576455718877</v>
      </c>
      <c r="H53" s="1140"/>
      <c r="I53" s="1140"/>
      <c r="J53" s="1140"/>
      <c r="K53" s="1140"/>
      <c r="L53" s="1140"/>
      <c r="M53" s="1140"/>
      <c r="N53" s="1140"/>
      <c r="O53" s="1176"/>
      <c r="AF53" s="988">
        <f>'DIY Grundmodell'!R140</f>
        <v>45082</v>
      </c>
      <c r="AG53" s="89">
        <f>'DIY Grundmodell'!S140</f>
        <v>271.39</v>
      </c>
      <c r="AH53" s="54">
        <f>'DIY Grundmodell'!T140</f>
        <v>5629.4281199999996</v>
      </c>
      <c r="AI53" s="89">
        <f>'DIY Grundmodell'!U140</f>
        <v>271.39</v>
      </c>
      <c r="AJ53" s="89">
        <f>'DIY Grundmodell'!V140</f>
        <v>5629.4281199999996</v>
      </c>
      <c r="AK53" s="989"/>
      <c r="AL53" s="33">
        <f>'DIY Grundmodell'!X140</f>
        <v>4273.7941899999996</v>
      </c>
    </row>
    <row r="54" spans="2:38" ht="14.1" customHeight="1" x14ac:dyDescent="0.45">
      <c r="B54" s="65">
        <f>'DIY Grundmodell'!Q59</f>
        <v>0</v>
      </c>
      <c r="C54" s="8"/>
      <c r="D54" s="806">
        <f>'DIY Grundmodell'!S59</f>
        <v>0</v>
      </c>
      <c r="E54" s="65" t="str">
        <f>'DIY Grundmodell'!T59</f>
        <v>Rest of The World</v>
      </c>
      <c r="F54" s="5"/>
      <c r="G54" s="806">
        <f>'DIY Grundmodell'!V59</f>
        <v>0.10804812754396266</v>
      </c>
      <c r="H54" s="1140"/>
      <c r="I54" s="1140"/>
      <c r="J54" s="1140"/>
      <c r="K54" s="1140"/>
      <c r="L54" s="1140"/>
      <c r="M54" s="1140"/>
      <c r="N54" s="1140"/>
      <c r="O54" s="1176"/>
      <c r="AF54" s="988">
        <f>'DIY Grundmodell'!R141</f>
        <v>45083</v>
      </c>
      <c r="AG54" s="89">
        <f>'DIY Grundmodell'!S141</f>
        <v>271.12</v>
      </c>
      <c r="AH54" s="54">
        <f>'DIY Grundmodell'!T141</f>
        <v>5264.8819899999999</v>
      </c>
      <c r="AI54" s="89">
        <f>'DIY Grundmodell'!U141</f>
        <v>271.12</v>
      </c>
      <c r="AJ54" s="89">
        <f>'DIY Grundmodell'!V141</f>
        <v>5264.8819899999999</v>
      </c>
      <c r="AK54" s="989"/>
      <c r="AL54" s="33">
        <f>'DIY Grundmodell'!X141</f>
        <v>4283.8483900000001</v>
      </c>
    </row>
    <row r="55" spans="2:38" ht="14.1" customHeight="1" x14ac:dyDescent="0.45">
      <c r="B55" s="65">
        <f>'DIY Grundmodell'!Q60</f>
        <v>0</v>
      </c>
      <c r="C55" s="8"/>
      <c r="D55" s="806">
        <f>'DIY Grundmodell'!S60</f>
        <v>0</v>
      </c>
      <c r="E55" s="65" t="str">
        <f>'DIY Grundmodell'!T60</f>
        <v>Canada</v>
      </c>
      <c r="F55" s="5"/>
      <c r="G55" s="806">
        <f>'DIY Grundmodell'!V60</f>
        <v>2.0331797418468796E-2</v>
      </c>
      <c r="H55" s="1140"/>
      <c r="I55" s="1140"/>
      <c r="J55" s="1140"/>
      <c r="K55" s="1140"/>
      <c r="L55" s="1140"/>
      <c r="M55" s="1140"/>
      <c r="N55" s="1140"/>
      <c r="O55" s="1176"/>
      <c r="AF55" s="988">
        <f>'DIY Grundmodell'!R142</f>
        <v>45084</v>
      </c>
      <c r="AG55" s="89">
        <f>'DIY Grundmodell'!S142</f>
        <v>263.60000000000002</v>
      </c>
      <c r="AH55" s="54">
        <f>'DIY Grundmodell'!T142</f>
        <v>6896.7320799999998</v>
      </c>
      <c r="AI55" s="89">
        <f>'DIY Grundmodell'!U142</f>
        <v>263.60000000000002</v>
      </c>
      <c r="AJ55" s="89">
        <f>'DIY Grundmodell'!V142</f>
        <v>6896.7320799999998</v>
      </c>
      <c r="AK55" s="989"/>
      <c r="AL55" s="33">
        <f>'DIY Grundmodell'!X142</f>
        <v>4267.5184600000002</v>
      </c>
    </row>
    <row r="56" spans="2:38" ht="14.1" customHeight="1" x14ac:dyDescent="0.45">
      <c r="B56" s="65">
        <f>'DIY Grundmodell'!Q61</f>
        <v>0</v>
      </c>
      <c r="C56" s="8"/>
      <c r="D56" s="806">
        <f>'DIY Grundmodell'!S61</f>
        <v>0</v>
      </c>
      <c r="E56" s="65">
        <f>'DIY Grundmodell'!T61</f>
        <v>0</v>
      </c>
      <c r="F56" s="5"/>
      <c r="G56" s="806">
        <f>'DIY Grundmodell'!V61</f>
        <v>0</v>
      </c>
      <c r="H56" s="1140"/>
      <c r="I56" s="1140"/>
      <c r="J56" s="1140"/>
      <c r="K56" s="1140"/>
      <c r="L56" s="1140"/>
      <c r="M56" s="1140"/>
      <c r="N56" s="1140"/>
      <c r="O56" s="1176"/>
      <c r="AF56" s="988">
        <f>'DIY Grundmodell'!R143</f>
        <v>45085</v>
      </c>
      <c r="AG56" s="89">
        <f>'DIY Grundmodell'!S143</f>
        <v>264.58</v>
      </c>
      <c r="AH56" s="54">
        <f>'DIY Grundmodell'!T143</f>
        <v>5529.5523999999996</v>
      </c>
      <c r="AI56" s="89">
        <f>'DIY Grundmodell'!U143</f>
        <v>264.58</v>
      </c>
      <c r="AJ56" s="89">
        <f>'DIY Grundmodell'!V143</f>
        <v>5529.5523999999996</v>
      </c>
      <c r="AK56" s="989"/>
      <c r="AL56" s="33">
        <f>'DIY Grundmodell'!X143</f>
        <v>4293.9277700000002</v>
      </c>
    </row>
    <row r="57" spans="2:38" ht="14.1" customHeight="1" thickBot="1" x14ac:dyDescent="0.5">
      <c r="B57" s="65">
        <f>'DIY Grundmodell'!Q62</f>
        <v>0</v>
      </c>
      <c r="C57" s="8"/>
      <c r="D57" s="806">
        <f>'DIY Grundmodell'!S62</f>
        <v>0</v>
      </c>
      <c r="E57" s="65">
        <f>'DIY Grundmodell'!T62</f>
        <v>0</v>
      </c>
      <c r="F57" s="5"/>
      <c r="G57" s="806">
        <f>'DIY Grundmodell'!V62</f>
        <v>0</v>
      </c>
      <c r="H57" s="1142"/>
      <c r="I57" s="1142"/>
      <c r="J57" s="1142"/>
      <c r="K57" s="1142"/>
      <c r="L57" s="1142"/>
      <c r="M57" s="1142"/>
      <c r="N57" s="1142"/>
      <c r="O57" s="1177"/>
      <c r="AF57" s="988">
        <f>'DIY Grundmodell'!R144</f>
        <v>45086</v>
      </c>
      <c r="AG57" s="89">
        <f>'DIY Grundmodell'!S144</f>
        <v>264.95</v>
      </c>
      <c r="AH57" s="54">
        <f>'DIY Grundmodell'!T144</f>
        <v>4490.8479200000002</v>
      </c>
      <c r="AI57" s="89">
        <f>'DIY Grundmodell'!U144</f>
        <v>264.95</v>
      </c>
      <c r="AJ57" s="89">
        <f>'DIY Grundmodell'!V144</f>
        <v>4490.8479200000002</v>
      </c>
      <c r="AK57" s="989"/>
      <c r="AL57" s="33">
        <f>'DIY Grundmodell'!X144</f>
        <v>4298.8573100000003</v>
      </c>
    </row>
    <row r="58" spans="2:38" ht="14.1" customHeight="1" thickBot="1" x14ac:dyDescent="0.5">
      <c r="B58" s="66">
        <f>IF(D58=0,0,'DIY Grundmodell'!Q63)</f>
        <v>0</v>
      </c>
      <c r="C58" s="104"/>
      <c r="D58" s="807">
        <f>'DIY Grundmodell'!S63</f>
        <v>0</v>
      </c>
      <c r="E58" s="66">
        <f>IF(G58=0,0,'DIY Grundmodell'!T63)</f>
        <v>0</v>
      </c>
      <c r="F58" s="26"/>
      <c r="G58" s="808">
        <f>'DIY Grundmodell'!V63</f>
        <v>0</v>
      </c>
      <c r="H58" s="113" t="str">
        <f>'DIY Grundmodell'!G58</f>
        <v>Haftungsfreizeichnung: Die Unterlage stellt keinerlei Empfehlung dar.</v>
      </c>
      <c r="I58" s="67"/>
      <c r="J58" s="67"/>
      <c r="K58" s="67"/>
      <c r="L58" s="67"/>
      <c r="M58" s="67"/>
      <c r="N58" s="67"/>
      <c r="O58" s="114"/>
      <c r="AF58" s="988">
        <f>'DIY Grundmodell'!R145</f>
        <v>45087</v>
      </c>
      <c r="AG58" s="89" t="e">
        <f>'DIY Grundmodell'!S145</f>
        <v>#N/A</v>
      </c>
      <c r="AH58" s="54" t="e">
        <f>'DIY Grundmodell'!T145</f>
        <v>#N/A</v>
      </c>
      <c r="AI58" s="89">
        <f>'DIY Grundmodell'!U145</f>
        <v>264.95</v>
      </c>
      <c r="AJ58" s="89">
        <f>'DIY Grundmodell'!V145</f>
        <v>0</v>
      </c>
      <c r="AK58" s="989"/>
      <c r="AL58" s="33">
        <f>'DIY Grundmodell'!X145</f>
        <v>4298.8573100000003</v>
      </c>
    </row>
    <row r="59" spans="2:38" ht="14.1" customHeight="1" thickBot="1" x14ac:dyDescent="0.5">
      <c r="AF59" s="988">
        <f>'DIY Grundmodell'!R146</f>
        <v>45088</v>
      </c>
      <c r="AG59" s="89" t="e">
        <f>'DIY Grundmodell'!S146</f>
        <v>#N/A</v>
      </c>
      <c r="AH59" s="54" t="e">
        <f>'DIY Grundmodell'!T146</f>
        <v>#N/A</v>
      </c>
      <c r="AI59" s="89">
        <f>'DIY Grundmodell'!U146</f>
        <v>264.95</v>
      </c>
      <c r="AJ59" s="89">
        <f>'DIY Grundmodell'!V146</f>
        <v>0</v>
      </c>
      <c r="AK59" s="989"/>
      <c r="AL59" s="33">
        <f>'DIY Grundmodell'!X146</f>
        <v>4298.8573100000003</v>
      </c>
    </row>
    <row r="60" spans="2:38" ht="14.1" customHeight="1" x14ac:dyDescent="0.45">
      <c r="B60" s="90" t="str">
        <f>'DIY Grundmodell'!Q65</f>
        <v>Prognose</v>
      </c>
      <c r="C60" s="91" t="str">
        <f>'DIY Grundmodell'!R65</f>
        <v>LTM</v>
      </c>
      <c r="D60" s="192" t="str">
        <f>'DIY Grundmodell'!S65</f>
        <v>LTM+1</v>
      </c>
      <c r="E60" s="43" t="str">
        <f>'DIY Grundmodell'!T65</f>
        <v>LTM+2</v>
      </c>
      <c r="F60" s="43" t="str">
        <f>'DIY Grundmodell'!U65</f>
        <v>LTM+3</v>
      </c>
      <c r="G60" s="43" t="str">
        <f>'DIY Grundmodell'!V65</f>
        <v>LTM+4</v>
      </c>
      <c r="H60" s="43" t="str">
        <f>'DIY Grundmodell'!W65</f>
        <v>LTM+5</v>
      </c>
      <c r="I60" s="43" t="str">
        <f>'DIY Grundmodell'!X65</f>
        <v>LTM+6</v>
      </c>
      <c r="J60" s="43" t="str">
        <f>'DIY Grundmodell'!Y65</f>
        <v>LTM+7</v>
      </c>
      <c r="K60" s="43" t="str">
        <f>'DIY Grundmodell'!Z65</f>
        <v>LTM+8</v>
      </c>
      <c r="L60" s="43" t="str">
        <f>'DIY Grundmodell'!AA65</f>
        <v>LTM+9</v>
      </c>
      <c r="M60" s="43" t="str">
        <f>'DIY Grundmodell'!AB65</f>
        <v>LTM+10</v>
      </c>
      <c r="N60" s="43" t="str">
        <f>'DIY Grundmodell'!AC65</f>
        <v>ewig</v>
      </c>
      <c r="O60" s="192" t="str">
        <f>'DIY Grundmodell'!AD65</f>
        <v>Summe</v>
      </c>
      <c r="AF60" s="988">
        <f>'DIY Grundmodell'!R147</f>
        <v>45089</v>
      </c>
      <c r="AG60" s="89">
        <f>'DIY Grundmodell'!S147</f>
        <v>271.05</v>
      </c>
      <c r="AH60" s="54">
        <f>'DIY Grundmodell'!T147</f>
        <v>4193.6048300000002</v>
      </c>
      <c r="AI60" s="89">
        <f>'DIY Grundmodell'!U147</f>
        <v>271.05</v>
      </c>
      <c r="AJ60" s="89">
        <f>'DIY Grundmodell'!V147</f>
        <v>4193.6048300000002</v>
      </c>
      <c r="AK60" s="989"/>
      <c r="AL60" s="33">
        <f>'DIY Grundmodell'!X147</f>
        <v>4338.93444</v>
      </c>
    </row>
    <row r="61" spans="2:38" ht="14.1" customHeight="1" x14ac:dyDescent="0.45">
      <c r="B61" s="92" t="str">
        <f>'DIY Grundmodell'!Q66</f>
        <v>Invest. Kapital</v>
      </c>
      <c r="C61" s="781">
        <f>'DIY Grundmodell'!R66</f>
        <v>168073</v>
      </c>
      <c r="D61" s="809">
        <f>'DIY Grundmodell'!S66</f>
        <v>231034.02408547589</v>
      </c>
      <c r="E61" s="781">
        <f>'DIY Grundmodell'!T66</f>
        <v>300505.70990116074</v>
      </c>
      <c r="F61" s="781">
        <f>'DIY Grundmodell'!U66</f>
        <v>363960.26052359527</v>
      </c>
      <c r="G61" s="781">
        <f>'DIY Grundmodell'!V66</f>
        <v>414815.55140340701</v>
      </c>
      <c r="H61" s="781">
        <f>'DIY Grundmodell'!W66</f>
        <v>464988.08401823137</v>
      </c>
      <c r="I61" s="781">
        <f>'DIY Grundmodell'!X66</f>
        <v>488005.35669847328</v>
      </c>
      <c r="J61" s="781">
        <f>'DIY Grundmodell'!Y66</f>
        <v>513195.66194751824</v>
      </c>
      <c r="K61" s="781">
        <f>'DIY Grundmodell'!Z66</f>
        <v>531395.1282192308</v>
      </c>
      <c r="L61" s="781">
        <f>'DIY Grundmodell'!AA66</f>
        <v>544796.261416291</v>
      </c>
      <c r="M61" s="781">
        <f>'DIY Grundmodell'!AB66</f>
        <v>558776.32356746425</v>
      </c>
      <c r="N61" s="781">
        <f>'DIY Grundmodell'!AC66</f>
        <v>596487.97960820852</v>
      </c>
      <c r="O61" s="809">
        <f>'DIY Grundmodell'!AD66</f>
        <v>4411472.3617808474</v>
      </c>
      <c r="AF61" s="988">
        <f>'DIY Grundmodell'!R148</f>
        <v>45090</v>
      </c>
      <c r="AG61" s="89">
        <f>'DIY Grundmodell'!S148</f>
        <v>271.32</v>
      </c>
      <c r="AH61" s="54">
        <f>'DIY Grundmodell'!T148</f>
        <v>4385.6229899999998</v>
      </c>
      <c r="AI61" s="89">
        <f>'DIY Grundmodell'!U148</f>
        <v>271.32</v>
      </c>
      <c r="AJ61" s="89">
        <f>'DIY Grundmodell'!V148</f>
        <v>4385.6229899999998</v>
      </c>
      <c r="AK61" s="989"/>
      <c r="AL61" s="33">
        <f>'DIY Grundmodell'!X148</f>
        <v>4369.0063899999996</v>
      </c>
    </row>
    <row r="62" spans="2:38" ht="14.1" customHeight="1" thickBot="1" x14ac:dyDescent="0.5">
      <c r="B62" s="93" t="str">
        <f>'DIY Grundmodell'!Q67</f>
        <v>Umsatz/Kapital</v>
      </c>
      <c r="C62" s="810">
        <f>'DIY Grundmodell'!R67</f>
        <v>1.1957066274773462</v>
      </c>
      <c r="D62" s="811">
        <f>'DIY Grundmodell'!S67</f>
        <v>1.0858311930159155</v>
      </c>
      <c r="E62" s="810">
        <f>'DIY Grundmodell'!T67</f>
        <v>0.94515470302849958</v>
      </c>
      <c r="F62" s="810">
        <f>'DIY Grundmodell'!U67</f>
        <v>0.86980169190502254</v>
      </c>
      <c r="G62" s="810">
        <f>'DIY Grundmodell'!V67</f>
        <v>0.84344476236334898</v>
      </c>
      <c r="H62" s="810">
        <f>'DIY Grundmodell'!W67</f>
        <v>0.82347310448589417</v>
      </c>
      <c r="I62" s="810">
        <f>'DIY Grundmodell'!X67</f>
        <v>0.85870940817319541</v>
      </c>
      <c r="J62" s="810">
        <f>'DIY Grundmodell'!Y67</f>
        <v>0.8936498794779365</v>
      </c>
      <c r="K62" s="810">
        <f>'DIY Grundmodell'!Z67</f>
        <v>0.94452264948217401</v>
      </c>
      <c r="L62" s="810">
        <f>'DIY Grundmodell'!AA67</f>
        <v>0.97870764017412892</v>
      </c>
      <c r="M62" s="810">
        <f>'DIY Grundmodell'!AB67</f>
        <v>0.99544364802987706</v>
      </c>
      <c r="N62" s="810">
        <f>'DIY Grundmodell'!AC67</f>
        <v>0.97279327090334256</v>
      </c>
      <c r="O62" s="811">
        <f>'DIY Grundmodell'!AD67</f>
        <v>0.13153420109003089</v>
      </c>
      <c r="AF62" s="988">
        <f>'DIY Grundmodell'!R149</f>
        <v>45091</v>
      </c>
      <c r="AG62" s="89">
        <f>'DIY Grundmodell'!S149</f>
        <v>273.35000000000002</v>
      </c>
      <c r="AH62" s="54">
        <f>'DIY Grundmodell'!T149</f>
        <v>5241.5042899999999</v>
      </c>
      <c r="AI62" s="89">
        <f>'DIY Grundmodell'!U149</f>
        <v>273.35000000000002</v>
      </c>
      <c r="AJ62" s="89">
        <f>'DIY Grundmodell'!V149</f>
        <v>5241.5042899999999</v>
      </c>
      <c r="AK62" s="989"/>
      <c r="AL62" s="33">
        <f>'DIY Grundmodell'!X149</f>
        <v>4372.5894399999997</v>
      </c>
    </row>
    <row r="63" spans="2:38" ht="14.1" customHeight="1" x14ac:dyDescent="0.45">
      <c r="AF63" s="988">
        <f>'DIY Grundmodell'!R150</f>
        <v>45092</v>
      </c>
      <c r="AG63" s="89">
        <f>'DIY Grundmodell'!S150</f>
        <v>281.83</v>
      </c>
      <c r="AH63" s="54">
        <f>'DIY Grundmodell'!T150</f>
        <v>7320.0988200000002</v>
      </c>
      <c r="AI63" s="89">
        <f>'DIY Grundmodell'!U150</f>
        <v>281.83</v>
      </c>
      <c r="AJ63" s="89">
        <f>'DIY Grundmodell'!V150</f>
        <v>7320.0988200000002</v>
      </c>
      <c r="AK63" s="989"/>
      <c r="AL63" s="33">
        <f>'DIY Grundmodell'!X150</f>
        <v>4425.8442599999998</v>
      </c>
    </row>
    <row r="64" spans="2:38" ht="14.1" customHeight="1" x14ac:dyDescent="0.45">
      <c r="AF64" s="988">
        <f>'DIY Grundmodell'!R151</f>
        <v>45093</v>
      </c>
      <c r="AG64" s="89">
        <f>'DIY Grundmodell'!S151</f>
        <v>281</v>
      </c>
      <c r="AH64" s="54">
        <f>'DIY Grundmodell'!T151</f>
        <v>12118.89241</v>
      </c>
      <c r="AI64" s="89">
        <f>'DIY Grundmodell'!U151</f>
        <v>281</v>
      </c>
      <c r="AJ64" s="89">
        <f>'DIY Grundmodell'!V151</f>
        <v>12118.89241</v>
      </c>
      <c r="AK64" s="989"/>
      <c r="AL64" s="33">
        <f>'DIY Grundmodell'!X151</f>
        <v>4409.5943600000001</v>
      </c>
    </row>
    <row r="65" spans="2:38" ht="14.1" customHeight="1" x14ac:dyDescent="0.45">
      <c r="B65" s="116" t="str">
        <f>'DIY Grundmodell'!Q70</f>
        <v>Herleitung WACC</v>
      </c>
      <c r="C65" s="43"/>
      <c r="D65" s="193" t="str">
        <f>'DIY Grundmodell'!S70</f>
        <v>LTM</v>
      </c>
      <c r="E65" s="43" t="str">
        <f>'DIY Grundmodell'!T70</f>
        <v>LTM+1</v>
      </c>
      <c r="F65" s="43" t="str">
        <f>'DIY Grundmodell'!U70</f>
        <v>LTM+2</v>
      </c>
      <c r="G65" s="43" t="str">
        <f>'DIY Grundmodell'!V70</f>
        <v>LTM+3</v>
      </c>
      <c r="H65" s="43" t="str">
        <f>'DIY Grundmodell'!W70</f>
        <v>LTM+4</v>
      </c>
      <c r="I65" s="43" t="str">
        <f>'DIY Grundmodell'!X70</f>
        <v>LTM+5</v>
      </c>
      <c r="J65" s="43" t="str">
        <f>'DIY Grundmodell'!Y70</f>
        <v>LTM+6</v>
      </c>
      <c r="K65" s="43" t="str">
        <f>'DIY Grundmodell'!Z70</f>
        <v>LTM+7</v>
      </c>
      <c r="L65" s="43" t="str">
        <f>'DIY Grundmodell'!AA70</f>
        <v>LTM+8</v>
      </c>
      <c r="M65" s="43" t="str">
        <f>'DIY Grundmodell'!AB70</f>
        <v>LTM+9</v>
      </c>
      <c r="N65" s="43" t="str">
        <f>'DIY Grundmodell'!AC70</f>
        <v>LTM+10</v>
      </c>
      <c r="O65" s="44" t="str">
        <f>'DIY Grundmodell'!AD70</f>
        <v>ewig</v>
      </c>
      <c r="AF65" s="988">
        <f>'DIY Grundmodell'!R152</f>
        <v>45094</v>
      </c>
      <c r="AG65" s="89" t="e">
        <f>'DIY Grundmodell'!S152</f>
        <v>#N/A</v>
      </c>
      <c r="AH65" s="54" t="e">
        <f>'DIY Grundmodell'!T152</f>
        <v>#N/A</v>
      </c>
      <c r="AI65" s="89">
        <f>'DIY Grundmodell'!U152</f>
        <v>281</v>
      </c>
      <c r="AJ65" s="89">
        <f>'DIY Grundmodell'!V152</f>
        <v>0</v>
      </c>
      <c r="AK65" s="989"/>
      <c r="AL65" s="33">
        <f>'DIY Grundmodell'!X152</f>
        <v>4409.5943600000001</v>
      </c>
    </row>
    <row r="66" spans="2:38" ht="14.1" customHeight="1" x14ac:dyDescent="0.45">
      <c r="B66" s="1" t="str">
        <f>'DIY Grundmodell'!Q71</f>
        <v>ERP adj.</v>
      </c>
      <c r="C66" s="1"/>
      <c r="D66" s="568">
        <f>'DIY Grundmodell'!S71</f>
        <v>6.6912423369693594E-2</v>
      </c>
      <c r="E66" s="569">
        <f>'DIY Grundmodell'!T71</f>
        <v>6.6912423369693594E-2</v>
      </c>
      <c r="F66" s="569">
        <f>'DIY Grundmodell'!U71</f>
        <v>6.6912423369693594E-2</v>
      </c>
      <c r="G66" s="569">
        <f>'DIY Grundmodell'!V71</f>
        <v>6.6912423369693594E-2</v>
      </c>
      <c r="H66" s="569">
        <f>'DIY Grundmodell'!W71</f>
        <v>6.6912423369693594E-2</v>
      </c>
      <c r="I66" s="569">
        <f>'DIY Grundmodell'!X71</f>
        <v>6.6912423369693594E-2</v>
      </c>
      <c r="J66" s="569">
        <f>'DIY Grundmodell'!Y71</f>
        <v>6.6912423369693594E-2</v>
      </c>
      <c r="K66" s="569">
        <f>'DIY Grundmodell'!Z71</f>
        <v>6.6912423369693594E-2</v>
      </c>
      <c r="L66" s="569">
        <f>'DIY Grundmodell'!AA71</f>
        <v>6.6912423369693594E-2</v>
      </c>
      <c r="M66" s="569">
        <f>'DIY Grundmodell'!AB71</f>
        <v>6.6912423369693594E-2</v>
      </c>
      <c r="N66" s="569">
        <f>'DIY Grundmodell'!AC71</f>
        <v>6.6912423369693594E-2</v>
      </c>
      <c r="O66" s="568">
        <f>'DIY Grundmodell'!AD71</f>
        <v>6.6912423369693594E-2</v>
      </c>
      <c r="AF66" s="988">
        <f>'DIY Grundmodell'!R153</f>
        <v>45095</v>
      </c>
      <c r="AG66" s="89" t="e">
        <f>'DIY Grundmodell'!S153</f>
        <v>#N/A</v>
      </c>
      <c r="AH66" s="54" t="e">
        <f>'DIY Grundmodell'!T153</f>
        <v>#N/A</v>
      </c>
      <c r="AI66" s="89">
        <f>'DIY Grundmodell'!U153</f>
        <v>281</v>
      </c>
      <c r="AJ66" s="89">
        <f>'DIY Grundmodell'!V153</f>
        <v>0</v>
      </c>
      <c r="AK66" s="989"/>
      <c r="AL66" s="33">
        <f>'DIY Grundmodell'!X153</f>
        <v>4409.5943600000001</v>
      </c>
    </row>
    <row r="67" spans="2:38" ht="14.1" customHeight="1" x14ac:dyDescent="0.45">
      <c r="B67" s="1" t="str">
        <f>'DIY Grundmodell'!Q72</f>
        <v>i (rf)</v>
      </c>
      <c r="C67" s="1"/>
      <c r="D67" s="568">
        <f>'DIY Grundmodell'!S72</f>
        <v>4.3200000000000002E-2</v>
      </c>
      <c r="E67" s="569">
        <f>'DIY Grundmodell'!T72</f>
        <v>4.3200000000000002E-2</v>
      </c>
      <c r="F67" s="569">
        <f>'DIY Grundmodell'!U72</f>
        <v>4.3200000000000002E-2</v>
      </c>
      <c r="G67" s="569">
        <f>'DIY Grundmodell'!V72</f>
        <v>4.3200000000000002E-2</v>
      </c>
      <c r="H67" s="569">
        <f>'DIY Grundmodell'!W72</f>
        <v>4.3200000000000002E-2</v>
      </c>
      <c r="I67" s="569">
        <f>'DIY Grundmodell'!X72</f>
        <v>4.3200000000000002E-2</v>
      </c>
      <c r="J67" s="569">
        <f>'DIY Grundmodell'!Y72</f>
        <v>4.3200000000000002E-2</v>
      </c>
      <c r="K67" s="569">
        <f>'DIY Grundmodell'!Z72</f>
        <v>4.3200000000000002E-2</v>
      </c>
      <c r="L67" s="569">
        <f>'DIY Grundmodell'!AA72</f>
        <v>4.3200000000000002E-2</v>
      </c>
      <c r="M67" s="569">
        <f>'DIY Grundmodell'!AB72</f>
        <v>4.3200000000000002E-2</v>
      </c>
      <c r="N67" s="569">
        <f>'DIY Grundmodell'!AC72</f>
        <v>4.3200000000000002E-2</v>
      </c>
      <c r="O67" s="568">
        <f>'DIY Grundmodell'!AD72</f>
        <v>4.3200000000000002E-2</v>
      </c>
      <c r="AF67" s="988">
        <f>'DIY Grundmodell'!R154</f>
        <v>45096</v>
      </c>
      <c r="AG67" s="89" t="e">
        <f>'DIY Grundmodell'!S154</f>
        <v>#N/A</v>
      </c>
      <c r="AH67" s="54" t="e">
        <f>'DIY Grundmodell'!T154</f>
        <v>#N/A</v>
      </c>
      <c r="AI67" s="89">
        <f>'DIY Grundmodell'!U154</f>
        <v>281</v>
      </c>
      <c r="AJ67" s="89">
        <f>'DIY Grundmodell'!V154</f>
        <v>0</v>
      </c>
      <c r="AK67" s="989"/>
      <c r="AL67" s="33">
        <f>'DIY Grundmodell'!X154</f>
        <v>4409.5943600000001</v>
      </c>
    </row>
    <row r="68" spans="2:38" ht="14.1" customHeight="1" x14ac:dyDescent="0.45">
      <c r="B68" s="1" t="str">
        <f>'DIY Grundmodell'!Q73</f>
        <v>Beta unlev.</v>
      </c>
      <c r="C68" s="1"/>
      <c r="D68" s="573">
        <f>'DIY Grundmodell'!S73</f>
        <v>1.043891231397104</v>
      </c>
      <c r="E68" s="574">
        <f>'DIY Grundmodell'!T73</f>
        <v>1.043891231397104</v>
      </c>
      <c r="F68" s="574">
        <f>'DIY Grundmodell'!U73</f>
        <v>1.043891231397104</v>
      </c>
      <c r="G68" s="574">
        <f>'DIY Grundmodell'!V73</f>
        <v>1.043891231397104</v>
      </c>
      <c r="H68" s="574">
        <f>'DIY Grundmodell'!W73</f>
        <v>1.043891231397104</v>
      </c>
      <c r="I68" s="574">
        <f>'DIY Grundmodell'!X73</f>
        <v>1.043891231397104</v>
      </c>
      <c r="J68" s="574">
        <f>'DIY Grundmodell'!Y73</f>
        <v>1.043891231397104</v>
      </c>
      <c r="K68" s="574">
        <f>'DIY Grundmodell'!Z73</f>
        <v>1.043891231397104</v>
      </c>
      <c r="L68" s="574">
        <f>'DIY Grundmodell'!AA73</f>
        <v>1.043891231397104</v>
      </c>
      <c r="M68" s="574">
        <f>'DIY Grundmodell'!AB73</f>
        <v>1.043891231397104</v>
      </c>
      <c r="N68" s="574">
        <f>'DIY Grundmodell'!AC73</f>
        <v>1.043891231397104</v>
      </c>
      <c r="O68" s="573">
        <f>'DIY Grundmodell'!AD73</f>
        <v>1.043891231397104</v>
      </c>
      <c r="AF68" s="988">
        <f>'DIY Grundmodell'!R155</f>
        <v>45097</v>
      </c>
      <c r="AG68" s="89">
        <f>'DIY Grundmodell'!S155</f>
        <v>284.33</v>
      </c>
      <c r="AH68" s="54">
        <f>'DIY Grundmodell'!T155</f>
        <v>5886.0828000000001</v>
      </c>
      <c r="AI68" s="89">
        <f>'DIY Grundmodell'!U155</f>
        <v>284.33</v>
      </c>
      <c r="AJ68" s="89">
        <f>'DIY Grundmodell'!V155</f>
        <v>5886.0828000000001</v>
      </c>
      <c r="AK68" s="989"/>
      <c r="AL68" s="33">
        <f>'DIY Grundmodell'!X155</f>
        <v>4388.7097599999997</v>
      </c>
    </row>
    <row r="69" spans="2:38" ht="14.1" customHeight="1" x14ac:dyDescent="0.45">
      <c r="B69" s="1" t="str">
        <f>'DIY Grundmodell'!Q74</f>
        <v>Beta relev.</v>
      </c>
      <c r="C69" s="1"/>
      <c r="D69" s="573">
        <f>'DIY Grundmodell'!S74</f>
        <v>1.0881829755935819</v>
      </c>
      <c r="E69" s="574">
        <f>'DIY Grundmodell'!T74</f>
        <v>1.1102993685733724</v>
      </c>
      <c r="F69" s="574">
        <f>'DIY Grundmodell'!U74</f>
        <v>1.1336308618402802</v>
      </c>
      <c r="G69" s="574">
        <f>'DIY Grundmodell'!V74</f>
        <v>1.1582804224892114</v>
      </c>
      <c r="H69" s="574">
        <f>'DIY Grundmodell'!W74</f>
        <v>1.1843629896350254</v>
      </c>
      <c r="I69" s="574">
        <f>'DIY Grundmodell'!X74</f>
        <v>1.2120072664926356</v>
      </c>
      <c r="J69" s="574">
        <f>'DIY Grundmodell'!Y74</f>
        <v>1.2413578442973685</v>
      </c>
      <c r="K69" s="574">
        <f>'DIY Grundmodell'!Z74</f>
        <v>1.2725777320366265</v>
      </c>
      <c r="L69" s="574">
        <f>'DIY Grundmodell'!AA74</f>
        <v>1.3058513854283169</v>
      </c>
      <c r="M69" s="574">
        <f>'DIY Grundmodell'!AB74</f>
        <v>1.3413883540038916</v>
      </c>
      <c r="N69" s="574">
        <f>'DIY Grundmodell'!AC74</f>
        <v>1.3794276986318874</v>
      </c>
      <c r="O69" s="573">
        <f>'DIY Grundmodell'!AD74</f>
        <v>1.3794276986318874</v>
      </c>
      <c r="AF69" s="988">
        <f>'DIY Grundmodell'!R156</f>
        <v>45098</v>
      </c>
      <c r="AG69" s="89">
        <f>'DIY Grundmodell'!S156</f>
        <v>281.64</v>
      </c>
      <c r="AH69" s="54">
        <f>'DIY Grundmodell'!T156</f>
        <v>5789.4397200000003</v>
      </c>
      <c r="AI69" s="89">
        <f>'DIY Grundmodell'!U156</f>
        <v>281.64</v>
      </c>
      <c r="AJ69" s="89">
        <f>'DIY Grundmodell'!V156</f>
        <v>5789.4397200000003</v>
      </c>
      <c r="AK69" s="989"/>
      <c r="AL69" s="33">
        <f>'DIY Grundmodell'!X156</f>
        <v>4365.6898300000003</v>
      </c>
    </row>
    <row r="70" spans="2:38" ht="14.1" customHeight="1" x14ac:dyDescent="0.45">
      <c r="B70" s="1" t="str">
        <f>'DIY Grundmodell'!Q75</f>
        <v>Aufschlag</v>
      </c>
      <c r="C70" s="1"/>
      <c r="D70" s="573">
        <f>'DIY Grundmodell'!S75</f>
        <v>-0.52103406684745002</v>
      </c>
      <c r="E70" s="574">
        <f>'DIY Grundmodell'!T75</f>
        <v>-0.52103406684745002</v>
      </c>
      <c r="F70" s="574">
        <f>'DIY Grundmodell'!U75</f>
        <v>-0.52103406684745002</v>
      </c>
      <c r="G70" s="574">
        <f>'DIY Grundmodell'!V75</f>
        <v>-0.52103406684745002</v>
      </c>
      <c r="H70" s="574">
        <f>'DIY Grundmodell'!W75</f>
        <v>-0.52103406684745002</v>
      </c>
      <c r="I70" s="574">
        <f>'DIY Grundmodell'!X75</f>
        <v>-0.52103406684745002</v>
      </c>
      <c r="J70" s="574">
        <f>'DIY Grundmodell'!Y75</f>
        <v>-0.52103406684745002</v>
      </c>
      <c r="K70" s="574">
        <f>'DIY Grundmodell'!Z75</f>
        <v>-0.52103406684745002</v>
      </c>
      <c r="L70" s="574">
        <f>'DIY Grundmodell'!AA75</f>
        <v>-0.52103406684745002</v>
      </c>
      <c r="M70" s="574">
        <f>'DIY Grundmodell'!AB75</f>
        <v>-0.52103406684745002</v>
      </c>
      <c r="N70" s="574">
        <f>'DIY Grundmodell'!AC75</f>
        <v>-0.52103406684745002</v>
      </c>
      <c r="O70" s="579">
        <f>'DIY Grundmodell'!AD75</f>
        <v>-0.52103406684745002</v>
      </c>
      <c r="AF70" s="988">
        <f>'DIY Grundmodell'!R157</f>
        <v>45099</v>
      </c>
      <c r="AG70" s="89">
        <f>'DIY Grundmodell'!S157</f>
        <v>284.88</v>
      </c>
      <c r="AH70" s="54">
        <f>'DIY Grundmodell'!T157</f>
        <v>5003.3648199999998</v>
      </c>
      <c r="AI70" s="89">
        <f>'DIY Grundmodell'!U157</f>
        <v>284.88</v>
      </c>
      <c r="AJ70" s="89">
        <f>'DIY Grundmodell'!V157</f>
        <v>5003.3648199999998</v>
      </c>
      <c r="AK70" s="989"/>
      <c r="AL70" s="33">
        <f>'DIY Grundmodell'!X157</f>
        <v>4381.89048</v>
      </c>
    </row>
    <row r="71" spans="2:38" ht="14.1" customHeight="1" x14ac:dyDescent="0.45">
      <c r="B71" s="1" t="str">
        <f>'DIY Grundmodell'!Q76</f>
        <v>Bewertungsbeta</v>
      </c>
      <c r="C71" s="1"/>
      <c r="D71" s="573">
        <f>'DIY Grundmodell'!S76</f>
        <v>0.8</v>
      </c>
      <c r="E71" s="574">
        <f>'DIY Grundmodell'!T76</f>
        <v>0.8</v>
      </c>
      <c r="F71" s="574">
        <f>'DIY Grundmodell'!U76</f>
        <v>0.8</v>
      </c>
      <c r="G71" s="574">
        <f>'DIY Grundmodell'!V76</f>
        <v>0.8</v>
      </c>
      <c r="H71" s="574">
        <f>'DIY Grundmodell'!W76</f>
        <v>0.8</v>
      </c>
      <c r="I71" s="574">
        <f>'DIY Grundmodell'!X76</f>
        <v>0.8</v>
      </c>
      <c r="J71" s="574">
        <f>'DIY Grundmodell'!Y76</f>
        <v>0.8</v>
      </c>
      <c r="K71" s="574">
        <f>'DIY Grundmodell'!Z76</f>
        <v>0.8</v>
      </c>
      <c r="L71" s="574">
        <f>'DIY Grundmodell'!AA76</f>
        <v>0.8</v>
      </c>
      <c r="M71" s="574">
        <f>'DIY Grundmodell'!AB76</f>
        <v>0.82035428715644154</v>
      </c>
      <c r="N71" s="574">
        <f>'DIY Grundmodell'!AC76</f>
        <v>0.85839363178443739</v>
      </c>
      <c r="O71" s="579">
        <f>'DIY Grundmodell'!AD76</f>
        <v>0.85839363178443739</v>
      </c>
      <c r="AF71" s="988">
        <f>'DIY Grundmodell'!R158</f>
        <v>45100</v>
      </c>
      <c r="AG71" s="89">
        <f>'DIY Grundmodell'!S158</f>
        <v>288.73</v>
      </c>
      <c r="AH71" s="54">
        <f>'DIY Grundmodell'!T158</f>
        <v>14751.80413</v>
      </c>
      <c r="AI71" s="89">
        <f>'DIY Grundmodell'!U158</f>
        <v>288.73</v>
      </c>
      <c r="AJ71" s="89">
        <f>'DIY Grundmodell'!V158</f>
        <v>14751.80413</v>
      </c>
      <c r="AK71" s="989"/>
      <c r="AL71" s="33">
        <f>'DIY Grundmodell'!X158</f>
        <v>4348.3306700000003</v>
      </c>
    </row>
    <row r="72" spans="2:38" ht="14.1" customHeight="1" x14ac:dyDescent="0.45">
      <c r="B72" s="1" t="str">
        <f>'DIY Grundmodell'!Q77</f>
        <v>Aufschlag Länderrisiko</v>
      </c>
      <c r="C72" s="1"/>
      <c r="D72" s="568">
        <f>'DIY Grundmodell'!S77</f>
        <v>0</v>
      </c>
      <c r="E72" s="569">
        <f>'DIY Grundmodell'!T77</f>
        <v>0</v>
      </c>
      <c r="F72" s="569">
        <f>'DIY Grundmodell'!U77</f>
        <v>0</v>
      </c>
      <c r="G72" s="569">
        <f>'DIY Grundmodell'!V77</f>
        <v>0</v>
      </c>
      <c r="H72" s="569">
        <f>'DIY Grundmodell'!W77</f>
        <v>0</v>
      </c>
      <c r="I72" s="569">
        <f>'DIY Grundmodell'!X77</f>
        <v>0</v>
      </c>
      <c r="J72" s="569">
        <f>'DIY Grundmodell'!Y77</f>
        <v>0</v>
      </c>
      <c r="K72" s="569">
        <f>'DIY Grundmodell'!Z77</f>
        <v>0</v>
      </c>
      <c r="L72" s="569">
        <f>'DIY Grundmodell'!AA77</f>
        <v>0</v>
      </c>
      <c r="M72" s="569">
        <f>'DIY Grundmodell'!AB77</f>
        <v>0</v>
      </c>
      <c r="N72" s="569">
        <f>'DIY Grundmodell'!AC77</f>
        <v>0</v>
      </c>
      <c r="O72" s="568">
        <f>'DIY Grundmodell'!AD77</f>
        <v>0</v>
      </c>
      <c r="AF72" s="988">
        <f>'DIY Grundmodell'!R159</f>
        <v>45101</v>
      </c>
      <c r="AG72" s="89" t="e">
        <f>'DIY Grundmodell'!S159</f>
        <v>#N/A</v>
      </c>
      <c r="AH72" s="54" t="e">
        <f>'DIY Grundmodell'!T159</f>
        <v>#N/A</v>
      </c>
      <c r="AI72" s="89">
        <f>'DIY Grundmodell'!U159</f>
        <v>288.73</v>
      </c>
      <c r="AJ72" s="89">
        <f>'DIY Grundmodell'!V159</f>
        <v>0</v>
      </c>
      <c r="AK72" s="989"/>
      <c r="AL72" s="33">
        <f>'DIY Grundmodell'!X159</f>
        <v>4348.3306700000003</v>
      </c>
    </row>
    <row r="73" spans="2:38" ht="14.1" customHeight="1" x14ac:dyDescent="0.45">
      <c r="B73" s="82" t="str">
        <f>'DIY Grundmodell'!Q78</f>
        <v>Eigenkapitalkosten</v>
      </c>
      <c r="C73" s="82"/>
      <c r="D73" s="580">
        <f>'DIY Grundmodell'!S78</f>
        <v>9.6729938695754886E-2</v>
      </c>
      <c r="E73" s="581">
        <f>'DIY Grundmodell'!T78</f>
        <v>9.6729938695754886E-2</v>
      </c>
      <c r="F73" s="581">
        <f>'DIY Grundmodell'!U78</f>
        <v>9.6729938695754886E-2</v>
      </c>
      <c r="G73" s="581">
        <f>'DIY Grundmodell'!V78</f>
        <v>9.6729938695754886E-2</v>
      </c>
      <c r="H73" s="581">
        <f>'DIY Grundmodell'!W78</f>
        <v>9.6729938695754886E-2</v>
      </c>
      <c r="I73" s="581">
        <f>'DIY Grundmodell'!X78</f>
        <v>9.6729938695754886E-2</v>
      </c>
      <c r="J73" s="581">
        <f>'DIY Grundmodell'!Y78</f>
        <v>9.6729938695754886E-2</v>
      </c>
      <c r="K73" s="581">
        <f>'DIY Grundmodell'!Z78</f>
        <v>9.6729938695754886E-2</v>
      </c>
      <c r="L73" s="581">
        <f>'DIY Grundmodell'!AA78</f>
        <v>9.6729938695754886E-2</v>
      </c>
      <c r="M73" s="581">
        <f>'DIY Grundmodell'!AB78</f>
        <v>9.809189337535501E-2</v>
      </c>
      <c r="N73" s="581">
        <f>'DIY Grundmodell'!AC78</f>
        <v>0.10063719810780915</v>
      </c>
      <c r="O73" s="580">
        <f>'DIY Grundmodell'!AD78</f>
        <v>0.10063719810780915</v>
      </c>
      <c r="AF73" s="988">
        <f>'DIY Grundmodell'!R160</f>
        <v>45102</v>
      </c>
      <c r="AG73" s="89" t="e">
        <f>'DIY Grundmodell'!S160</f>
        <v>#N/A</v>
      </c>
      <c r="AH73" s="54" t="e">
        <f>'DIY Grundmodell'!T160</f>
        <v>#N/A</v>
      </c>
      <c r="AI73" s="89">
        <f>'DIY Grundmodell'!U160</f>
        <v>288.73</v>
      </c>
      <c r="AJ73" s="89">
        <f>'DIY Grundmodell'!V160</f>
        <v>0</v>
      </c>
      <c r="AK73" s="989"/>
      <c r="AL73" s="33">
        <f>'DIY Grundmodell'!X160</f>
        <v>4348.3306700000003</v>
      </c>
    </row>
    <row r="74" spans="2:38" ht="14.1" customHeight="1" x14ac:dyDescent="0.45">
      <c r="B74" s="1" t="str">
        <f>'DIY Grundmodell'!Q79</f>
        <v>Steuer</v>
      </c>
      <c r="C74" s="1"/>
      <c r="D74" s="568">
        <f>'DIY Grundmodell'!S79</f>
        <v>0.25</v>
      </c>
      <c r="E74" s="569">
        <f>'DIY Grundmodell'!T79</f>
        <v>0.25</v>
      </c>
      <c r="F74" s="569">
        <f>'DIY Grundmodell'!U79</f>
        <v>0.25</v>
      </c>
      <c r="G74" s="569">
        <f>'DIY Grundmodell'!V79</f>
        <v>0.25</v>
      </c>
      <c r="H74" s="569">
        <f>'DIY Grundmodell'!W79</f>
        <v>0.25</v>
      </c>
      <c r="I74" s="569">
        <f>'DIY Grundmodell'!X79</f>
        <v>0.25</v>
      </c>
      <c r="J74" s="569">
        <f>'DIY Grundmodell'!Y79</f>
        <v>0.25</v>
      </c>
      <c r="K74" s="569">
        <f>'DIY Grundmodell'!Z79</f>
        <v>0.25</v>
      </c>
      <c r="L74" s="569">
        <f>'DIY Grundmodell'!AA79</f>
        <v>0.25</v>
      </c>
      <c r="M74" s="569">
        <f>'DIY Grundmodell'!AB79</f>
        <v>0.25</v>
      </c>
      <c r="N74" s="569">
        <f>'DIY Grundmodell'!AC79</f>
        <v>0.25</v>
      </c>
      <c r="O74" s="568">
        <f>'DIY Grundmodell'!AD79</f>
        <v>0.25</v>
      </c>
      <c r="AF74" s="988">
        <f>'DIY Grundmodell'!R161</f>
        <v>45103</v>
      </c>
      <c r="AG74" s="89">
        <f>'DIY Grundmodell'!S161</f>
        <v>278.47000000000003</v>
      </c>
      <c r="AH74" s="54">
        <f>'DIY Grundmodell'!T161</f>
        <v>6748.0663199999999</v>
      </c>
      <c r="AI74" s="89">
        <f>'DIY Grundmodell'!U161</f>
        <v>278.47000000000003</v>
      </c>
      <c r="AJ74" s="89">
        <f>'DIY Grundmodell'!V161</f>
        <v>6748.0663199999999</v>
      </c>
      <c r="AK74" s="989"/>
      <c r="AL74" s="33">
        <f>'DIY Grundmodell'!X161</f>
        <v>4328.82161</v>
      </c>
    </row>
    <row r="75" spans="2:38" ht="14.1" customHeight="1" x14ac:dyDescent="0.45">
      <c r="B75" s="1" t="str">
        <f>'DIY Grundmodell'!Q80</f>
        <v>i FK</v>
      </c>
      <c r="C75" s="1"/>
      <c r="D75" s="568">
        <f>'DIY Grundmodell'!S80</f>
        <v>5.5586666666666673E-2</v>
      </c>
      <c r="E75" s="569">
        <f>'DIY Grundmodell'!T80</f>
        <v>5.5586666666666673E-2</v>
      </c>
      <c r="F75" s="569">
        <f>'DIY Grundmodell'!U80</f>
        <v>5.5586666666666673E-2</v>
      </c>
      <c r="G75" s="569">
        <f>'DIY Grundmodell'!V80</f>
        <v>5.5586666666666673E-2</v>
      </c>
      <c r="H75" s="569">
        <f>'DIY Grundmodell'!W80</f>
        <v>5.5586666666666673E-2</v>
      </c>
      <c r="I75" s="569">
        <f>'DIY Grundmodell'!X80</f>
        <v>5.5586666666666673E-2</v>
      </c>
      <c r="J75" s="569">
        <f>'DIY Grundmodell'!Y80</f>
        <v>5.5586666666666673E-2</v>
      </c>
      <c r="K75" s="569">
        <f>'DIY Grundmodell'!Z80</f>
        <v>5.5586666666666673E-2</v>
      </c>
      <c r="L75" s="569">
        <f>'DIY Grundmodell'!AA80</f>
        <v>5.5586666666666673E-2</v>
      </c>
      <c r="M75" s="569">
        <f>'DIY Grundmodell'!AB80</f>
        <v>5.5586666666666673E-2</v>
      </c>
      <c r="N75" s="569">
        <f>'DIY Grundmodell'!AC80</f>
        <v>5.5586666666666673E-2</v>
      </c>
      <c r="O75" s="568">
        <f>'DIY Grundmodell'!AD80</f>
        <v>5.5586666666666673E-2</v>
      </c>
      <c r="AF75" s="988">
        <f>'DIY Grundmodell'!R162</f>
        <v>45104</v>
      </c>
      <c r="AG75" s="89">
        <f>'DIY Grundmodell'!S162</f>
        <v>287.05</v>
      </c>
      <c r="AH75" s="54">
        <f>'DIY Grundmodell'!T162</f>
        <v>7494.3760300000004</v>
      </c>
      <c r="AI75" s="89">
        <f>'DIY Grundmodell'!U162</f>
        <v>287.05</v>
      </c>
      <c r="AJ75" s="89">
        <f>'DIY Grundmodell'!V162</f>
        <v>7494.3760300000004</v>
      </c>
      <c r="AK75" s="989"/>
      <c r="AL75" s="33">
        <f>'DIY Grundmodell'!X162</f>
        <v>4378.4053199999998</v>
      </c>
    </row>
    <row r="76" spans="2:38" ht="14.1" customHeight="1" x14ac:dyDescent="0.45">
      <c r="B76" s="82" t="str">
        <f>'DIY Grundmodell'!Q81</f>
        <v>Fremdkapitalko. n. Steuer</v>
      </c>
      <c r="C76" s="82"/>
      <c r="D76" s="580">
        <f>'DIY Grundmodell'!S81</f>
        <v>4.1690000000000005E-2</v>
      </c>
      <c r="E76" s="581">
        <f>'DIY Grundmodell'!T81</f>
        <v>4.1690000000000005E-2</v>
      </c>
      <c r="F76" s="581">
        <f>'DIY Grundmodell'!U81</f>
        <v>4.1690000000000005E-2</v>
      </c>
      <c r="G76" s="581">
        <f>'DIY Grundmodell'!V81</f>
        <v>4.1690000000000005E-2</v>
      </c>
      <c r="H76" s="581">
        <f>'DIY Grundmodell'!W81</f>
        <v>4.1690000000000005E-2</v>
      </c>
      <c r="I76" s="581">
        <f>'DIY Grundmodell'!X81</f>
        <v>4.1690000000000005E-2</v>
      </c>
      <c r="J76" s="581">
        <f>'DIY Grundmodell'!Y81</f>
        <v>4.1690000000000005E-2</v>
      </c>
      <c r="K76" s="581">
        <f>'DIY Grundmodell'!Z81</f>
        <v>4.1690000000000005E-2</v>
      </c>
      <c r="L76" s="581">
        <f>'DIY Grundmodell'!AA81</f>
        <v>4.1690000000000005E-2</v>
      </c>
      <c r="M76" s="581">
        <f>'DIY Grundmodell'!AB81</f>
        <v>4.1690000000000005E-2</v>
      </c>
      <c r="N76" s="581">
        <f>'DIY Grundmodell'!AC81</f>
        <v>4.1690000000000005E-2</v>
      </c>
      <c r="O76" s="580">
        <f>'DIY Grundmodell'!AD81</f>
        <v>4.1690000000000005E-2</v>
      </c>
      <c r="AF76" s="988">
        <f>'DIY Grundmodell'!R163</f>
        <v>45105</v>
      </c>
      <c r="AG76" s="89">
        <f>'DIY Grundmodell'!S163</f>
        <v>285.29000000000002</v>
      </c>
      <c r="AH76" s="54">
        <f>'DIY Grundmodell'!T163</f>
        <v>4770.6527599999999</v>
      </c>
      <c r="AI76" s="89">
        <f>'DIY Grundmodell'!U163</f>
        <v>285.29000000000002</v>
      </c>
      <c r="AJ76" s="89">
        <f>'DIY Grundmodell'!V163</f>
        <v>4770.6527599999999</v>
      </c>
      <c r="AK76" s="989"/>
      <c r="AL76" s="33">
        <f>'DIY Grundmodell'!X163</f>
        <v>4376.8637099999996</v>
      </c>
    </row>
    <row r="77" spans="2:38" ht="14.1" customHeight="1" x14ac:dyDescent="0.45">
      <c r="B77" s="83" t="str">
        <f>'DIY Grundmodell'!Q82</f>
        <v>Eigenkapitalwert (Marktk.)</v>
      </c>
      <c r="C77" s="83"/>
      <c r="D77" s="506">
        <f>'DIY Grundmodell'!S82</f>
        <v>1712180.20692</v>
      </c>
      <c r="E77" s="487">
        <f>'DIY Grundmodell'!T82</f>
        <v>0</v>
      </c>
      <c r="F77" s="585">
        <f>'DIY Grundmodell'!U82</f>
        <v>0</v>
      </c>
      <c r="G77" s="585">
        <f>'DIY Grundmodell'!V82</f>
        <v>0</v>
      </c>
      <c r="H77" s="585">
        <f>'DIY Grundmodell'!W82</f>
        <v>0</v>
      </c>
      <c r="I77" s="585">
        <f>'DIY Grundmodell'!X82</f>
        <v>0</v>
      </c>
      <c r="J77" s="585">
        <f>'DIY Grundmodell'!Y82</f>
        <v>0</v>
      </c>
      <c r="K77" s="585">
        <f>'DIY Grundmodell'!Z82</f>
        <v>0</v>
      </c>
      <c r="L77" s="585">
        <f>'DIY Grundmodell'!AA82</f>
        <v>0</v>
      </c>
      <c r="M77" s="585">
        <f>'DIY Grundmodell'!AB82</f>
        <v>0</v>
      </c>
      <c r="N77" s="585">
        <f>'DIY Grundmodell'!AC82</f>
        <v>0</v>
      </c>
      <c r="O77" s="586">
        <f>'DIY Grundmodell'!AD82</f>
        <v>0</v>
      </c>
      <c r="AF77" s="988">
        <f>'DIY Grundmodell'!R164</f>
        <v>45106</v>
      </c>
      <c r="AG77" s="89">
        <f>'DIY Grundmodell'!S164</f>
        <v>281.52999999999997</v>
      </c>
      <c r="AH77" s="54">
        <f>'DIY Grundmodell'!T164</f>
        <v>4334.34861</v>
      </c>
      <c r="AI77" s="89">
        <f>'DIY Grundmodell'!U164</f>
        <v>281.52999999999997</v>
      </c>
      <c r="AJ77" s="89">
        <f>'DIY Grundmodell'!V164</f>
        <v>4334.34861</v>
      </c>
      <c r="AK77" s="989"/>
      <c r="AL77" s="33">
        <f>'DIY Grundmodell'!X164</f>
        <v>4396.4434199999996</v>
      </c>
    </row>
    <row r="78" spans="2:38" ht="14.1" customHeight="1" x14ac:dyDescent="0.45">
      <c r="B78" s="83" t="str">
        <f>'DIY Grundmodell'!Q83</f>
        <v>Fremdkapitalwert</v>
      </c>
      <c r="C78" s="83"/>
      <c r="D78" s="506">
        <f>'DIY Grundmodell'!S83</f>
        <v>96862.515253533027</v>
      </c>
      <c r="E78" s="487">
        <f>'DIY Grundmodell'!T83</f>
        <v>129590.2356967489</v>
      </c>
      <c r="F78" s="487">
        <f>'DIY Grundmodell'!U83</f>
        <v>185504.86087150063</v>
      </c>
      <c r="G78" s="487">
        <f>'DIY Grundmodell'!V83</f>
        <v>248268.08390763131</v>
      </c>
      <c r="H78" s="487">
        <f>'DIY Grundmodell'!W83</f>
        <v>316493.80031059776</v>
      </c>
      <c r="I78" s="487">
        <f>'DIY Grundmodell'!X83</f>
        <v>391300.39766925259</v>
      </c>
      <c r="J78" s="487">
        <f>'DIY Grundmodell'!Y83</f>
        <v>467157.86615034682</v>
      </c>
      <c r="K78" s="487">
        <f>'DIY Grundmodell'!Z83</f>
        <v>547901.91221912357</v>
      </c>
      <c r="L78" s="487">
        <f>'DIY Grundmodell'!AA83</f>
        <v>630824.84060264274</v>
      </c>
      <c r="M78" s="487">
        <f>'DIY Grundmodell'!AB83</f>
        <v>716870.08704631077</v>
      </c>
      <c r="N78" s="487">
        <f>'DIY Grundmodell'!AC83</f>
        <v>808367.51683881844</v>
      </c>
      <c r="O78" s="506">
        <f>'DIY Grundmodell'!AD83</f>
        <v>0</v>
      </c>
      <c r="AF78" s="988">
        <f>'DIY Grundmodell'!R165</f>
        <v>45107</v>
      </c>
      <c r="AG78" s="89">
        <f>'DIY Grundmodell'!S165</f>
        <v>286.98</v>
      </c>
      <c r="AH78" s="54">
        <f>'DIY Grundmodell'!T165</f>
        <v>5652.0343700000003</v>
      </c>
      <c r="AI78" s="89">
        <f>'DIY Grundmodell'!U165</f>
        <v>286.98</v>
      </c>
      <c r="AJ78" s="89">
        <f>'DIY Grundmodell'!V165</f>
        <v>5652.0343700000003</v>
      </c>
      <c r="AK78" s="989"/>
      <c r="AL78" s="33">
        <f>'DIY Grundmodell'!X165</f>
        <v>4450.3813099999998</v>
      </c>
    </row>
    <row r="79" spans="2:38" ht="14.1" customHeight="1" x14ac:dyDescent="0.45">
      <c r="B79" s="83" t="str">
        <f>'DIY Grundmodell'!Q84</f>
        <v>FK/EK</v>
      </c>
      <c r="C79" s="83"/>
      <c r="D79" s="568">
        <f>'DIY Grundmodell'!S84</f>
        <v>5.6572617100729534E-2</v>
      </c>
      <c r="E79" s="569">
        <f>'DIY Grundmodell'!T84</f>
        <v>8.4821272790257002E-2</v>
      </c>
      <c r="F79" s="569">
        <f>'DIY Grundmodell'!U84</f>
        <v>0.11462194239409676</v>
      </c>
      <c r="G79" s="569">
        <f>'DIY Grundmodell'!V84</f>
        <v>0.14610614292833732</v>
      </c>
      <c r="H79" s="569">
        <f>'DIY Grundmodell'!W84</f>
        <v>0.17942068293829075</v>
      </c>
      <c r="I79" s="569">
        <f>'DIY Grundmodell'!X84</f>
        <v>0.21472995147272994</v>
      </c>
      <c r="J79" s="569">
        <f>'DIY Grundmodell'!Y84</f>
        <v>0.25221863090848728</v>
      </c>
      <c r="K79" s="569">
        <f>'DIY Grundmodell'!Z84</f>
        <v>0.29209492810658361</v>
      </c>
      <c r="L79" s="569">
        <f>'DIY Grundmodell'!AA84</f>
        <v>0.33459444324241255</v>
      </c>
      <c r="M79" s="569">
        <f>'DIY Grundmodell'!AB84</f>
        <v>0.37998482812381223</v>
      </c>
      <c r="N79" s="569">
        <f>'DIY Grundmodell'!AC84</f>
        <v>0.4285714285714286</v>
      </c>
      <c r="O79" s="568">
        <f>'DIY Grundmodell'!AD84</f>
        <v>0.4285714285714286</v>
      </c>
      <c r="AF79" s="988">
        <f>'DIY Grundmodell'!R166</f>
        <v>45108</v>
      </c>
      <c r="AG79" s="89" t="e">
        <f>'DIY Grundmodell'!S166</f>
        <v>#N/A</v>
      </c>
      <c r="AH79" s="54" t="e">
        <f>'DIY Grundmodell'!T166</f>
        <v>#N/A</v>
      </c>
      <c r="AI79" s="89">
        <f>'DIY Grundmodell'!U166</f>
        <v>286.98</v>
      </c>
      <c r="AJ79" s="89">
        <f>'DIY Grundmodell'!V166</f>
        <v>0</v>
      </c>
      <c r="AK79" s="989"/>
      <c r="AL79" s="33">
        <f>'DIY Grundmodell'!X166</f>
        <v>4450.3813099999998</v>
      </c>
    </row>
    <row r="80" spans="2:38" ht="14.1" customHeight="1" x14ac:dyDescent="0.45">
      <c r="B80" s="83" t="str">
        <f>'DIY Grundmodell'!Q85</f>
        <v>EK/GK</v>
      </c>
      <c r="C80" s="83"/>
      <c r="D80" s="568">
        <f>'DIY Grundmodell'!S85</f>
        <v>0.94645647995689441</v>
      </c>
      <c r="E80" s="569">
        <f>'DIY Grundmodell'!T85</f>
        <v>0.92181083196120484</v>
      </c>
      <c r="F80" s="569">
        <f>'DIY Grundmodell'!U85</f>
        <v>0.89716518396551548</v>
      </c>
      <c r="G80" s="569">
        <f>'DIY Grundmodell'!V85</f>
        <v>0.87251953596982601</v>
      </c>
      <c r="H80" s="569">
        <f>'DIY Grundmodell'!W85</f>
        <v>0.84787388797413654</v>
      </c>
      <c r="I80" s="569">
        <f>'DIY Grundmodell'!X85</f>
        <v>0.82322823997844718</v>
      </c>
      <c r="J80" s="569">
        <f>'DIY Grundmodell'!Y85</f>
        <v>0.79858259198275772</v>
      </c>
      <c r="K80" s="569">
        <f>'DIY Grundmodell'!Z85</f>
        <v>0.77393694398706825</v>
      </c>
      <c r="L80" s="569">
        <f>'DIY Grundmodell'!AA85</f>
        <v>0.74929129599137889</v>
      </c>
      <c r="M80" s="569">
        <f>'DIY Grundmodell'!AB85</f>
        <v>0.72464564799568942</v>
      </c>
      <c r="N80" s="569">
        <f>'DIY Grundmodell'!AC85</f>
        <v>0.7</v>
      </c>
      <c r="O80" s="568">
        <f>'DIY Grundmodell'!AD85</f>
        <v>0.7</v>
      </c>
      <c r="AF80" s="988">
        <f>'DIY Grundmodell'!R167</f>
        <v>45109</v>
      </c>
      <c r="AG80" s="89" t="e">
        <f>'DIY Grundmodell'!S167</f>
        <v>#N/A</v>
      </c>
      <c r="AH80" s="54" t="e">
        <f>'DIY Grundmodell'!T167</f>
        <v>#N/A</v>
      </c>
      <c r="AI80" s="89">
        <f>'DIY Grundmodell'!U167</f>
        <v>286.98</v>
      </c>
      <c r="AJ80" s="89">
        <f>'DIY Grundmodell'!V167</f>
        <v>0</v>
      </c>
      <c r="AK80" s="989"/>
      <c r="AL80" s="33">
        <f>'DIY Grundmodell'!X167</f>
        <v>4450.3813099999998</v>
      </c>
    </row>
    <row r="81" spans="2:38" ht="14.1" customHeight="1" x14ac:dyDescent="0.45">
      <c r="B81" s="83" t="str">
        <f>'DIY Grundmodell'!Q86</f>
        <v>FK/GK</v>
      </c>
      <c r="C81" s="83"/>
      <c r="D81" s="568">
        <f>'DIY Grundmodell'!S86</f>
        <v>5.3543520043105683E-2</v>
      </c>
      <c r="E81" s="569">
        <f>'DIY Grundmodell'!T86</f>
        <v>7.8189168038795109E-2</v>
      </c>
      <c r="F81" s="569">
        <f>'DIY Grundmodell'!U86</f>
        <v>0.10283481603448454</v>
      </c>
      <c r="G81" s="569">
        <f>'DIY Grundmodell'!V86</f>
        <v>0.12748046403017396</v>
      </c>
      <c r="H81" s="569">
        <f>'DIY Grundmodell'!W86</f>
        <v>0.1521261120258634</v>
      </c>
      <c r="I81" s="569">
        <f>'DIY Grundmodell'!X86</f>
        <v>0.17677176002155284</v>
      </c>
      <c r="J81" s="569">
        <f>'DIY Grundmodell'!Y86</f>
        <v>0.20141740801724228</v>
      </c>
      <c r="K81" s="569">
        <f>'DIY Grundmodell'!Z86</f>
        <v>0.22606305601293172</v>
      </c>
      <c r="L81" s="569">
        <f>'DIY Grundmodell'!AA86</f>
        <v>0.25070870400862116</v>
      </c>
      <c r="M81" s="569">
        <f>'DIY Grundmodell'!AB86</f>
        <v>0.27535435200431058</v>
      </c>
      <c r="N81" s="569">
        <f>'DIY Grundmodell'!AC86</f>
        <v>0.3</v>
      </c>
      <c r="O81" s="568">
        <f>'DIY Grundmodell'!AD86</f>
        <v>0.3</v>
      </c>
      <c r="AF81" s="988">
        <f>'DIY Grundmodell'!R168</f>
        <v>45110</v>
      </c>
      <c r="AG81" s="89">
        <f>'DIY Grundmodell'!S168</f>
        <v>286.02</v>
      </c>
      <c r="AH81" s="54">
        <f>'DIY Grundmodell'!T168</f>
        <v>2462.2188999999998</v>
      </c>
      <c r="AI81" s="89">
        <f>'DIY Grundmodell'!U168</f>
        <v>286.02</v>
      </c>
      <c r="AJ81" s="89">
        <f>'DIY Grundmodell'!V168</f>
        <v>2462.2188999999998</v>
      </c>
      <c r="AK81" s="989"/>
      <c r="AL81" s="33">
        <f>'DIY Grundmodell'!X168</f>
        <v>4455.5938800000004</v>
      </c>
    </row>
    <row r="82" spans="2:38" ht="14.1" customHeight="1" x14ac:dyDescent="0.45">
      <c r="B82" s="82" t="str">
        <f>'DIY Grundmodell'!Q87</f>
        <v>WACC</v>
      </c>
      <c r="C82" s="82"/>
      <c r="D82" s="580">
        <f>'DIY Grundmodell'!S87</f>
        <v>9.3782906635027447E-2</v>
      </c>
      <c r="E82" s="581">
        <f>'DIY Grundmodell'!T87</f>
        <v>9.2426411680227527E-2</v>
      </c>
      <c r="F82" s="581">
        <f>'DIY Grundmodell'!U87</f>
        <v>9.1069916725427622E-2</v>
      </c>
      <c r="G82" s="581">
        <f>'DIY Grundmodell'!V87</f>
        <v>8.9713421770627716E-2</v>
      </c>
      <c r="H82" s="581">
        <f>'DIY Grundmodell'!W87</f>
        <v>8.8356926815827824E-2</v>
      </c>
      <c r="I82" s="581">
        <f>'DIY Grundmodell'!X87</f>
        <v>8.7000431861027919E-2</v>
      </c>
      <c r="J82" s="581">
        <f>'DIY Grundmodell'!Y87</f>
        <v>8.5643936906228013E-2</v>
      </c>
      <c r="K82" s="581">
        <f>'DIY Grundmodell'!Z87</f>
        <v>8.4287441951428121E-2</v>
      </c>
      <c r="L82" s="581">
        <f>'DIY Grundmodell'!AA87</f>
        <v>8.2930946996628216E-2</v>
      </c>
      <c r="M82" s="581">
        <f>'DIY Grundmodell'!AB87</f>
        <v>8.2561386573167916E-2</v>
      </c>
      <c r="N82" s="581">
        <f>'DIY Grundmodell'!AC87</f>
        <v>8.2953038675466398E-2</v>
      </c>
      <c r="O82" s="580">
        <f>'DIY Grundmodell'!AD87</f>
        <v>8.2953038675466398E-2</v>
      </c>
      <c r="AF82" s="988">
        <f>'DIY Grundmodell'!R169</f>
        <v>45111</v>
      </c>
      <c r="AG82" s="89" t="e">
        <f>'DIY Grundmodell'!S169</f>
        <v>#N/A</v>
      </c>
      <c r="AH82" s="54" t="e">
        <f>'DIY Grundmodell'!T169</f>
        <v>#N/A</v>
      </c>
      <c r="AI82" s="89">
        <f>'DIY Grundmodell'!U169</f>
        <v>286.02</v>
      </c>
      <c r="AJ82" s="89">
        <f>'DIY Grundmodell'!V169</f>
        <v>0</v>
      </c>
      <c r="AK82" s="989"/>
      <c r="AL82" s="33">
        <f>'DIY Grundmodell'!X169</f>
        <v>4455.5938800000004</v>
      </c>
    </row>
    <row r="83" spans="2:38" ht="14.1" customHeight="1" x14ac:dyDescent="0.45">
      <c r="B83" s="144" t="str">
        <f>'DIY Grundmodell'!Q88</f>
        <v>Kontrollzeile</v>
      </c>
      <c r="C83" s="6">
        <f>'DIY Grundmodell'!R88</f>
        <v>0</v>
      </c>
      <c r="D83" s="145">
        <f>'DIY Grundmodell'!S88</f>
        <v>0</v>
      </c>
      <c r="E83" s="145">
        <f>'DIY Grundmodell'!T88</f>
        <v>0</v>
      </c>
      <c r="F83" s="145">
        <f>'DIY Grundmodell'!U88</f>
        <v>0</v>
      </c>
      <c r="G83" s="145">
        <f>'DIY Grundmodell'!V88</f>
        <v>0</v>
      </c>
      <c r="H83" s="145">
        <f>'DIY Grundmodell'!W88</f>
        <v>0</v>
      </c>
      <c r="I83" s="145">
        <f>'DIY Grundmodell'!X88</f>
        <v>0</v>
      </c>
      <c r="J83" s="145">
        <f>'DIY Grundmodell'!Y88</f>
        <v>0</v>
      </c>
      <c r="K83" s="145">
        <f>'DIY Grundmodell'!Z88</f>
        <v>0</v>
      </c>
      <c r="L83" s="145">
        <f>'DIY Grundmodell'!AA88</f>
        <v>0</v>
      </c>
      <c r="M83" s="145">
        <f>'DIY Grundmodell'!AB88</f>
        <v>0</v>
      </c>
      <c r="N83" s="145">
        <f>'DIY Grundmodell'!AC88</f>
        <v>0</v>
      </c>
      <c r="O83" s="6">
        <f>'DIY Grundmodell'!AD88</f>
        <v>0</v>
      </c>
      <c r="AF83" s="988">
        <f>'DIY Grundmodell'!R170</f>
        <v>45112</v>
      </c>
      <c r="AG83" s="89">
        <f>'DIY Grundmodell'!S170</f>
        <v>294.37</v>
      </c>
      <c r="AH83" s="54">
        <f>'DIY Grundmodell'!T170</f>
        <v>9968.9745800000001</v>
      </c>
      <c r="AI83" s="89">
        <f>'DIY Grundmodell'!U170</f>
        <v>294.37</v>
      </c>
      <c r="AJ83" s="89">
        <f>'DIY Grundmodell'!V170</f>
        <v>9968.9745800000001</v>
      </c>
      <c r="AK83" s="989"/>
      <c r="AL83" s="33">
        <f>'DIY Grundmodell'!X170</f>
        <v>4446.8247700000002</v>
      </c>
    </row>
    <row r="84" spans="2:38" ht="14.1" customHeight="1" x14ac:dyDescent="0.45">
      <c r="B84" s="770" t="str">
        <f>B13</f>
        <v>Historie</v>
      </c>
      <c r="C84" s="771">
        <f>C13</f>
        <v>2016</v>
      </c>
      <c r="D84" s="771">
        <f t="shared" ref="D84:L84" si="3">D13</f>
        <v>2017</v>
      </c>
      <c r="E84" s="771">
        <f t="shared" si="3"/>
        <v>2018</v>
      </c>
      <c r="F84" s="771">
        <f t="shared" si="3"/>
        <v>2019</v>
      </c>
      <c r="G84" s="771">
        <f t="shared" si="3"/>
        <v>2020</v>
      </c>
      <c r="H84" s="771">
        <f t="shared" si="3"/>
        <v>2021</v>
      </c>
      <c r="I84" s="771">
        <f t="shared" si="3"/>
        <v>2022</v>
      </c>
      <c r="J84" s="771">
        <f t="shared" si="3"/>
        <v>2023</v>
      </c>
      <c r="K84" s="771">
        <f t="shared" si="3"/>
        <v>2024</v>
      </c>
      <c r="L84" s="771">
        <f t="shared" si="3"/>
        <v>2025</v>
      </c>
      <c r="M84" s="145">
        <f>'DIY Grundmodell'!AB89</f>
        <v>0</v>
      </c>
      <c r="N84" s="145">
        <f>'DIY Grundmodell'!AC89</f>
        <v>0</v>
      </c>
      <c r="O84" s="145">
        <f>'DIY Grundmodell'!AD89</f>
        <v>0</v>
      </c>
      <c r="AF84" s="988">
        <f>'DIY Grundmodell'!R171</f>
        <v>45113</v>
      </c>
      <c r="AG84" s="89">
        <f>'DIY Grundmodell'!S171</f>
        <v>291.99</v>
      </c>
      <c r="AH84" s="54">
        <f>'DIY Grundmodell'!T171</f>
        <v>13937.800730000001</v>
      </c>
      <c r="AI84" s="89">
        <f>'DIY Grundmodell'!U171</f>
        <v>291.99</v>
      </c>
      <c r="AJ84" s="89">
        <f>'DIY Grundmodell'!V171</f>
        <v>13937.800730000001</v>
      </c>
      <c r="AK84" s="989"/>
      <c r="AL84" s="33">
        <f>'DIY Grundmodell'!X171</f>
        <v>4411.5907299999999</v>
      </c>
    </row>
    <row r="85" spans="2:38" ht="14.1" customHeight="1" x14ac:dyDescent="0.45">
      <c r="B85" s="769" t="str">
        <f>B14</f>
        <v>Umsatz</v>
      </c>
      <c r="C85" s="478">
        <f t="shared" ref="C85:L85" si="4">C14</f>
        <v>27638</v>
      </c>
      <c r="D85" s="478">
        <f t="shared" si="4"/>
        <v>40653</v>
      </c>
      <c r="E85" s="478">
        <f t="shared" si="4"/>
        <v>55838</v>
      </c>
      <c r="F85" s="478">
        <f t="shared" si="4"/>
        <v>70697</v>
      </c>
      <c r="G85" s="478">
        <f t="shared" si="4"/>
        <v>85965</v>
      </c>
      <c r="H85" s="478">
        <f t="shared" si="4"/>
        <v>117929</v>
      </c>
      <c r="I85" s="478">
        <f t="shared" si="4"/>
        <v>116609</v>
      </c>
      <c r="J85" s="478">
        <f t="shared" si="4"/>
        <v>134902</v>
      </c>
      <c r="K85" s="478">
        <f t="shared" si="4"/>
        <v>164501</v>
      </c>
      <c r="L85" s="478">
        <f t="shared" si="4"/>
        <v>200966</v>
      </c>
      <c r="AF85" s="988">
        <f>'DIY Grundmodell'!R172</f>
        <v>45114</v>
      </c>
      <c r="AG85" s="89">
        <f>'DIY Grundmodell'!S172</f>
        <v>290.52999999999997</v>
      </c>
      <c r="AH85" s="54">
        <f>'DIY Grundmodell'!T172</f>
        <v>7433.4933199999996</v>
      </c>
      <c r="AI85" s="89">
        <f>'DIY Grundmodell'!U172</f>
        <v>290.52999999999997</v>
      </c>
      <c r="AJ85" s="89">
        <f>'DIY Grundmodell'!V172</f>
        <v>7433.4933199999996</v>
      </c>
      <c r="AK85" s="989"/>
      <c r="AL85" s="33">
        <f>'DIY Grundmodell'!X172</f>
        <v>4398.9526599999999</v>
      </c>
    </row>
    <row r="86" spans="2:38" ht="14.1" customHeight="1" x14ac:dyDescent="0.45">
      <c r="B86" s="772" t="s">
        <v>141</v>
      </c>
      <c r="C86" s="491">
        <f>C17</f>
        <v>0.44963456111151312</v>
      </c>
      <c r="D86" s="491">
        <f t="shared" ref="D86:L86" si="5">D17</f>
        <v>0.49696209381841439</v>
      </c>
      <c r="E86" s="491">
        <f t="shared" si="5"/>
        <v>0.44616569361366809</v>
      </c>
      <c r="F86" s="491">
        <f t="shared" si="5"/>
        <v>0.41000325332050863</v>
      </c>
      <c r="G86" s="491">
        <f t="shared" si="5"/>
        <v>0.3800500203571221</v>
      </c>
      <c r="H86" s="491">
        <f t="shared" si="5"/>
        <v>0.39645040660058173</v>
      </c>
      <c r="I86" s="491">
        <f t="shared" si="5"/>
        <v>0.28775651965114185</v>
      </c>
      <c r="J86" s="491">
        <f t="shared" si="5"/>
        <v>0.34655527716416362</v>
      </c>
      <c r="K86" s="491">
        <f t="shared" si="5"/>
        <v>0.42176035404040096</v>
      </c>
      <c r="L86" s="491">
        <f t="shared" si="5"/>
        <v>0.41437855159579234</v>
      </c>
      <c r="AF86" s="988">
        <f>'DIY Grundmodell'!R173</f>
        <v>45115</v>
      </c>
      <c r="AG86" s="89" t="e">
        <f>'DIY Grundmodell'!S173</f>
        <v>#N/A</v>
      </c>
      <c r="AH86" s="54" t="e">
        <f>'DIY Grundmodell'!T173</f>
        <v>#N/A</v>
      </c>
      <c r="AI86" s="89">
        <f>'DIY Grundmodell'!U173</f>
        <v>290.52999999999997</v>
      </c>
      <c r="AJ86" s="89">
        <f>'DIY Grundmodell'!V173</f>
        <v>0</v>
      </c>
      <c r="AK86" s="989"/>
      <c r="AL86" s="33">
        <f>'DIY Grundmodell'!X173</f>
        <v>4398.9526599999999</v>
      </c>
    </row>
    <row r="87" spans="2:38" ht="14.1" customHeight="1" x14ac:dyDescent="0.45">
      <c r="AF87" s="988">
        <f>'DIY Grundmodell'!R174</f>
        <v>45116</v>
      </c>
      <c r="AG87" s="89" t="e">
        <f>'DIY Grundmodell'!S174</f>
        <v>#N/A</v>
      </c>
      <c r="AH87" s="54" t="e">
        <f>'DIY Grundmodell'!T174</f>
        <v>#N/A</v>
      </c>
      <c r="AI87" s="89">
        <f>'DIY Grundmodell'!U174</f>
        <v>290.52999999999997</v>
      </c>
      <c r="AJ87" s="89">
        <f>'DIY Grundmodell'!V174</f>
        <v>0</v>
      </c>
      <c r="AK87" s="989"/>
      <c r="AL87" s="33">
        <f>'DIY Grundmodell'!X174</f>
        <v>4398.9526599999999</v>
      </c>
    </row>
    <row r="88" spans="2:38" ht="25.25" customHeight="1" x14ac:dyDescent="0.45">
      <c r="B88" s="835" t="str">
        <f>'DIY Grundmodell'!A60</f>
        <v>Herleitung Risikoprämie</v>
      </c>
      <c r="C88" s="431"/>
      <c r="D88" s="828" t="str">
        <f>'DIY Grundmodell'!C60</f>
        <v>Rating AAA</v>
      </c>
      <c r="E88" s="844" t="str">
        <f>'DIY Grundmodell'!D60</f>
        <v>United States</v>
      </c>
      <c r="F88" s="844" t="str">
        <f>'DIY Grundmodell'!E60</f>
        <v>Canada</v>
      </c>
      <c r="G88" s="844" t="str">
        <f>'DIY Grundmodell'!F60</f>
        <v>Europe</v>
      </c>
      <c r="H88" s="844" t="str">
        <f>'DIY Grundmodell'!G60</f>
        <v>Asia-Pacific</v>
      </c>
      <c r="I88" s="844" t="str">
        <f>'DIY Grundmodell'!H60</f>
        <v>Rest of The World</v>
      </c>
      <c r="J88" s="844">
        <f>'DIY Grundmodell'!I60</f>
        <v>0</v>
      </c>
      <c r="K88" s="844">
        <f>'DIY Grundmodell'!J60</f>
        <v>0</v>
      </c>
      <c r="L88" s="844">
        <f>'DIY Grundmodell'!K60</f>
        <v>0</v>
      </c>
      <c r="M88" s="844">
        <f>'DIY Grundmodell'!L60</f>
        <v>0</v>
      </c>
      <c r="N88" s="844">
        <f>'DIY Grundmodell'!M60</f>
        <v>0</v>
      </c>
      <c r="O88" s="545" t="str">
        <f>'DIY Grundmodell'!N60</f>
        <v>Rest</v>
      </c>
      <c r="AF88" s="988">
        <f>'DIY Grundmodell'!R175</f>
        <v>45117</v>
      </c>
      <c r="AG88" s="89">
        <f>'DIY Grundmodell'!S175</f>
        <v>294.10000000000002</v>
      </c>
      <c r="AH88" s="54">
        <f>'DIY Grundmodell'!T175</f>
        <v>10898.8478</v>
      </c>
      <c r="AI88" s="89">
        <f>'DIY Grundmodell'!U175</f>
        <v>294.10000000000002</v>
      </c>
      <c r="AJ88" s="89">
        <f>'DIY Grundmodell'!V175</f>
        <v>10898.8478</v>
      </c>
      <c r="AK88" s="989"/>
      <c r="AL88" s="33">
        <f>'DIY Grundmodell'!X175</f>
        <v>4409.5258000000003</v>
      </c>
    </row>
    <row r="89" spans="2:38" ht="14.1" customHeight="1" x14ac:dyDescent="0.45">
      <c r="B89" s="836" t="str">
        <f>'DIY Grundmodell'!A61</f>
        <v>Umsatzanteil</v>
      </c>
      <c r="C89" s="585"/>
      <c r="D89" s="139"/>
      <c r="E89" s="830">
        <f>'DIY Grundmodell'!D61</f>
        <v>0.37210274374769864</v>
      </c>
      <c r="F89" s="830">
        <f>'DIY Grundmodell'!E61</f>
        <v>2.0331797418468796E-2</v>
      </c>
      <c r="G89" s="830">
        <f>'DIY Grundmodell'!F61</f>
        <v>0.23172576455718877</v>
      </c>
      <c r="H89" s="830">
        <f>'DIY Grundmodell'!G61</f>
        <v>0.26779156673268117</v>
      </c>
      <c r="I89" s="830">
        <f>'DIY Grundmodell'!H61</f>
        <v>0.10804812754396266</v>
      </c>
      <c r="J89" s="830">
        <f>'DIY Grundmodell'!I61</f>
        <v>0</v>
      </c>
      <c r="K89" s="830">
        <f>'DIY Grundmodell'!J61</f>
        <v>0</v>
      </c>
      <c r="L89" s="830">
        <f>'DIY Grundmodell'!K61</f>
        <v>0</v>
      </c>
      <c r="M89" s="830">
        <f>'DIY Grundmodell'!L61</f>
        <v>0</v>
      </c>
      <c r="N89" s="830">
        <f>'DIY Grundmodell'!M61</f>
        <v>0</v>
      </c>
      <c r="O89" s="830">
        <f>'DIY Grundmodell'!N61</f>
        <v>0</v>
      </c>
      <c r="AF89" s="988">
        <f>'DIY Grundmodell'!R176</f>
        <v>45118</v>
      </c>
      <c r="AG89" s="89">
        <f>'DIY Grundmodell'!S176</f>
        <v>298.29000000000002</v>
      </c>
      <c r="AH89" s="54">
        <f>'DIY Grundmodell'!T176</f>
        <v>8228.6034799999998</v>
      </c>
      <c r="AI89" s="89">
        <f>'DIY Grundmodell'!U176</f>
        <v>298.29000000000002</v>
      </c>
      <c r="AJ89" s="89">
        <f>'DIY Grundmodell'!V176</f>
        <v>8228.6034799999998</v>
      </c>
      <c r="AK89" s="989"/>
      <c r="AL89" s="33">
        <f>'DIY Grundmodell'!X176</f>
        <v>4439.2563300000002</v>
      </c>
    </row>
    <row r="90" spans="2:38" ht="14.1" customHeight="1" x14ac:dyDescent="0.45">
      <c r="B90" s="836" t="str">
        <f>'DIY Grundmodell'!A62</f>
        <v>CDS</v>
      </c>
      <c r="C90" s="585"/>
      <c r="D90" s="831">
        <f>'DIY Grundmodell'!C62</f>
        <v>6.3700000000000007E-3</v>
      </c>
      <c r="E90" s="830">
        <f>'DIY Grundmodell'!D62</f>
        <v>4.8621300000000001E-3</v>
      </c>
      <c r="F90" s="830">
        <f>'DIY Grundmodell'!E62</f>
        <v>2.30554E-3</v>
      </c>
      <c r="G90" s="830">
        <f>'DIY Grundmodell'!F62</f>
        <v>4.5324573763307428E-3</v>
      </c>
      <c r="H90" s="830">
        <f>'DIY Grundmodell'!G62</f>
        <v>1.6473654006483679E-2</v>
      </c>
      <c r="I90" s="830">
        <f>'DIY Grundmodell'!H62</f>
        <v>1.0712521755483326E-2</v>
      </c>
      <c r="J90" s="830">
        <f>'DIY Grundmodell'!I62</f>
        <v>0</v>
      </c>
      <c r="K90" s="830">
        <f>'DIY Grundmodell'!J62</f>
        <v>0</v>
      </c>
      <c r="L90" s="830">
        <f>'DIY Grundmodell'!K62</f>
        <v>0</v>
      </c>
      <c r="M90" s="830">
        <f>'DIY Grundmodell'!L62</f>
        <v>0</v>
      </c>
      <c r="N90" s="830">
        <f>'DIY Grundmodell'!M62</f>
        <v>0</v>
      </c>
      <c r="O90" s="830">
        <f>'DIY Grundmodell'!N62</f>
        <v>4.8621300000000001E-3</v>
      </c>
      <c r="AF90" s="988">
        <f>'DIY Grundmodell'!R177</f>
        <v>45119</v>
      </c>
      <c r="AG90" s="89">
        <f>'DIY Grundmodell'!S177</f>
        <v>309.33999999999997</v>
      </c>
      <c r="AH90" s="54">
        <f>'DIY Grundmodell'!T177</f>
        <v>11345.70247</v>
      </c>
      <c r="AI90" s="89">
        <f>'DIY Grundmodell'!U177</f>
        <v>309.33999999999997</v>
      </c>
      <c r="AJ90" s="89">
        <f>'DIY Grundmodell'!V177</f>
        <v>11345.70247</v>
      </c>
      <c r="AK90" s="989"/>
      <c r="AL90" s="33">
        <f>'DIY Grundmodell'!X177</f>
        <v>4472.1603299999997</v>
      </c>
    </row>
    <row r="91" spans="2:38" ht="14.1" customHeight="1" x14ac:dyDescent="0.45">
      <c r="B91" s="836" t="str">
        <f>'DIY Grundmodell'!A63</f>
        <v>Risikoprämie</v>
      </c>
      <c r="C91" s="832">
        <f>'DIY Grundmodell'!B63</f>
        <v>6.6912423369693594E-2</v>
      </c>
      <c r="D91" s="831">
        <f>'DIY Grundmodell'!C63</f>
        <v>0.06</v>
      </c>
      <c r="E91" s="830">
        <f>'DIY Grundmodell'!D63</f>
        <v>6.3299204999999997E-2</v>
      </c>
      <c r="F91" s="830">
        <f>'DIY Grundmodell'!E63</f>
        <v>6.0742615E-2</v>
      </c>
      <c r="G91" s="830">
        <f>'DIY Grundmodell'!F63</f>
        <v>6.2969532376330739E-2</v>
      </c>
      <c r="H91" s="830">
        <f>'DIY Grundmodell'!G63</f>
        <v>7.4910729006483684E-2</v>
      </c>
      <c r="I91" s="830">
        <f>'DIY Grundmodell'!H63</f>
        <v>6.9149596755483322E-2</v>
      </c>
      <c r="J91" s="830">
        <f>'DIY Grundmodell'!I63</f>
        <v>0</v>
      </c>
      <c r="K91" s="830">
        <f>'DIY Grundmodell'!J63</f>
        <v>0</v>
      </c>
      <c r="L91" s="830">
        <f>'DIY Grundmodell'!K63</f>
        <v>0</v>
      </c>
      <c r="M91" s="830">
        <f>'DIY Grundmodell'!L63</f>
        <v>0</v>
      </c>
      <c r="N91" s="830">
        <f>'DIY Grundmodell'!M63</f>
        <v>0</v>
      </c>
      <c r="O91" s="830">
        <f>'DIY Grundmodell'!N63</f>
        <v>0</v>
      </c>
      <c r="AF91" s="988">
        <f>'DIY Grundmodell'!R178</f>
        <v>45120</v>
      </c>
      <c r="AG91" s="89">
        <f>'DIY Grundmodell'!S178</f>
        <v>313.41000000000003</v>
      </c>
      <c r="AH91" s="54">
        <f>'DIY Grundmodell'!T178</f>
        <v>9490.3594400000002</v>
      </c>
      <c r="AI91" s="89">
        <f>'DIY Grundmodell'!U178</f>
        <v>313.41000000000003</v>
      </c>
      <c r="AJ91" s="89">
        <f>'DIY Grundmodell'!V178</f>
        <v>9490.3594400000002</v>
      </c>
      <c r="AK91" s="989"/>
      <c r="AL91" s="33">
        <f>'DIY Grundmodell'!X178</f>
        <v>4510.0418</v>
      </c>
    </row>
    <row r="92" spans="2:38" ht="14.1" customHeight="1" x14ac:dyDescent="0.45">
      <c r="AF92" s="988">
        <f>'DIY Grundmodell'!R179</f>
        <v>45121</v>
      </c>
      <c r="AG92" s="89">
        <f>'DIY Grundmodell'!S179</f>
        <v>308.87</v>
      </c>
      <c r="AH92" s="54">
        <f>'DIY Grundmodell'!T179</f>
        <v>7120.7223400000003</v>
      </c>
      <c r="AI92" s="89">
        <f>'DIY Grundmodell'!U179</f>
        <v>308.87</v>
      </c>
      <c r="AJ92" s="89">
        <f>'DIY Grundmodell'!V179</f>
        <v>7120.7223400000003</v>
      </c>
      <c r="AK92" s="989"/>
      <c r="AL92" s="33">
        <f>'DIY Grundmodell'!X179</f>
        <v>4505.4203399999997</v>
      </c>
    </row>
    <row r="93" spans="2:38" ht="14.1" customHeight="1" x14ac:dyDescent="0.45">
      <c r="AF93" s="988">
        <f>'DIY Grundmodell'!R180</f>
        <v>45122</v>
      </c>
      <c r="AG93" s="89" t="e">
        <f>'DIY Grundmodell'!S180</f>
        <v>#N/A</v>
      </c>
      <c r="AH93" s="54" t="e">
        <f>'DIY Grundmodell'!T180</f>
        <v>#N/A</v>
      </c>
      <c r="AI93" s="89">
        <f>'DIY Grundmodell'!U180</f>
        <v>308.87</v>
      </c>
      <c r="AJ93" s="89">
        <f>'DIY Grundmodell'!V180</f>
        <v>0</v>
      </c>
      <c r="AK93" s="989"/>
      <c r="AL93" s="33">
        <f>'DIY Grundmodell'!X180</f>
        <v>4505.4203399999997</v>
      </c>
    </row>
    <row r="94" spans="2:38" ht="14.1" customHeight="1" x14ac:dyDescent="0.45">
      <c r="AF94" s="988">
        <f>'DIY Grundmodell'!R181</f>
        <v>45123</v>
      </c>
      <c r="AG94" s="89" t="e">
        <f>'DIY Grundmodell'!S181</f>
        <v>#N/A</v>
      </c>
      <c r="AH94" s="54" t="e">
        <f>'DIY Grundmodell'!T181</f>
        <v>#N/A</v>
      </c>
      <c r="AI94" s="89">
        <f>'DIY Grundmodell'!U181</f>
        <v>308.87</v>
      </c>
      <c r="AJ94" s="89">
        <f>'DIY Grundmodell'!V181</f>
        <v>0</v>
      </c>
      <c r="AK94" s="989"/>
      <c r="AL94" s="33">
        <f>'DIY Grundmodell'!X181</f>
        <v>4505.4203399999997</v>
      </c>
    </row>
    <row r="95" spans="2:38" ht="14.1" customHeight="1" x14ac:dyDescent="0.45">
      <c r="AF95" s="988">
        <f>'DIY Grundmodell'!R182</f>
        <v>45124</v>
      </c>
      <c r="AG95" s="89">
        <f>'DIY Grundmodell'!S182</f>
        <v>310.62</v>
      </c>
      <c r="AH95" s="54">
        <f>'DIY Grundmodell'!T182</f>
        <v>7865.8693999999996</v>
      </c>
      <c r="AI95" s="89">
        <f>'DIY Grundmodell'!U182</f>
        <v>310.62</v>
      </c>
      <c r="AJ95" s="89">
        <f>'DIY Grundmodell'!V182</f>
        <v>7865.8693999999996</v>
      </c>
      <c r="AK95" s="989"/>
      <c r="AL95" s="33">
        <f>'DIY Grundmodell'!X182</f>
        <v>4522.7930999999999</v>
      </c>
    </row>
    <row r="96" spans="2:38" ht="14.1" customHeight="1" x14ac:dyDescent="0.45">
      <c r="AF96" s="988">
        <f>'DIY Grundmodell'!R183</f>
        <v>45125</v>
      </c>
      <c r="AG96" s="89">
        <f>'DIY Grundmodell'!S183</f>
        <v>312.05</v>
      </c>
      <c r="AH96" s="54">
        <f>'DIY Grundmodell'!T183</f>
        <v>6479.5871900000002</v>
      </c>
      <c r="AI96" s="89">
        <f>'DIY Grundmodell'!U183</f>
        <v>312.05</v>
      </c>
      <c r="AJ96" s="89">
        <f>'DIY Grundmodell'!V183</f>
        <v>6479.5871900000002</v>
      </c>
      <c r="AK96" s="989"/>
      <c r="AL96" s="33">
        <f>'DIY Grundmodell'!X183</f>
        <v>4554.9769500000002</v>
      </c>
    </row>
    <row r="97" spans="32:38" ht="14.1" customHeight="1" x14ac:dyDescent="0.45">
      <c r="AF97" s="988">
        <f>'DIY Grundmodell'!R184</f>
        <v>45126</v>
      </c>
      <c r="AG97" s="89">
        <f>'DIY Grundmodell'!S184</f>
        <v>316.01</v>
      </c>
      <c r="AH97" s="54">
        <f>'DIY Grundmodell'!T184</f>
        <v>6877.5430500000002</v>
      </c>
      <c r="AI97" s="89">
        <f>'DIY Grundmodell'!U184</f>
        <v>316.01</v>
      </c>
      <c r="AJ97" s="89">
        <f>'DIY Grundmodell'!V184</f>
        <v>6877.5430500000002</v>
      </c>
      <c r="AK97" s="989"/>
      <c r="AL97" s="33">
        <f>'DIY Grundmodell'!X184</f>
        <v>4565.7167099999997</v>
      </c>
    </row>
    <row r="98" spans="32:38" ht="14.1" customHeight="1" x14ac:dyDescent="0.45">
      <c r="AF98" s="988">
        <f>'DIY Grundmodell'!R185</f>
        <v>45127</v>
      </c>
      <c r="AG98" s="89">
        <f>'DIY Grundmodell'!S185</f>
        <v>302.52</v>
      </c>
      <c r="AH98" s="54">
        <f>'DIY Grundmodell'!T185</f>
        <v>7211.1317300000001</v>
      </c>
      <c r="AI98" s="89">
        <f>'DIY Grundmodell'!U185</f>
        <v>302.52</v>
      </c>
      <c r="AJ98" s="89">
        <f>'DIY Grundmodell'!V185</f>
        <v>7211.1317300000001</v>
      </c>
      <c r="AK98" s="989"/>
      <c r="AL98" s="33">
        <f>'DIY Grundmodell'!X185</f>
        <v>4534.8675499999999</v>
      </c>
    </row>
    <row r="99" spans="32:38" ht="14.1" customHeight="1" x14ac:dyDescent="0.45">
      <c r="AF99" s="988">
        <f>'DIY Grundmodell'!R186</f>
        <v>45128</v>
      </c>
      <c r="AG99" s="89">
        <f>'DIY Grundmodell'!S186</f>
        <v>294.26</v>
      </c>
      <c r="AH99" s="54">
        <f>'DIY Grundmodell'!T186</f>
        <v>12399.898349999999</v>
      </c>
      <c r="AI99" s="89">
        <f>'DIY Grundmodell'!U186</f>
        <v>294.26</v>
      </c>
      <c r="AJ99" s="89">
        <f>'DIY Grundmodell'!V186</f>
        <v>12399.898349999999</v>
      </c>
      <c r="AK99" s="989"/>
      <c r="AL99" s="33">
        <f>'DIY Grundmodell'!X186</f>
        <v>4536.3385399999997</v>
      </c>
    </row>
    <row r="100" spans="32:38" ht="14.1" customHeight="1" x14ac:dyDescent="0.45">
      <c r="AF100" s="988">
        <f>'DIY Grundmodell'!R187</f>
        <v>45129</v>
      </c>
      <c r="AG100" s="89" t="e">
        <f>'DIY Grundmodell'!S187</f>
        <v>#N/A</v>
      </c>
      <c r="AH100" s="54" t="e">
        <f>'DIY Grundmodell'!T187</f>
        <v>#N/A</v>
      </c>
      <c r="AI100" s="89">
        <f>'DIY Grundmodell'!U187</f>
        <v>294.26</v>
      </c>
      <c r="AJ100" s="89">
        <f>'DIY Grundmodell'!V187</f>
        <v>0</v>
      </c>
      <c r="AK100" s="989"/>
      <c r="AL100" s="33">
        <f>'DIY Grundmodell'!X187</f>
        <v>4536.3385399999997</v>
      </c>
    </row>
    <row r="101" spans="32:38" ht="14.1" customHeight="1" x14ac:dyDescent="0.45">
      <c r="AF101" s="988">
        <f>'DIY Grundmodell'!R188</f>
        <v>45130</v>
      </c>
      <c r="AG101" s="89" t="e">
        <f>'DIY Grundmodell'!S188</f>
        <v>#N/A</v>
      </c>
      <c r="AH101" s="54" t="e">
        <f>'DIY Grundmodell'!T188</f>
        <v>#N/A</v>
      </c>
      <c r="AI101" s="89">
        <f>'DIY Grundmodell'!U188</f>
        <v>294.26</v>
      </c>
      <c r="AJ101" s="89">
        <f>'DIY Grundmodell'!V188</f>
        <v>0</v>
      </c>
      <c r="AK101" s="989"/>
      <c r="AL101" s="33">
        <f>'DIY Grundmodell'!X188</f>
        <v>4536.3385399999997</v>
      </c>
    </row>
    <row r="102" spans="32:38" ht="14.1" customHeight="1" x14ac:dyDescent="0.45">
      <c r="AF102" s="988">
        <f>'DIY Grundmodell'!R189</f>
        <v>45131</v>
      </c>
      <c r="AG102" s="89">
        <f>'DIY Grundmodell'!S189</f>
        <v>291.61</v>
      </c>
      <c r="AH102" s="54">
        <f>'DIY Grundmodell'!T189</f>
        <v>7275.4959900000003</v>
      </c>
      <c r="AI102" s="89">
        <f>'DIY Grundmodell'!U189</f>
        <v>291.61</v>
      </c>
      <c r="AJ102" s="89">
        <f>'DIY Grundmodell'!V189</f>
        <v>7275.4959900000003</v>
      </c>
      <c r="AK102" s="989"/>
      <c r="AL102" s="33">
        <f>'DIY Grundmodell'!X189</f>
        <v>4554.6424399999996</v>
      </c>
    </row>
    <row r="103" spans="32:38" ht="14.1" customHeight="1" x14ac:dyDescent="0.45">
      <c r="AF103" s="988">
        <f>'DIY Grundmodell'!R190</f>
        <v>45132</v>
      </c>
      <c r="AG103" s="89">
        <f>'DIY Grundmodell'!S190</f>
        <v>294.47000000000003</v>
      </c>
      <c r="AH103" s="54">
        <f>'DIY Grundmodell'!T190</f>
        <v>5767.3669200000004</v>
      </c>
      <c r="AI103" s="89">
        <f>'DIY Grundmodell'!U190</f>
        <v>294.47000000000003</v>
      </c>
      <c r="AJ103" s="89">
        <f>'DIY Grundmodell'!V190</f>
        <v>5767.3669200000004</v>
      </c>
      <c r="AK103" s="989"/>
      <c r="AL103" s="33">
        <f>'DIY Grundmodell'!X190</f>
        <v>4567.4637000000002</v>
      </c>
    </row>
    <row r="104" spans="32:38" ht="14.1" customHeight="1" x14ac:dyDescent="0.45">
      <c r="AF104" s="988">
        <f>'DIY Grundmodell'!R191</f>
        <v>45133</v>
      </c>
      <c r="AG104" s="89">
        <f>'DIY Grundmodell'!S191</f>
        <v>298.57</v>
      </c>
      <c r="AH104" s="54">
        <f>'DIY Grundmodell'!T191</f>
        <v>14109.50159</v>
      </c>
      <c r="AI104" s="89">
        <f>'DIY Grundmodell'!U191</f>
        <v>298.57</v>
      </c>
      <c r="AJ104" s="89">
        <f>'DIY Grundmodell'!V191</f>
        <v>14109.50159</v>
      </c>
      <c r="AK104" s="989"/>
      <c r="AL104" s="33">
        <f>'DIY Grundmodell'!X191</f>
        <v>4566.7517200000002</v>
      </c>
    </row>
    <row r="105" spans="32:38" ht="14.1" customHeight="1" x14ac:dyDescent="0.45">
      <c r="AF105" s="988">
        <f>'DIY Grundmodell'!R192</f>
        <v>45134</v>
      </c>
      <c r="AG105" s="89">
        <f>'DIY Grundmodell'!S192</f>
        <v>311.70999999999998</v>
      </c>
      <c r="AH105" s="54">
        <f>'DIY Grundmodell'!T192</f>
        <v>20020.875520000001</v>
      </c>
      <c r="AI105" s="89">
        <f>'DIY Grundmodell'!U192</f>
        <v>311.70999999999998</v>
      </c>
      <c r="AJ105" s="89">
        <f>'DIY Grundmodell'!V192</f>
        <v>20020.875520000001</v>
      </c>
      <c r="AK105" s="989"/>
      <c r="AL105" s="33">
        <f>'DIY Grundmodell'!X192</f>
        <v>4537.4118600000002</v>
      </c>
    </row>
    <row r="106" spans="32:38" ht="14.1" customHeight="1" x14ac:dyDescent="0.45">
      <c r="AF106" s="988">
        <f>'DIY Grundmodell'!R193</f>
        <v>45135</v>
      </c>
      <c r="AG106" s="89">
        <f>'DIY Grundmodell'!S193</f>
        <v>325.48</v>
      </c>
      <c r="AH106" s="54">
        <f>'DIY Grundmodell'!T193</f>
        <v>12765.413479999999</v>
      </c>
      <c r="AI106" s="89">
        <f>'DIY Grundmodell'!U193</f>
        <v>325.48</v>
      </c>
      <c r="AJ106" s="89">
        <f>'DIY Grundmodell'!V193</f>
        <v>12765.413479999999</v>
      </c>
      <c r="AK106" s="989"/>
      <c r="AL106" s="33">
        <f>'DIY Grundmodell'!X193</f>
        <v>4582.2313299999996</v>
      </c>
    </row>
    <row r="107" spans="32:38" ht="14.1" customHeight="1" x14ac:dyDescent="0.45">
      <c r="AF107" s="988">
        <f>'DIY Grundmodell'!R194</f>
        <v>45136</v>
      </c>
      <c r="AG107" s="89" t="e">
        <f>'DIY Grundmodell'!S194</f>
        <v>#N/A</v>
      </c>
      <c r="AH107" s="54" t="e">
        <f>'DIY Grundmodell'!T194</f>
        <v>#N/A</v>
      </c>
      <c r="AI107" s="89">
        <f>'DIY Grundmodell'!U194</f>
        <v>325.48</v>
      </c>
      <c r="AJ107" s="89">
        <f>'DIY Grundmodell'!V194</f>
        <v>0</v>
      </c>
      <c r="AK107" s="989"/>
      <c r="AL107" s="33">
        <f>'DIY Grundmodell'!X194</f>
        <v>4582.2313299999996</v>
      </c>
    </row>
    <row r="108" spans="32:38" ht="14.1" customHeight="1" x14ac:dyDescent="0.45">
      <c r="AF108" s="988">
        <f>'DIY Grundmodell'!R195</f>
        <v>45137</v>
      </c>
      <c r="AG108" s="89" t="e">
        <f>'DIY Grundmodell'!S195</f>
        <v>#N/A</v>
      </c>
      <c r="AH108" s="54" t="e">
        <f>'DIY Grundmodell'!T195</f>
        <v>#N/A</v>
      </c>
      <c r="AI108" s="89">
        <f>'DIY Grundmodell'!U195</f>
        <v>325.48</v>
      </c>
      <c r="AJ108" s="89">
        <f>'DIY Grundmodell'!V195</f>
        <v>0</v>
      </c>
      <c r="AK108" s="989"/>
      <c r="AL108" s="33">
        <f>'DIY Grundmodell'!X195</f>
        <v>4582.2313299999996</v>
      </c>
    </row>
    <row r="109" spans="32:38" ht="14.1" customHeight="1" x14ac:dyDescent="0.45">
      <c r="AF109" s="988">
        <f>'DIY Grundmodell'!R196</f>
        <v>45138</v>
      </c>
      <c r="AG109" s="89">
        <f>'DIY Grundmodell'!S196</f>
        <v>318.60000000000002</v>
      </c>
      <c r="AH109" s="54">
        <f>'DIY Grundmodell'!T196</f>
        <v>8219.7535200000002</v>
      </c>
      <c r="AI109" s="89">
        <f>'DIY Grundmodell'!U196</f>
        <v>318.60000000000002</v>
      </c>
      <c r="AJ109" s="89">
        <f>'DIY Grundmodell'!V196</f>
        <v>8219.7535200000002</v>
      </c>
      <c r="AK109" s="989"/>
      <c r="AL109" s="33">
        <f>'DIY Grundmodell'!X196</f>
        <v>4588.9611400000003</v>
      </c>
    </row>
    <row r="110" spans="32:38" ht="14.1" customHeight="1" x14ac:dyDescent="0.45">
      <c r="AF110" s="988">
        <f>'DIY Grundmodell'!R197</f>
        <v>45139</v>
      </c>
      <c r="AG110" s="89">
        <f>'DIY Grundmodell'!S197</f>
        <v>322.70999999999998</v>
      </c>
      <c r="AH110" s="54">
        <f>'DIY Grundmodell'!T197</f>
        <v>7386.7899500000003</v>
      </c>
      <c r="AI110" s="89">
        <f>'DIY Grundmodell'!U197</f>
        <v>322.70999999999998</v>
      </c>
      <c r="AJ110" s="89">
        <f>'DIY Grundmodell'!V197</f>
        <v>7386.7899500000003</v>
      </c>
      <c r="AK110" s="989"/>
      <c r="AL110" s="33">
        <f>'DIY Grundmodell'!X197</f>
        <v>4576.7291500000001</v>
      </c>
    </row>
    <row r="111" spans="32:38" ht="14.1" customHeight="1" x14ac:dyDescent="0.45">
      <c r="AF111" s="988">
        <f>'DIY Grundmodell'!R198</f>
        <v>45140</v>
      </c>
      <c r="AG111" s="89">
        <f>'DIY Grundmodell'!S198</f>
        <v>314.31</v>
      </c>
      <c r="AH111" s="54">
        <f>'DIY Grundmodell'!T198</f>
        <v>6431.1264600000004</v>
      </c>
      <c r="AI111" s="89">
        <f>'DIY Grundmodell'!U198</f>
        <v>314.31</v>
      </c>
      <c r="AJ111" s="89">
        <f>'DIY Grundmodell'!V198</f>
        <v>6431.1264600000004</v>
      </c>
      <c r="AK111" s="989"/>
      <c r="AL111" s="33">
        <f>'DIY Grundmodell'!X198</f>
        <v>4513.3938600000001</v>
      </c>
    </row>
    <row r="112" spans="32:38" ht="14.1" customHeight="1" x14ac:dyDescent="0.45">
      <c r="AF112" s="988">
        <f>'DIY Grundmodell'!R199</f>
        <v>45141</v>
      </c>
      <c r="AG112" s="89">
        <f>'DIY Grundmodell'!S199</f>
        <v>313.19</v>
      </c>
      <c r="AH112" s="54">
        <f>'DIY Grundmodell'!T199</f>
        <v>4765.3180199999997</v>
      </c>
      <c r="AI112" s="89">
        <f>'DIY Grundmodell'!U199</f>
        <v>313.19</v>
      </c>
      <c r="AJ112" s="89">
        <f>'DIY Grundmodell'!V199</f>
        <v>4765.3180199999997</v>
      </c>
      <c r="AK112" s="989"/>
      <c r="AL112" s="33">
        <f>'DIY Grundmodell'!X199</f>
        <v>4501.8856699999997</v>
      </c>
    </row>
    <row r="113" spans="32:38" ht="14.1" customHeight="1" x14ac:dyDescent="0.45">
      <c r="AF113" s="988">
        <f>'DIY Grundmodell'!R200</f>
        <v>45142</v>
      </c>
      <c r="AG113" s="89">
        <f>'DIY Grundmodell'!S200</f>
        <v>310.73</v>
      </c>
      <c r="AH113" s="54">
        <f>'DIY Grundmodell'!T200</f>
        <v>5472.8135400000001</v>
      </c>
      <c r="AI113" s="89">
        <f>'DIY Grundmodell'!U200</f>
        <v>310.73</v>
      </c>
      <c r="AJ113" s="89">
        <f>'DIY Grundmodell'!V200</f>
        <v>5472.8135400000001</v>
      </c>
      <c r="AK113" s="989"/>
      <c r="AL113" s="33">
        <f>'DIY Grundmodell'!X200</f>
        <v>4478.0338400000001</v>
      </c>
    </row>
    <row r="114" spans="32:38" ht="14.1" customHeight="1" x14ac:dyDescent="0.45">
      <c r="AF114" s="988">
        <f>'DIY Grundmodell'!R201</f>
        <v>45143</v>
      </c>
      <c r="AG114" s="89" t="e">
        <f>'DIY Grundmodell'!S201</f>
        <v>#N/A</v>
      </c>
      <c r="AH114" s="54" t="e">
        <f>'DIY Grundmodell'!T201</f>
        <v>#N/A</v>
      </c>
      <c r="AI114" s="89">
        <f>'DIY Grundmodell'!U201</f>
        <v>310.73</v>
      </c>
      <c r="AJ114" s="89">
        <f>'DIY Grundmodell'!V201</f>
        <v>0</v>
      </c>
      <c r="AK114" s="989"/>
      <c r="AL114" s="33">
        <f>'DIY Grundmodell'!X201</f>
        <v>4478.0338400000001</v>
      </c>
    </row>
    <row r="115" spans="32:38" ht="14.1" customHeight="1" x14ac:dyDescent="0.45">
      <c r="AF115" s="988">
        <f>'DIY Grundmodell'!R202</f>
        <v>45144</v>
      </c>
      <c r="AG115" s="89" t="e">
        <f>'DIY Grundmodell'!S202</f>
        <v>#N/A</v>
      </c>
      <c r="AH115" s="54" t="e">
        <f>'DIY Grundmodell'!T202</f>
        <v>#N/A</v>
      </c>
      <c r="AI115" s="89">
        <f>'DIY Grundmodell'!U202</f>
        <v>310.73</v>
      </c>
      <c r="AJ115" s="89">
        <f>'DIY Grundmodell'!V202</f>
        <v>0</v>
      </c>
      <c r="AK115" s="989"/>
      <c r="AL115" s="33">
        <f>'DIY Grundmodell'!X202</f>
        <v>4478.0338400000001</v>
      </c>
    </row>
    <row r="116" spans="32:38" ht="14.1" customHeight="1" x14ac:dyDescent="0.45">
      <c r="AF116" s="988">
        <f>'DIY Grundmodell'!R203</f>
        <v>45145</v>
      </c>
      <c r="AG116" s="89">
        <f>'DIY Grundmodell'!S203</f>
        <v>316.56</v>
      </c>
      <c r="AH116" s="54">
        <f>'DIY Grundmodell'!T203</f>
        <v>5139.8277099999996</v>
      </c>
      <c r="AI116" s="89">
        <f>'DIY Grundmodell'!U203</f>
        <v>316.56</v>
      </c>
      <c r="AJ116" s="89">
        <f>'DIY Grundmodell'!V203</f>
        <v>5139.8277099999996</v>
      </c>
      <c r="AK116" s="989"/>
      <c r="AL116" s="33">
        <f>'DIY Grundmodell'!X203</f>
        <v>4518.4433600000002</v>
      </c>
    </row>
    <row r="117" spans="32:38" ht="14.1" customHeight="1" x14ac:dyDescent="0.45">
      <c r="AF117" s="988">
        <f>'DIY Grundmodell'!R204</f>
        <v>45146</v>
      </c>
      <c r="AG117" s="89">
        <f>'DIY Grundmodell'!S204</f>
        <v>312.64</v>
      </c>
      <c r="AH117" s="54">
        <f>'DIY Grundmodell'!T204</f>
        <v>4746.9794400000001</v>
      </c>
      <c r="AI117" s="89">
        <f>'DIY Grundmodell'!U204</f>
        <v>312.64</v>
      </c>
      <c r="AJ117" s="89">
        <f>'DIY Grundmodell'!V204</f>
        <v>4746.9794400000001</v>
      </c>
      <c r="AK117" s="989"/>
      <c r="AL117" s="33">
        <f>'DIY Grundmodell'!X204</f>
        <v>4499.3772600000002</v>
      </c>
    </row>
    <row r="118" spans="32:38" ht="14.1" customHeight="1" x14ac:dyDescent="0.45">
      <c r="AF118" s="988">
        <f>'DIY Grundmodell'!R205</f>
        <v>45147</v>
      </c>
      <c r="AG118" s="89">
        <f>'DIY Grundmodell'!S205</f>
        <v>305.20999999999998</v>
      </c>
      <c r="AH118" s="54">
        <f>'DIY Grundmodell'!T205</f>
        <v>6090.70453</v>
      </c>
      <c r="AI118" s="89">
        <f>'DIY Grundmodell'!U205</f>
        <v>305.20999999999998</v>
      </c>
      <c r="AJ118" s="89">
        <f>'DIY Grundmodell'!V205</f>
        <v>6090.70453</v>
      </c>
      <c r="AK118" s="989"/>
      <c r="AL118" s="33">
        <f>'DIY Grundmodell'!X205</f>
        <v>4467.7140900000004</v>
      </c>
    </row>
    <row r="119" spans="32:38" ht="14.1" customHeight="1" x14ac:dyDescent="0.45">
      <c r="AF119" s="988">
        <f>'DIY Grundmodell'!R206</f>
        <v>45148</v>
      </c>
      <c r="AG119" s="89">
        <f>'DIY Grundmodell'!S206</f>
        <v>305.74</v>
      </c>
      <c r="AH119" s="54">
        <f>'DIY Grundmodell'!T206</f>
        <v>4390.0891700000002</v>
      </c>
      <c r="AI119" s="89">
        <f>'DIY Grundmodell'!U206</f>
        <v>305.74</v>
      </c>
      <c r="AJ119" s="89">
        <f>'DIY Grundmodell'!V206</f>
        <v>4390.0891700000002</v>
      </c>
      <c r="AK119" s="989"/>
      <c r="AL119" s="33">
        <f>'DIY Grundmodell'!X206</f>
        <v>4468.8347700000004</v>
      </c>
    </row>
    <row r="120" spans="32:38" ht="14.1" customHeight="1" x14ac:dyDescent="0.45">
      <c r="AF120" s="988">
        <f>'DIY Grundmodell'!R207</f>
        <v>45149</v>
      </c>
      <c r="AG120" s="89">
        <f>'DIY Grundmodell'!S207</f>
        <v>301.64</v>
      </c>
      <c r="AH120" s="54">
        <f>'DIY Grundmodell'!T207</f>
        <v>4236.9108500000002</v>
      </c>
      <c r="AI120" s="89">
        <f>'DIY Grundmodell'!U207</f>
        <v>301.64</v>
      </c>
      <c r="AJ120" s="89">
        <f>'DIY Grundmodell'!V207</f>
        <v>4236.9108500000002</v>
      </c>
      <c r="AK120" s="989"/>
      <c r="AL120" s="33">
        <f>'DIY Grundmodell'!X207</f>
        <v>4464.0545599999996</v>
      </c>
    </row>
    <row r="121" spans="32:38" ht="14.1" customHeight="1" x14ac:dyDescent="0.45">
      <c r="AF121" s="988">
        <f>'DIY Grundmodell'!R208</f>
        <v>45150</v>
      </c>
      <c r="AG121" s="89" t="e">
        <f>'DIY Grundmodell'!S208</f>
        <v>#N/A</v>
      </c>
      <c r="AH121" s="54" t="e">
        <f>'DIY Grundmodell'!T208</f>
        <v>#N/A</v>
      </c>
      <c r="AI121" s="89">
        <f>'DIY Grundmodell'!U208</f>
        <v>301.64</v>
      </c>
      <c r="AJ121" s="89">
        <f>'DIY Grundmodell'!V208</f>
        <v>0</v>
      </c>
      <c r="AK121" s="989"/>
      <c r="AL121" s="33">
        <f>'DIY Grundmodell'!X208</f>
        <v>4464.0545599999996</v>
      </c>
    </row>
    <row r="122" spans="32:38" ht="14.1" customHeight="1" x14ac:dyDescent="0.45">
      <c r="AF122" s="988">
        <f>'DIY Grundmodell'!R209</f>
        <v>45151</v>
      </c>
      <c r="AG122" s="89" t="e">
        <f>'DIY Grundmodell'!S209</f>
        <v>#N/A</v>
      </c>
      <c r="AH122" s="54" t="e">
        <f>'DIY Grundmodell'!T209</f>
        <v>#N/A</v>
      </c>
      <c r="AI122" s="89">
        <f>'DIY Grundmodell'!U209</f>
        <v>301.64</v>
      </c>
      <c r="AJ122" s="89">
        <f>'DIY Grundmodell'!V209</f>
        <v>0</v>
      </c>
      <c r="AK122" s="989"/>
      <c r="AL122" s="33">
        <f>'DIY Grundmodell'!X209</f>
        <v>4464.0545599999996</v>
      </c>
    </row>
    <row r="123" spans="32:38" ht="14.1" customHeight="1" x14ac:dyDescent="0.45">
      <c r="AF123" s="988">
        <f>'DIY Grundmodell'!R210</f>
        <v>45152</v>
      </c>
      <c r="AG123" s="89">
        <f>'DIY Grundmodell'!S210</f>
        <v>306.19</v>
      </c>
      <c r="AH123" s="54">
        <f>'DIY Grundmodell'!T210</f>
        <v>4789.3997900000004</v>
      </c>
      <c r="AI123" s="89">
        <f>'DIY Grundmodell'!U210</f>
        <v>306.19</v>
      </c>
      <c r="AJ123" s="89">
        <f>'DIY Grundmodell'!V210</f>
        <v>4789.3997900000004</v>
      </c>
      <c r="AK123" s="989"/>
      <c r="AL123" s="33">
        <f>'DIY Grundmodell'!X210</f>
        <v>4489.7183299999997</v>
      </c>
    </row>
    <row r="124" spans="32:38" ht="14.1" customHeight="1" x14ac:dyDescent="0.45">
      <c r="AF124" s="988">
        <f>'DIY Grundmodell'!R211</f>
        <v>45153</v>
      </c>
      <c r="AG124" s="89">
        <f>'DIY Grundmodell'!S211</f>
        <v>301.95</v>
      </c>
      <c r="AH124" s="54">
        <f>'DIY Grundmodell'!T211</f>
        <v>3509.7499499999999</v>
      </c>
      <c r="AI124" s="89">
        <f>'DIY Grundmodell'!U211</f>
        <v>301.95</v>
      </c>
      <c r="AJ124" s="89">
        <f>'DIY Grundmodell'!V211</f>
        <v>3509.7499499999999</v>
      </c>
      <c r="AK124" s="989"/>
      <c r="AL124" s="33">
        <f>'DIY Grundmodell'!X211</f>
        <v>4437.85905</v>
      </c>
    </row>
    <row r="125" spans="32:38" ht="14.1" customHeight="1" x14ac:dyDescent="0.45">
      <c r="AF125" s="988">
        <f>'DIY Grundmodell'!R212</f>
        <v>45154</v>
      </c>
      <c r="AG125" s="89">
        <f>'DIY Grundmodell'!S212</f>
        <v>294.29000000000002</v>
      </c>
      <c r="AH125" s="54">
        <f>'DIY Grundmodell'!T212</f>
        <v>5458.4147000000003</v>
      </c>
      <c r="AI125" s="89">
        <f>'DIY Grundmodell'!U212</f>
        <v>294.29000000000002</v>
      </c>
      <c r="AJ125" s="89">
        <f>'DIY Grundmodell'!V212</f>
        <v>5458.4147000000003</v>
      </c>
      <c r="AK125" s="989"/>
      <c r="AL125" s="33">
        <f>'DIY Grundmodell'!X212</f>
        <v>4404.3334699999996</v>
      </c>
    </row>
    <row r="126" spans="32:38" ht="14.1" customHeight="1" x14ac:dyDescent="0.45">
      <c r="AF126" s="988">
        <f>'DIY Grundmodell'!R213</f>
        <v>45155</v>
      </c>
      <c r="AG126" s="89">
        <f>'DIY Grundmodell'!S213</f>
        <v>285.08999999999997</v>
      </c>
      <c r="AH126" s="54">
        <f>'DIY Grundmodell'!T213</f>
        <v>6827.9308700000001</v>
      </c>
      <c r="AI126" s="89">
        <f>'DIY Grundmodell'!U213</f>
        <v>285.08999999999997</v>
      </c>
      <c r="AJ126" s="89">
        <f>'DIY Grundmodell'!V213</f>
        <v>6827.9308700000001</v>
      </c>
      <c r="AK126" s="989"/>
      <c r="AL126" s="33">
        <f>'DIY Grundmodell'!X213</f>
        <v>4370.36006</v>
      </c>
    </row>
    <row r="127" spans="32:38" ht="14.1" customHeight="1" x14ac:dyDescent="0.45">
      <c r="AF127" s="988">
        <f>'DIY Grundmodell'!R214</f>
        <v>45156</v>
      </c>
      <c r="AG127" s="89">
        <f>'DIY Grundmodell'!S214</f>
        <v>283.25</v>
      </c>
      <c r="AH127" s="54">
        <f>'DIY Grundmodell'!T214</f>
        <v>10012.29976</v>
      </c>
      <c r="AI127" s="89">
        <f>'DIY Grundmodell'!U214</f>
        <v>283.25</v>
      </c>
      <c r="AJ127" s="89">
        <f>'DIY Grundmodell'!V214</f>
        <v>10012.29976</v>
      </c>
      <c r="AK127" s="989"/>
      <c r="AL127" s="33">
        <f>'DIY Grundmodell'!X214</f>
        <v>4369.7115000000003</v>
      </c>
    </row>
    <row r="128" spans="32:38" ht="14.1" customHeight="1" x14ac:dyDescent="0.45">
      <c r="AF128" s="988">
        <f>'DIY Grundmodell'!R215</f>
        <v>45157</v>
      </c>
      <c r="AG128" s="89" t="e">
        <f>'DIY Grundmodell'!S215</f>
        <v>#N/A</v>
      </c>
      <c r="AH128" s="54" t="e">
        <f>'DIY Grundmodell'!T215</f>
        <v>#N/A</v>
      </c>
      <c r="AI128" s="89">
        <f>'DIY Grundmodell'!U215</f>
        <v>283.25</v>
      </c>
      <c r="AJ128" s="89">
        <f>'DIY Grundmodell'!V215</f>
        <v>0</v>
      </c>
      <c r="AK128" s="989"/>
      <c r="AL128" s="33">
        <f>'DIY Grundmodell'!X215</f>
        <v>4369.7115000000003</v>
      </c>
    </row>
    <row r="129" spans="32:38" ht="14.1" customHeight="1" x14ac:dyDescent="0.45">
      <c r="AF129" s="988">
        <f>'DIY Grundmodell'!R216</f>
        <v>45158</v>
      </c>
      <c r="AG129" s="89" t="e">
        <f>'DIY Grundmodell'!S216</f>
        <v>#N/A</v>
      </c>
      <c r="AH129" s="54" t="e">
        <f>'DIY Grundmodell'!T216</f>
        <v>#N/A</v>
      </c>
      <c r="AI129" s="89">
        <f>'DIY Grundmodell'!U216</f>
        <v>283.25</v>
      </c>
      <c r="AJ129" s="89">
        <f>'DIY Grundmodell'!V216</f>
        <v>0</v>
      </c>
      <c r="AK129" s="989"/>
      <c r="AL129" s="33">
        <f>'DIY Grundmodell'!X216</f>
        <v>4369.7115000000003</v>
      </c>
    </row>
    <row r="130" spans="32:38" ht="14.1" customHeight="1" x14ac:dyDescent="0.45">
      <c r="AF130" s="988">
        <f>'DIY Grundmodell'!R217</f>
        <v>45159</v>
      </c>
      <c r="AG130" s="89">
        <f>'DIY Grundmodell'!S217</f>
        <v>289.89999999999998</v>
      </c>
      <c r="AH130" s="54">
        <f>'DIY Grundmodell'!T217</f>
        <v>5850.6095999999998</v>
      </c>
      <c r="AI130" s="89">
        <f>'DIY Grundmodell'!U217</f>
        <v>289.89999999999998</v>
      </c>
      <c r="AJ130" s="89">
        <f>'DIY Grundmodell'!V217</f>
        <v>5850.6095999999998</v>
      </c>
      <c r="AK130" s="989"/>
      <c r="AL130" s="33">
        <f>'DIY Grundmodell'!X217</f>
        <v>4399.7691000000004</v>
      </c>
    </row>
    <row r="131" spans="32:38" ht="14.1" customHeight="1" x14ac:dyDescent="0.45">
      <c r="AF131" s="988">
        <f>'DIY Grundmodell'!R218</f>
        <v>45160</v>
      </c>
      <c r="AG131" s="89">
        <f>'DIY Grundmodell'!S218</f>
        <v>287.60000000000002</v>
      </c>
      <c r="AH131" s="54">
        <f>'DIY Grundmodell'!T218</f>
        <v>3738.7749800000001</v>
      </c>
      <c r="AI131" s="89">
        <f>'DIY Grundmodell'!U218</f>
        <v>287.60000000000002</v>
      </c>
      <c r="AJ131" s="89">
        <f>'DIY Grundmodell'!V218</f>
        <v>3738.7749800000001</v>
      </c>
      <c r="AK131" s="989"/>
      <c r="AL131" s="33">
        <f>'DIY Grundmodell'!X218</f>
        <v>4387.5487000000003</v>
      </c>
    </row>
    <row r="132" spans="32:38" ht="14.1" customHeight="1" x14ac:dyDescent="0.45">
      <c r="AF132" s="988">
        <f>'DIY Grundmodell'!R219</f>
        <v>45161</v>
      </c>
      <c r="AG132" s="89">
        <f>'DIY Grundmodell'!S219</f>
        <v>294.24</v>
      </c>
      <c r="AH132" s="54">
        <f>'DIY Grundmodell'!T219</f>
        <v>5380.7671700000001</v>
      </c>
      <c r="AI132" s="89">
        <f>'DIY Grundmodell'!U219</f>
        <v>294.24</v>
      </c>
      <c r="AJ132" s="89">
        <f>'DIY Grundmodell'!V219</f>
        <v>5380.7671700000001</v>
      </c>
      <c r="AK132" s="989"/>
      <c r="AL132" s="33">
        <f>'DIY Grundmodell'!X219</f>
        <v>4436.0117399999999</v>
      </c>
    </row>
    <row r="133" spans="32:38" ht="14.1" customHeight="1" x14ac:dyDescent="0.45">
      <c r="AF133" s="988">
        <f>'DIY Grundmodell'!R220</f>
        <v>45162</v>
      </c>
      <c r="AG133" s="89">
        <f>'DIY Grundmodell'!S220</f>
        <v>286.75</v>
      </c>
      <c r="AH133" s="54">
        <f>'DIY Grundmodell'!T220</f>
        <v>5264.9829099999997</v>
      </c>
      <c r="AI133" s="89">
        <f>'DIY Grundmodell'!U220</f>
        <v>286.75</v>
      </c>
      <c r="AJ133" s="89">
        <f>'DIY Grundmodell'!V220</f>
        <v>5264.9829099999997</v>
      </c>
      <c r="AK133" s="989"/>
      <c r="AL133" s="33">
        <f>'DIY Grundmodell'!X220</f>
        <v>4376.31495</v>
      </c>
    </row>
    <row r="134" spans="32:38" ht="14.1" customHeight="1" x14ac:dyDescent="0.45">
      <c r="AF134" s="988">
        <f>'DIY Grundmodell'!R221</f>
        <v>45163</v>
      </c>
      <c r="AG134" s="89">
        <f>'DIY Grundmodell'!S221</f>
        <v>285.5</v>
      </c>
      <c r="AH134" s="54">
        <f>'DIY Grundmodell'!T221</f>
        <v>6766.7619800000002</v>
      </c>
      <c r="AI134" s="89">
        <f>'DIY Grundmodell'!U221</f>
        <v>285.5</v>
      </c>
      <c r="AJ134" s="89">
        <f>'DIY Grundmodell'!V221</f>
        <v>6766.7619800000002</v>
      </c>
      <c r="AK134" s="989"/>
      <c r="AL134" s="33">
        <f>'DIY Grundmodell'!X221</f>
        <v>4405.7057299999997</v>
      </c>
    </row>
    <row r="135" spans="32:38" ht="14.1" customHeight="1" x14ac:dyDescent="0.45">
      <c r="AF135" s="988">
        <f>'DIY Grundmodell'!R222</f>
        <v>45164</v>
      </c>
      <c r="AG135" s="89" t="e">
        <f>'DIY Grundmodell'!S222</f>
        <v>#N/A</v>
      </c>
      <c r="AH135" s="54" t="e">
        <f>'DIY Grundmodell'!T222</f>
        <v>#N/A</v>
      </c>
      <c r="AI135" s="89">
        <f>'DIY Grundmodell'!U222</f>
        <v>285.5</v>
      </c>
      <c r="AJ135" s="89">
        <f>'DIY Grundmodell'!V222</f>
        <v>0</v>
      </c>
      <c r="AK135" s="989"/>
      <c r="AL135" s="33">
        <f>'DIY Grundmodell'!X222</f>
        <v>4405.7057299999997</v>
      </c>
    </row>
    <row r="136" spans="32:38" ht="14.1" customHeight="1" x14ac:dyDescent="0.45">
      <c r="AF136" s="988">
        <f>'DIY Grundmodell'!R223</f>
        <v>45165</v>
      </c>
      <c r="AG136" s="89" t="e">
        <f>'DIY Grundmodell'!S223</f>
        <v>#N/A</v>
      </c>
      <c r="AH136" s="54" t="e">
        <f>'DIY Grundmodell'!T223</f>
        <v>#N/A</v>
      </c>
      <c r="AI136" s="89">
        <f>'DIY Grundmodell'!U223</f>
        <v>285.5</v>
      </c>
      <c r="AJ136" s="89">
        <f>'DIY Grundmodell'!V223</f>
        <v>0</v>
      </c>
      <c r="AK136" s="989"/>
      <c r="AL136" s="33">
        <f>'DIY Grundmodell'!X223</f>
        <v>4405.7057299999997</v>
      </c>
    </row>
    <row r="137" spans="32:38" ht="14.1" customHeight="1" x14ac:dyDescent="0.45">
      <c r="AF137" s="988">
        <f>'DIY Grundmodell'!R224</f>
        <v>45166</v>
      </c>
      <c r="AG137" s="89">
        <f>'DIY Grundmodell'!S224</f>
        <v>290.26</v>
      </c>
      <c r="AH137" s="54">
        <f>'DIY Grundmodell'!T224</f>
        <v>4133.0948600000002</v>
      </c>
      <c r="AI137" s="89">
        <f>'DIY Grundmodell'!U224</f>
        <v>290.26</v>
      </c>
      <c r="AJ137" s="89">
        <f>'DIY Grundmodell'!V224</f>
        <v>4133.0948600000002</v>
      </c>
      <c r="AK137" s="989"/>
      <c r="AL137" s="33">
        <f>'DIY Grundmodell'!X224</f>
        <v>4433.3056500000002</v>
      </c>
    </row>
    <row r="138" spans="32:38" ht="14.1" customHeight="1" x14ac:dyDescent="0.45">
      <c r="AF138" s="988">
        <f>'DIY Grundmodell'!R225</f>
        <v>45167</v>
      </c>
      <c r="AG138" s="89">
        <f>'DIY Grundmodell'!S225</f>
        <v>297.99</v>
      </c>
      <c r="AH138" s="54">
        <f>'DIY Grundmodell'!T225</f>
        <v>6211.4591099999998</v>
      </c>
      <c r="AI138" s="89">
        <f>'DIY Grundmodell'!U225</f>
        <v>297.99</v>
      </c>
      <c r="AJ138" s="89">
        <f>'DIY Grundmodell'!V225</f>
        <v>6211.4591099999998</v>
      </c>
      <c r="AK138" s="989"/>
      <c r="AL138" s="33">
        <f>'DIY Grundmodell'!X225</f>
        <v>4497.6316699999998</v>
      </c>
    </row>
    <row r="139" spans="32:38" ht="14.1" customHeight="1" x14ac:dyDescent="0.45">
      <c r="AF139" s="988">
        <f>'DIY Grundmodell'!R226</f>
        <v>45168</v>
      </c>
      <c r="AG139" s="89">
        <f>'DIY Grundmodell'!S226</f>
        <v>295.10000000000002</v>
      </c>
      <c r="AH139" s="54">
        <f>'DIY Grundmodell'!T226</f>
        <v>5228.29378</v>
      </c>
      <c r="AI139" s="89">
        <f>'DIY Grundmodell'!U226</f>
        <v>295.10000000000002</v>
      </c>
      <c r="AJ139" s="89">
        <f>'DIY Grundmodell'!V226</f>
        <v>5228.29378</v>
      </c>
      <c r="AK139" s="989"/>
      <c r="AL139" s="33">
        <f>'DIY Grundmodell'!X226</f>
        <v>4514.8652599999996</v>
      </c>
    </row>
    <row r="140" spans="32:38" ht="14.1" customHeight="1" x14ac:dyDescent="0.45">
      <c r="AF140" s="988">
        <f>'DIY Grundmodell'!R227</f>
        <v>45169</v>
      </c>
      <c r="AG140" s="89">
        <f>'DIY Grundmodell'!S227</f>
        <v>295.89</v>
      </c>
      <c r="AH140" s="54">
        <f>'DIY Grundmodell'!T227</f>
        <v>5098.1447600000001</v>
      </c>
      <c r="AI140" s="89">
        <f>'DIY Grundmodell'!U227</f>
        <v>295.89</v>
      </c>
      <c r="AJ140" s="89">
        <f>'DIY Grundmodell'!V227</f>
        <v>5098.1447600000001</v>
      </c>
      <c r="AK140" s="989"/>
      <c r="AL140" s="33">
        <f>'DIY Grundmodell'!X227</f>
        <v>4507.6617900000001</v>
      </c>
    </row>
    <row r="141" spans="32:38" ht="14.1" customHeight="1" x14ac:dyDescent="0.45">
      <c r="AF141" s="988">
        <f>'DIY Grundmodell'!R228</f>
        <v>45170</v>
      </c>
      <c r="AG141" s="89">
        <f>'DIY Grundmodell'!S228</f>
        <v>296.38</v>
      </c>
      <c r="AH141" s="54">
        <f>'DIY Grundmodell'!T228</f>
        <v>3806.18813</v>
      </c>
      <c r="AI141" s="89">
        <f>'DIY Grundmodell'!U228</f>
        <v>296.38</v>
      </c>
      <c r="AJ141" s="89">
        <f>'DIY Grundmodell'!V228</f>
        <v>3806.18813</v>
      </c>
      <c r="AK141" s="989"/>
      <c r="AL141" s="33">
        <f>'DIY Grundmodell'!X228</f>
        <v>4515.7673999999997</v>
      </c>
    </row>
    <row r="142" spans="32:38" ht="14.1" customHeight="1" x14ac:dyDescent="0.45">
      <c r="AF142" s="988">
        <f>'DIY Grundmodell'!R229</f>
        <v>45171</v>
      </c>
      <c r="AG142" s="89" t="e">
        <f>'DIY Grundmodell'!S229</f>
        <v>#N/A</v>
      </c>
      <c r="AH142" s="54" t="e">
        <f>'DIY Grundmodell'!T229</f>
        <v>#N/A</v>
      </c>
      <c r="AI142" s="89">
        <f>'DIY Grundmodell'!U229</f>
        <v>296.38</v>
      </c>
      <c r="AJ142" s="89">
        <f>'DIY Grundmodell'!V229</f>
        <v>0</v>
      </c>
      <c r="AK142" s="989"/>
      <c r="AL142" s="33">
        <f>'DIY Grundmodell'!X229</f>
        <v>4515.7673999999997</v>
      </c>
    </row>
    <row r="143" spans="32:38" ht="14.1" customHeight="1" x14ac:dyDescent="0.45">
      <c r="AF143" s="988">
        <f>'DIY Grundmodell'!R230</f>
        <v>45172</v>
      </c>
      <c r="AG143" s="89" t="e">
        <f>'DIY Grundmodell'!S230</f>
        <v>#N/A</v>
      </c>
      <c r="AH143" s="54" t="e">
        <f>'DIY Grundmodell'!T230</f>
        <v>#N/A</v>
      </c>
      <c r="AI143" s="89">
        <f>'DIY Grundmodell'!U230</f>
        <v>296.38</v>
      </c>
      <c r="AJ143" s="89">
        <f>'DIY Grundmodell'!V230</f>
        <v>0</v>
      </c>
      <c r="AK143" s="989"/>
      <c r="AL143" s="33">
        <f>'DIY Grundmodell'!X230</f>
        <v>4515.7673999999997</v>
      </c>
    </row>
    <row r="144" spans="32:38" ht="14.1" customHeight="1" x14ac:dyDescent="0.45">
      <c r="AF144" s="988">
        <f>'DIY Grundmodell'!R231</f>
        <v>45173</v>
      </c>
      <c r="AG144" s="89" t="e">
        <f>'DIY Grundmodell'!S231</f>
        <v>#N/A</v>
      </c>
      <c r="AH144" s="54" t="e">
        <f>'DIY Grundmodell'!T231</f>
        <v>#N/A</v>
      </c>
      <c r="AI144" s="89">
        <f>'DIY Grundmodell'!U231</f>
        <v>296.38</v>
      </c>
      <c r="AJ144" s="89">
        <f>'DIY Grundmodell'!V231</f>
        <v>0</v>
      </c>
      <c r="AK144" s="989"/>
      <c r="AL144" s="33">
        <f>'DIY Grundmodell'!X231</f>
        <v>4515.7673999999997</v>
      </c>
    </row>
    <row r="145" spans="32:38" ht="14.1" customHeight="1" x14ac:dyDescent="0.45">
      <c r="AF145" s="988">
        <f>'DIY Grundmodell'!R232</f>
        <v>45174</v>
      </c>
      <c r="AG145" s="89">
        <f>'DIY Grundmodell'!S232</f>
        <v>300.14999999999998</v>
      </c>
      <c r="AH145" s="54">
        <f>'DIY Grundmodell'!T232</f>
        <v>4489.0401000000002</v>
      </c>
      <c r="AI145" s="89">
        <f>'DIY Grundmodell'!U232</f>
        <v>300.14999999999998</v>
      </c>
      <c r="AJ145" s="89">
        <f>'DIY Grundmodell'!V232</f>
        <v>4489.0401000000002</v>
      </c>
      <c r="AK145" s="989"/>
      <c r="AL145" s="33">
        <f>'DIY Grundmodell'!X232</f>
        <v>4496.8272800000004</v>
      </c>
    </row>
    <row r="146" spans="32:38" ht="14.1" customHeight="1" x14ac:dyDescent="0.45">
      <c r="AF146" s="988">
        <f>'DIY Grundmodell'!R233</f>
        <v>45175</v>
      </c>
      <c r="AG146" s="89">
        <f>'DIY Grundmodell'!S233</f>
        <v>299.17</v>
      </c>
      <c r="AH146" s="54">
        <f>'DIY Grundmodell'!T233</f>
        <v>4612.63058</v>
      </c>
      <c r="AI146" s="89">
        <f>'DIY Grundmodell'!U233</f>
        <v>299.17</v>
      </c>
      <c r="AJ146" s="89">
        <f>'DIY Grundmodell'!V233</f>
        <v>4612.63058</v>
      </c>
      <c r="AK146" s="989"/>
      <c r="AL146" s="33">
        <f>'DIY Grundmodell'!X233</f>
        <v>4465.4847600000003</v>
      </c>
    </row>
    <row r="147" spans="32:38" ht="14.1" customHeight="1" x14ac:dyDescent="0.45">
      <c r="AF147" s="988">
        <f>'DIY Grundmodell'!R234</f>
        <v>45176</v>
      </c>
      <c r="AG147" s="89">
        <f>'DIY Grundmodell'!S234</f>
        <v>298.67</v>
      </c>
      <c r="AH147" s="54">
        <f>'DIY Grundmodell'!T234</f>
        <v>10079.735280000001</v>
      </c>
      <c r="AI147" s="89">
        <f>'DIY Grundmodell'!U234</f>
        <v>298.67</v>
      </c>
      <c r="AJ147" s="89">
        <f>'DIY Grundmodell'!V234</f>
        <v>10079.735280000001</v>
      </c>
      <c r="AK147" s="989"/>
      <c r="AL147" s="33">
        <f>'DIY Grundmodell'!X234</f>
        <v>4451.1379800000004</v>
      </c>
    </row>
    <row r="148" spans="32:38" ht="14.1" customHeight="1" x14ac:dyDescent="0.45">
      <c r="AF148" s="988">
        <f>'DIY Grundmodell'!R235</f>
        <v>45177</v>
      </c>
      <c r="AG148" s="89">
        <f>'DIY Grundmodell'!S235</f>
        <v>297.89</v>
      </c>
      <c r="AH148" s="54">
        <f>'DIY Grundmodell'!T235</f>
        <v>5234.5835500000003</v>
      </c>
      <c r="AI148" s="89">
        <f>'DIY Grundmodell'!U235</f>
        <v>297.89</v>
      </c>
      <c r="AJ148" s="89">
        <f>'DIY Grundmodell'!V235</f>
        <v>5234.5835500000003</v>
      </c>
      <c r="AK148" s="989"/>
      <c r="AL148" s="33">
        <f>'DIY Grundmodell'!X235</f>
        <v>4457.4893099999999</v>
      </c>
    </row>
    <row r="149" spans="32:38" ht="14.1" customHeight="1" x14ac:dyDescent="0.45">
      <c r="AF149" s="988">
        <f>'DIY Grundmodell'!R236</f>
        <v>45178</v>
      </c>
      <c r="AG149" s="89" t="e">
        <f>'DIY Grundmodell'!S236</f>
        <v>#N/A</v>
      </c>
      <c r="AH149" s="54" t="e">
        <f>'DIY Grundmodell'!T236</f>
        <v>#N/A</v>
      </c>
      <c r="AI149" s="89">
        <f>'DIY Grundmodell'!U236</f>
        <v>297.89</v>
      </c>
      <c r="AJ149" s="89">
        <f>'DIY Grundmodell'!V236</f>
        <v>0</v>
      </c>
      <c r="AK149" s="989"/>
      <c r="AL149" s="33">
        <f>'DIY Grundmodell'!X236</f>
        <v>4457.4893099999999</v>
      </c>
    </row>
    <row r="150" spans="32:38" ht="14.1" customHeight="1" x14ac:dyDescent="0.45">
      <c r="AF150" s="988">
        <f>'DIY Grundmodell'!R237</f>
        <v>45179</v>
      </c>
      <c r="AG150" s="89" t="e">
        <f>'DIY Grundmodell'!S237</f>
        <v>#N/A</v>
      </c>
      <c r="AH150" s="54" t="e">
        <f>'DIY Grundmodell'!T237</f>
        <v>#N/A</v>
      </c>
      <c r="AI150" s="89">
        <f>'DIY Grundmodell'!U237</f>
        <v>297.89</v>
      </c>
      <c r="AJ150" s="89">
        <f>'DIY Grundmodell'!V237</f>
        <v>0</v>
      </c>
      <c r="AK150" s="989"/>
      <c r="AL150" s="33">
        <f>'DIY Grundmodell'!X237</f>
        <v>4457.4893099999999</v>
      </c>
    </row>
    <row r="151" spans="32:38" ht="14.1" customHeight="1" x14ac:dyDescent="0.45">
      <c r="AF151" s="988">
        <f>'DIY Grundmodell'!R238</f>
        <v>45180</v>
      </c>
      <c r="AG151" s="89">
        <f>'DIY Grundmodell'!S238</f>
        <v>307.56</v>
      </c>
      <c r="AH151" s="54">
        <f>'DIY Grundmodell'!T238</f>
        <v>5994.1383400000004</v>
      </c>
      <c r="AI151" s="89">
        <f>'DIY Grundmodell'!U238</f>
        <v>307.56</v>
      </c>
      <c r="AJ151" s="89">
        <f>'DIY Grundmodell'!V238</f>
        <v>5994.1383400000004</v>
      </c>
      <c r="AK151" s="989"/>
      <c r="AL151" s="33">
        <f>'DIY Grundmodell'!X238</f>
        <v>4487.4638599999998</v>
      </c>
    </row>
    <row r="152" spans="32:38" ht="14.1" customHeight="1" x14ac:dyDescent="0.45">
      <c r="AF152" s="988">
        <f>'DIY Grundmodell'!R239</f>
        <v>45181</v>
      </c>
      <c r="AG152" s="89">
        <f>'DIY Grundmodell'!S239</f>
        <v>301.66000000000003</v>
      </c>
      <c r="AH152" s="54">
        <f>'DIY Grundmodell'!T239</f>
        <v>4066.49746</v>
      </c>
      <c r="AI152" s="89">
        <f>'DIY Grundmodell'!U239</f>
        <v>301.66000000000003</v>
      </c>
      <c r="AJ152" s="89">
        <f>'DIY Grundmodell'!V239</f>
        <v>4066.49746</v>
      </c>
      <c r="AK152" s="989"/>
      <c r="AL152" s="33">
        <f>'DIY Grundmodell'!X239</f>
        <v>4461.9049199999999</v>
      </c>
    </row>
    <row r="153" spans="32:38" ht="14.1" customHeight="1" x14ac:dyDescent="0.45">
      <c r="AF153" s="988">
        <f>'DIY Grundmodell'!R240</f>
        <v>45182</v>
      </c>
      <c r="AG153" s="89">
        <f>'DIY Grundmodell'!S240</f>
        <v>305.06</v>
      </c>
      <c r="AH153" s="54">
        <f>'DIY Grundmodell'!T240</f>
        <v>4030.1217299999998</v>
      </c>
      <c r="AI153" s="89">
        <f>'DIY Grundmodell'!U240</f>
        <v>305.06</v>
      </c>
      <c r="AJ153" s="89">
        <f>'DIY Grundmodell'!V240</f>
        <v>4030.1217299999998</v>
      </c>
      <c r="AK153" s="989"/>
      <c r="AL153" s="33">
        <f>'DIY Grundmodell'!X240</f>
        <v>4467.44193</v>
      </c>
    </row>
    <row r="154" spans="32:38" ht="14.1" customHeight="1" x14ac:dyDescent="0.45">
      <c r="AF154" s="988">
        <f>'DIY Grundmodell'!R241</f>
        <v>45183</v>
      </c>
      <c r="AG154" s="89">
        <f>'DIY Grundmodell'!S241</f>
        <v>311.72000000000003</v>
      </c>
      <c r="AH154" s="54">
        <f>'DIY Grundmodell'!T241</f>
        <v>6029.6317600000002</v>
      </c>
      <c r="AI154" s="89">
        <f>'DIY Grundmodell'!U241</f>
        <v>311.72000000000003</v>
      </c>
      <c r="AJ154" s="89">
        <f>'DIY Grundmodell'!V241</f>
        <v>6029.6317600000002</v>
      </c>
      <c r="AK154" s="989"/>
      <c r="AL154" s="33">
        <f>'DIY Grundmodell'!X241</f>
        <v>4505.0962799999998</v>
      </c>
    </row>
    <row r="155" spans="32:38" ht="14.1" customHeight="1" x14ac:dyDescent="0.45">
      <c r="AF155" s="988">
        <f>'DIY Grundmodell'!R242</f>
        <v>45184</v>
      </c>
      <c r="AG155" s="89">
        <f>'DIY Grundmodell'!S242</f>
        <v>300.31</v>
      </c>
      <c r="AH155" s="54">
        <f>'DIY Grundmodell'!T242</f>
        <v>8448.0626499999998</v>
      </c>
      <c r="AI155" s="89">
        <f>'DIY Grundmodell'!U242</f>
        <v>300.31</v>
      </c>
      <c r="AJ155" s="89">
        <f>'DIY Grundmodell'!V242</f>
        <v>8448.0626499999998</v>
      </c>
      <c r="AK155" s="989"/>
      <c r="AL155" s="33">
        <f>'DIY Grundmodell'!X242</f>
        <v>4450.31628</v>
      </c>
    </row>
    <row r="156" spans="32:38" ht="14.1" customHeight="1" x14ac:dyDescent="0.45">
      <c r="AF156" s="988">
        <f>'DIY Grundmodell'!R243</f>
        <v>45185</v>
      </c>
      <c r="AG156" s="89" t="e">
        <f>'DIY Grundmodell'!S243</f>
        <v>#N/A</v>
      </c>
      <c r="AH156" s="54" t="e">
        <f>'DIY Grundmodell'!T243</f>
        <v>#N/A</v>
      </c>
      <c r="AI156" s="89">
        <f>'DIY Grundmodell'!U243</f>
        <v>300.31</v>
      </c>
      <c r="AJ156" s="89">
        <f>'DIY Grundmodell'!V243</f>
        <v>0</v>
      </c>
      <c r="AK156" s="989"/>
      <c r="AL156" s="33">
        <f>'DIY Grundmodell'!X243</f>
        <v>4450.31628</v>
      </c>
    </row>
    <row r="157" spans="32:38" ht="14.1" customHeight="1" x14ac:dyDescent="0.45">
      <c r="AF157" s="988">
        <f>'DIY Grundmodell'!R244</f>
        <v>45186</v>
      </c>
      <c r="AG157" s="89" t="e">
        <f>'DIY Grundmodell'!S244</f>
        <v>#N/A</v>
      </c>
      <c r="AH157" s="54" t="e">
        <f>'DIY Grundmodell'!T244</f>
        <v>#N/A</v>
      </c>
      <c r="AI157" s="89">
        <f>'DIY Grundmodell'!U244</f>
        <v>300.31</v>
      </c>
      <c r="AJ157" s="89">
        <f>'DIY Grundmodell'!V244</f>
        <v>0</v>
      </c>
      <c r="AK157" s="989"/>
      <c r="AL157" s="33">
        <f>'DIY Grundmodell'!X244</f>
        <v>4450.31628</v>
      </c>
    </row>
    <row r="158" spans="32:38" ht="14.1" customHeight="1" x14ac:dyDescent="0.45">
      <c r="AF158" s="988">
        <f>'DIY Grundmodell'!R245</f>
        <v>45187</v>
      </c>
      <c r="AG158" s="89">
        <f>'DIY Grundmodell'!S245</f>
        <v>302.55</v>
      </c>
      <c r="AH158" s="54">
        <f>'DIY Grundmodell'!T245</f>
        <v>4306.5445</v>
      </c>
      <c r="AI158" s="89">
        <f>'DIY Grundmodell'!U245</f>
        <v>302.55</v>
      </c>
      <c r="AJ158" s="89">
        <f>'DIY Grundmodell'!V245</f>
        <v>4306.5445</v>
      </c>
      <c r="AK158" s="989"/>
      <c r="AL158" s="33">
        <f>'DIY Grundmodell'!X245</f>
        <v>4453.5338000000002</v>
      </c>
    </row>
    <row r="159" spans="32:38" ht="14.1" customHeight="1" x14ac:dyDescent="0.45">
      <c r="AF159" s="988">
        <f>'DIY Grundmodell'!R246</f>
        <v>45188</v>
      </c>
      <c r="AG159" s="89">
        <f>'DIY Grundmodell'!S246</f>
        <v>305.07</v>
      </c>
      <c r="AH159" s="54">
        <f>'DIY Grundmodell'!T246</f>
        <v>4860.2587000000003</v>
      </c>
      <c r="AI159" s="89">
        <f>'DIY Grundmodell'!U246</f>
        <v>305.07</v>
      </c>
      <c r="AJ159" s="89">
        <f>'DIY Grundmodell'!V246</f>
        <v>4860.2587000000003</v>
      </c>
      <c r="AK159" s="989"/>
      <c r="AL159" s="33">
        <f>'DIY Grundmodell'!X246</f>
        <v>4443.9475000000002</v>
      </c>
    </row>
    <row r="160" spans="32:38" ht="14.1" customHeight="1" x14ac:dyDescent="0.45">
      <c r="AF160" s="988">
        <f>'DIY Grundmodell'!R247</f>
        <v>45189</v>
      </c>
      <c r="AG160" s="89">
        <f>'DIY Grundmodell'!S247</f>
        <v>299.67</v>
      </c>
      <c r="AH160" s="54">
        <f>'DIY Grundmodell'!T247</f>
        <v>5807.4592599999996</v>
      </c>
      <c r="AI160" s="89">
        <f>'DIY Grundmodell'!U247</f>
        <v>299.67</v>
      </c>
      <c r="AJ160" s="89">
        <f>'DIY Grundmodell'!V247</f>
        <v>5807.4592599999996</v>
      </c>
      <c r="AK160" s="989"/>
      <c r="AL160" s="33">
        <f>'DIY Grundmodell'!X247</f>
        <v>4402.2035400000004</v>
      </c>
    </row>
    <row r="161" spans="32:38" ht="14.1" customHeight="1" x14ac:dyDescent="0.45">
      <c r="AF161" s="988">
        <f>'DIY Grundmodell'!R248</f>
        <v>45190</v>
      </c>
      <c r="AG161" s="89">
        <f>'DIY Grundmodell'!S248</f>
        <v>295.73</v>
      </c>
      <c r="AH161" s="54">
        <f>'DIY Grundmodell'!T248</f>
        <v>6304.8399900000004</v>
      </c>
      <c r="AI161" s="89">
        <f>'DIY Grundmodell'!U248</f>
        <v>295.73</v>
      </c>
      <c r="AJ161" s="89">
        <f>'DIY Grundmodell'!V248</f>
        <v>6304.8399900000004</v>
      </c>
      <c r="AK161" s="989"/>
      <c r="AL161" s="33">
        <f>'DIY Grundmodell'!X248</f>
        <v>4330.0048500000003</v>
      </c>
    </row>
    <row r="162" spans="32:38" ht="14.1" customHeight="1" x14ac:dyDescent="0.45">
      <c r="AF162" s="988">
        <f>'DIY Grundmodell'!R249</f>
        <v>45191</v>
      </c>
      <c r="AG162" s="89">
        <f>'DIY Grundmodell'!S249</f>
        <v>299.08</v>
      </c>
      <c r="AH162" s="54">
        <f>'DIY Grundmodell'!T249</f>
        <v>7587.5375800000002</v>
      </c>
      <c r="AI162" s="89">
        <f>'DIY Grundmodell'!U249</f>
        <v>299.08</v>
      </c>
      <c r="AJ162" s="89">
        <f>'DIY Grundmodell'!V249</f>
        <v>7587.5375800000002</v>
      </c>
      <c r="AK162" s="989"/>
      <c r="AL162" s="33">
        <f>'DIY Grundmodell'!X249</f>
        <v>4320.0571300000001</v>
      </c>
    </row>
    <row r="163" spans="32:38" ht="14.1" customHeight="1" x14ac:dyDescent="0.45">
      <c r="AF163" s="988">
        <f>'DIY Grundmodell'!R250</f>
        <v>45192</v>
      </c>
      <c r="AG163" s="89" t="e">
        <f>'DIY Grundmodell'!S250</f>
        <v>#N/A</v>
      </c>
      <c r="AH163" s="54" t="e">
        <f>'DIY Grundmodell'!T250</f>
        <v>#N/A</v>
      </c>
      <c r="AI163" s="89">
        <f>'DIY Grundmodell'!U250</f>
        <v>299.08</v>
      </c>
      <c r="AJ163" s="89">
        <f>'DIY Grundmodell'!V250</f>
        <v>0</v>
      </c>
      <c r="AK163" s="989"/>
      <c r="AL163" s="33">
        <f>'DIY Grundmodell'!X250</f>
        <v>4320.0571300000001</v>
      </c>
    </row>
    <row r="164" spans="32:38" ht="14.1" customHeight="1" x14ac:dyDescent="0.45">
      <c r="AF164" s="988">
        <f>'DIY Grundmodell'!R251</f>
        <v>45193</v>
      </c>
      <c r="AG164" s="89" t="e">
        <f>'DIY Grundmodell'!S251</f>
        <v>#N/A</v>
      </c>
      <c r="AH164" s="54" t="e">
        <f>'DIY Grundmodell'!T251</f>
        <v>#N/A</v>
      </c>
      <c r="AI164" s="89">
        <f>'DIY Grundmodell'!U251</f>
        <v>299.08</v>
      </c>
      <c r="AJ164" s="89">
        <f>'DIY Grundmodell'!V251</f>
        <v>0</v>
      </c>
      <c r="AK164" s="989"/>
      <c r="AL164" s="33">
        <f>'DIY Grundmodell'!X251</f>
        <v>4320.0571300000001</v>
      </c>
    </row>
    <row r="165" spans="32:38" ht="14.1" customHeight="1" x14ac:dyDescent="0.45">
      <c r="AF165" s="988">
        <f>'DIY Grundmodell'!R252</f>
        <v>45194</v>
      </c>
      <c r="AG165" s="89">
        <f>'DIY Grundmodell'!S252</f>
        <v>300.83</v>
      </c>
      <c r="AH165" s="54">
        <f>'DIY Grundmodell'!T252</f>
        <v>5711.8634199999997</v>
      </c>
      <c r="AI165" s="89">
        <f>'DIY Grundmodell'!U252</f>
        <v>300.83</v>
      </c>
      <c r="AJ165" s="89">
        <f>'DIY Grundmodell'!V252</f>
        <v>5711.8634199999997</v>
      </c>
      <c r="AK165" s="989"/>
      <c r="AL165" s="33">
        <f>'DIY Grundmodell'!X252</f>
        <v>4337.4449800000002</v>
      </c>
    </row>
    <row r="166" spans="32:38" ht="14.1" customHeight="1" x14ac:dyDescent="0.45">
      <c r="AF166" s="988">
        <f>'DIY Grundmodell'!R253</f>
        <v>45195</v>
      </c>
      <c r="AG166" s="89">
        <f>'DIY Grundmodell'!S253</f>
        <v>298.95999999999998</v>
      </c>
      <c r="AH166" s="54">
        <f>'DIY Grundmodell'!T253</f>
        <v>5804.9544500000002</v>
      </c>
      <c r="AI166" s="89">
        <f>'DIY Grundmodell'!U253</f>
        <v>298.95999999999998</v>
      </c>
      <c r="AJ166" s="89">
        <f>'DIY Grundmodell'!V253</f>
        <v>5804.9544500000002</v>
      </c>
      <c r="AK166" s="989"/>
      <c r="AL166" s="33">
        <f>'DIY Grundmodell'!X253</f>
        <v>4273.5283099999997</v>
      </c>
    </row>
    <row r="167" spans="32:38" ht="14.1" customHeight="1" x14ac:dyDescent="0.45">
      <c r="AF167" s="988">
        <f>'DIY Grundmodell'!R254</f>
        <v>45196</v>
      </c>
      <c r="AG167" s="89">
        <f>'DIY Grundmodell'!S254</f>
        <v>297.74</v>
      </c>
      <c r="AH167" s="54">
        <f>'DIY Grundmodell'!T254</f>
        <v>10846.619070000001</v>
      </c>
      <c r="AI167" s="89">
        <f>'DIY Grundmodell'!U254</f>
        <v>297.74</v>
      </c>
      <c r="AJ167" s="89">
        <f>'DIY Grundmodell'!V254</f>
        <v>10846.619070000001</v>
      </c>
      <c r="AK167" s="989"/>
      <c r="AL167" s="33">
        <f>'DIY Grundmodell'!X254</f>
        <v>4274.5094099999997</v>
      </c>
    </row>
    <row r="168" spans="32:38" ht="14.1" customHeight="1" x14ac:dyDescent="0.45">
      <c r="AF168" s="988">
        <f>'DIY Grundmodell'!R255</f>
        <v>45197</v>
      </c>
      <c r="AG168" s="89">
        <f>'DIY Grundmodell'!S255</f>
        <v>303.95999999999998</v>
      </c>
      <c r="AH168" s="54">
        <f>'DIY Grundmodell'!T255</f>
        <v>6737.9041200000001</v>
      </c>
      <c r="AI168" s="89">
        <f>'DIY Grundmodell'!U255</f>
        <v>303.95999999999998</v>
      </c>
      <c r="AJ168" s="89">
        <f>'DIY Grundmodell'!V255</f>
        <v>6737.9041200000001</v>
      </c>
      <c r="AK168" s="989"/>
      <c r="AL168" s="33">
        <f>'DIY Grundmodell'!X255</f>
        <v>4299.7019899999996</v>
      </c>
    </row>
    <row r="169" spans="32:38" ht="14.1" customHeight="1" x14ac:dyDescent="0.45">
      <c r="AF169" s="988">
        <f>'DIY Grundmodell'!R256</f>
        <v>45198</v>
      </c>
      <c r="AG169" s="89">
        <f>'DIY Grundmodell'!S256</f>
        <v>300.20999999999998</v>
      </c>
      <c r="AH169" s="54">
        <f>'DIY Grundmodell'!T256</f>
        <v>7617.4369800000004</v>
      </c>
      <c r="AI169" s="89">
        <f>'DIY Grundmodell'!U256</f>
        <v>300.20999999999998</v>
      </c>
      <c r="AJ169" s="89">
        <f>'DIY Grundmodell'!V256</f>
        <v>7617.4369800000004</v>
      </c>
      <c r="AK169" s="989"/>
      <c r="AL169" s="33">
        <f>'DIY Grundmodell'!X256</f>
        <v>4288.0541199999998</v>
      </c>
    </row>
    <row r="170" spans="32:38" ht="14.1" customHeight="1" x14ac:dyDescent="0.45">
      <c r="AF170" s="988">
        <f>'DIY Grundmodell'!R257</f>
        <v>45199</v>
      </c>
      <c r="AG170" s="89" t="e">
        <f>'DIY Grundmodell'!S257</f>
        <v>#N/A</v>
      </c>
      <c r="AH170" s="54" t="e">
        <f>'DIY Grundmodell'!T257</f>
        <v>#N/A</v>
      </c>
      <c r="AI170" s="89">
        <f>'DIY Grundmodell'!U257</f>
        <v>300.20999999999998</v>
      </c>
      <c r="AJ170" s="89">
        <f>'DIY Grundmodell'!V257</f>
        <v>0</v>
      </c>
      <c r="AK170" s="989"/>
      <c r="AL170" s="33">
        <f>'DIY Grundmodell'!X257</f>
        <v>4288.0541199999998</v>
      </c>
    </row>
    <row r="171" spans="32:38" ht="14.1" customHeight="1" x14ac:dyDescent="0.45">
      <c r="AF171" s="988">
        <f>'DIY Grundmodell'!R258</f>
        <v>45200</v>
      </c>
      <c r="AG171" s="89" t="e">
        <f>'DIY Grundmodell'!S258</f>
        <v>#N/A</v>
      </c>
      <c r="AH171" s="54" t="e">
        <f>'DIY Grundmodell'!T258</f>
        <v>#N/A</v>
      </c>
      <c r="AI171" s="89">
        <f>'DIY Grundmodell'!U258</f>
        <v>300.20999999999998</v>
      </c>
      <c r="AJ171" s="89">
        <f>'DIY Grundmodell'!V258</f>
        <v>0</v>
      </c>
      <c r="AK171" s="989"/>
      <c r="AL171" s="33">
        <f>'DIY Grundmodell'!X258</f>
        <v>4288.0541199999998</v>
      </c>
    </row>
    <row r="172" spans="32:38" ht="14.1" customHeight="1" x14ac:dyDescent="0.45">
      <c r="AF172" s="988">
        <f>'DIY Grundmodell'!R259</f>
        <v>45201</v>
      </c>
      <c r="AG172" s="89">
        <f>'DIY Grundmodell'!S259</f>
        <v>306.82</v>
      </c>
      <c r="AH172" s="54">
        <f>'DIY Grundmodell'!T259</f>
        <v>4990.6024900000002</v>
      </c>
      <c r="AI172" s="89">
        <f>'DIY Grundmodell'!U259</f>
        <v>306.82</v>
      </c>
      <c r="AJ172" s="89">
        <f>'DIY Grundmodell'!V259</f>
        <v>4990.6024900000002</v>
      </c>
      <c r="AK172" s="989"/>
      <c r="AL172" s="33">
        <f>'DIY Grundmodell'!X259</f>
        <v>4288.3906999999999</v>
      </c>
    </row>
    <row r="173" spans="32:38" ht="14.1" customHeight="1" x14ac:dyDescent="0.45">
      <c r="AF173" s="988">
        <f>'DIY Grundmodell'!R260</f>
        <v>45202</v>
      </c>
      <c r="AG173" s="89">
        <f>'DIY Grundmodell'!S260</f>
        <v>300.94</v>
      </c>
      <c r="AH173" s="54">
        <f>'DIY Grundmodell'!T260</f>
        <v>5224.9955200000004</v>
      </c>
      <c r="AI173" s="89">
        <f>'DIY Grundmodell'!U260</f>
        <v>300.94</v>
      </c>
      <c r="AJ173" s="89">
        <f>'DIY Grundmodell'!V260</f>
        <v>5224.9955200000004</v>
      </c>
      <c r="AK173" s="989"/>
      <c r="AL173" s="33">
        <f>'DIY Grundmodell'!X260</f>
        <v>4229.4530299999997</v>
      </c>
    </row>
    <row r="174" spans="32:38" ht="14.1" customHeight="1" x14ac:dyDescent="0.45">
      <c r="AF174" s="988">
        <f>'DIY Grundmodell'!R261</f>
        <v>45203</v>
      </c>
      <c r="AG174" s="89">
        <f>'DIY Grundmodell'!S261</f>
        <v>305.58</v>
      </c>
      <c r="AH174" s="54">
        <f>'DIY Grundmodell'!T261</f>
        <v>5158.3383000000003</v>
      </c>
      <c r="AI174" s="89">
        <f>'DIY Grundmodell'!U261</f>
        <v>305.58</v>
      </c>
      <c r="AJ174" s="89">
        <f>'DIY Grundmodell'!V261</f>
        <v>5158.3383000000003</v>
      </c>
      <c r="AK174" s="989"/>
      <c r="AL174" s="33">
        <f>'DIY Grundmodell'!X261</f>
        <v>4263.7511400000003</v>
      </c>
    </row>
    <row r="175" spans="32:38" ht="14.1" customHeight="1" x14ac:dyDescent="0.45">
      <c r="AF175" s="988">
        <f>'DIY Grundmodell'!R262</f>
        <v>45204</v>
      </c>
      <c r="AG175" s="89">
        <f>'DIY Grundmodell'!S262</f>
        <v>304.79000000000002</v>
      </c>
      <c r="AH175" s="54">
        <f>'DIY Grundmodell'!T262</f>
        <v>5830.6195900000002</v>
      </c>
      <c r="AI175" s="89">
        <f>'DIY Grundmodell'!U262</f>
        <v>304.79000000000002</v>
      </c>
      <c r="AJ175" s="89">
        <f>'DIY Grundmodell'!V262</f>
        <v>5830.6195900000002</v>
      </c>
      <c r="AK175" s="989"/>
      <c r="AL175" s="33">
        <f>'DIY Grundmodell'!X262</f>
        <v>4258.1858099999999</v>
      </c>
    </row>
    <row r="176" spans="32:38" ht="14.1" customHeight="1" x14ac:dyDescent="0.45">
      <c r="AF176" s="988">
        <f>'DIY Grundmodell'!R263</f>
        <v>45205</v>
      </c>
      <c r="AG176" s="89">
        <f>'DIY Grundmodell'!S263</f>
        <v>315.43</v>
      </c>
      <c r="AH176" s="54">
        <f>'DIY Grundmodell'!T263</f>
        <v>6877.5902999999998</v>
      </c>
      <c r="AI176" s="89">
        <f>'DIY Grundmodell'!U263</f>
        <v>315.43</v>
      </c>
      <c r="AJ176" s="89">
        <f>'DIY Grundmodell'!V263</f>
        <v>6877.5902999999998</v>
      </c>
      <c r="AK176" s="989"/>
      <c r="AL176" s="33">
        <f>'DIY Grundmodell'!X263</f>
        <v>4308.5022600000002</v>
      </c>
    </row>
    <row r="177" spans="32:38" ht="14.1" customHeight="1" x14ac:dyDescent="0.45">
      <c r="AF177" s="988">
        <f>'DIY Grundmodell'!R264</f>
        <v>45206</v>
      </c>
      <c r="AG177" s="89" t="e">
        <f>'DIY Grundmodell'!S264</f>
        <v>#N/A</v>
      </c>
      <c r="AH177" s="54" t="e">
        <f>'DIY Grundmodell'!T264</f>
        <v>#N/A</v>
      </c>
      <c r="AI177" s="89">
        <f>'DIY Grundmodell'!U264</f>
        <v>315.43</v>
      </c>
      <c r="AJ177" s="89">
        <f>'DIY Grundmodell'!V264</f>
        <v>0</v>
      </c>
      <c r="AK177" s="989"/>
      <c r="AL177" s="33">
        <f>'DIY Grundmodell'!X264</f>
        <v>4308.5022600000002</v>
      </c>
    </row>
    <row r="178" spans="32:38" ht="14.1" customHeight="1" x14ac:dyDescent="0.45">
      <c r="AF178" s="988">
        <f>'DIY Grundmodell'!R265</f>
        <v>45207</v>
      </c>
      <c r="AG178" s="89" t="e">
        <f>'DIY Grundmodell'!S265</f>
        <v>#N/A</v>
      </c>
      <c r="AH178" s="54" t="e">
        <f>'DIY Grundmodell'!T265</f>
        <v>#N/A</v>
      </c>
      <c r="AI178" s="89">
        <f>'DIY Grundmodell'!U265</f>
        <v>315.43</v>
      </c>
      <c r="AJ178" s="89">
        <f>'DIY Grundmodell'!V265</f>
        <v>0</v>
      </c>
      <c r="AK178" s="989"/>
      <c r="AL178" s="33">
        <f>'DIY Grundmodell'!X265</f>
        <v>4308.5022600000002</v>
      </c>
    </row>
    <row r="179" spans="32:38" ht="14.1" customHeight="1" x14ac:dyDescent="0.45">
      <c r="AF179" s="988">
        <f>'DIY Grundmodell'!R266</f>
        <v>45208</v>
      </c>
      <c r="AG179" s="89">
        <f>'DIY Grundmodell'!S266</f>
        <v>318.36</v>
      </c>
      <c r="AH179" s="54">
        <f>'DIY Grundmodell'!T266</f>
        <v>7164.2658300000003</v>
      </c>
      <c r="AI179" s="89">
        <f>'DIY Grundmodell'!U266</f>
        <v>318.36</v>
      </c>
      <c r="AJ179" s="89">
        <f>'DIY Grundmodell'!V266</f>
        <v>7164.2658300000003</v>
      </c>
      <c r="AK179" s="989"/>
      <c r="AL179" s="33">
        <f>'DIY Grundmodell'!X266</f>
        <v>4335.6575199999997</v>
      </c>
    </row>
    <row r="180" spans="32:38" ht="14.1" customHeight="1" x14ac:dyDescent="0.45">
      <c r="AF180" s="988">
        <f>'DIY Grundmodell'!R267</f>
        <v>45209</v>
      </c>
      <c r="AG180" s="89">
        <f>'DIY Grundmodell'!S267</f>
        <v>321.83999999999997</v>
      </c>
      <c r="AH180" s="54">
        <f>'DIY Grundmodell'!T267</f>
        <v>6127.1812300000001</v>
      </c>
      <c r="AI180" s="89">
        <f>'DIY Grundmodell'!U267</f>
        <v>321.83999999999997</v>
      </c>
      <c r="AJ180" s="89">
        <f>'DIY Grundmodell'!V267</f>
        <v>6127.1812300000001</v>
      </c>
      <c r="AK180" s="989"/>
      <c r="AL180" s="33">
        <f>'DIY Grundmodell'!X267</f>
        <v>4358.2378600000002</v>
      </c>
    </row>
    <row r="181" spans="32:38" ht="14.1" customHeight="1" x14ac:dyDescent="0.45">
      <c r="AF181" s="988">
        <f>'DIY Grundmodell'!R268</f>
        <v>45210</v>
      </c>
      <c r="AG181" s="89">
        <f>'DIY Grundmodell'!S268</f>
        <v>327.82</v>
      </c>
      <c r="AH181" s="54">
        <f>'DIY Grundmodell'!T268</f>
        <v>7223.9388799999997</v>
      </c>
      <c r="AI181" s="89">
        <f>'DIY Grundmodell'!U268</f>
        <v>327.82</v>
      </c>
      <c r="AJ181" s="89">
        <f>'DIY Grundmodell'!V268</f>
        <v>7223.9388799999997</v>
      </c>
      <c r="AK181" s="989"/>
      <c r="AL181" s="33">
        <f>'DIY Grundmodell'!X268</f>
        <v>4376.9451799999997</v>
      </c>
    </row>
    <row r="182" spans="32:38" ht="14.1" customHeight="1" x14ac:dyDescent="0.45">
      <c r="AF182" s="988">
        <f>'DIY Grundmodell'!R269</f>
        <v>45211</v>
      </c>
      <c r="AG182" s="89">
        <f>'DIY Grundmodell'!S269</f>
        <v>324.16000000000003</v>
      </c>
      <c r="AH182" s="54">
        <f>'DIY Grundmodell'!T269</f>
        <v>6655.1727199999996</v>
      </c>
      <c r="AI182" s="89">
        <f>'DIY Grundmodell'!U269</f>
        <v>324.16000000000003</v>
      </c>
      <c r="AJ182" s="89">
        <f>'DIY Grundmodell'!V269</f>
        <v>6655.1727199999996</v>
      </c>
      <c r="AK182" s="989"/>
      <c r="AL182" s="33">
        <f>'DIY Grundmodell'!X269</f>
        <v>4349.6057799999999</v>
      </c>
    </row>
    <row r="183" spans="32:38" ht="14.1" customHeight="1" x14ac:dyDescent="0.45">
      <c r="AF183" s="988">
        <f>'DIY Grundmodell'!R270</f>
        <v>45212</v>
      </c>
      <c r="AG183" s="89">
        <f>'DIY Grundmodell'!S270</f>
        <v>314.69</v>
      </c>
      <c r="AH183" s="54">
        <f>'DIY Grundmodell'!T270</f>
        <v>6722.0270099999998</v>
      </c>
      <c r="AI183" s="89">
        <f>'DIY Grundmodell'!U270</f>
        <v>314.69</v>
      </c>
      <c r="AJ183" s="89">
        <f>'DIY Grundmodell'!V270</f>
        <v>6722.0270099999998</v>
      </c>
      <c r="AK183" s="989"/>
      <c r="AL183" s="33">
        <f>'DIY Grundmodell'!X270</f>
        <v>4327.7830299999996</v>
      </c>
    </row>
    <row r="184" spans="32:38" ht="14.1" customHeight="1" x14ac:dyDescent="0.45">
      <c r="AF184" s="988">
        <f>'DIY Grundmodell'!R271</f>
        <v>45213</v>
      </c>
      <c r="AG184" s="89" t="e">
        <f>'DIY Grundmodell'!S271</f>
        <v>#N/A</v>
      </c>
      <c r="AH184" s="54" t="e">
        <f>'DIY Grundmodell'!T271</f>
        <v>#N/A</v>
      </c>
      <c r="AI184" s="89">
        <f>'DIY Grundmodell'!U271</f>
        <v>314.69</v>
      </c>
      <c r="AJ184" s="89">
        <f>'DIY Grundmodell'!V271</f>
        <v>0</v>
      </c>
      <c r="AK184" s="989"/>
      <c r="AL184" s="33">
        <f>'DIY Grundmodell'!X271</f>
        <v>4327.7830299999996</v>
      </c>
    </row>
    <row r="185" spans="32:38" ht="14.1" customHeight="1" x14ac:dyDescent="0.45">
      <c r="AF185" s="988">
        <f>'DIY Grundmodell'!R272</f>
        <v>45214</v>
      </c>
      <c r="AG185" s="89" t="e">
        <f>'DIY Grundmodell'!S272</f>
        <v>#N/A</v>
      </c>
      <c r="AH185" s="54" t="e">
        <f>'DIY Grundmodell'!T272</f>
        <v>#N/A</v>
      </c>
      <c r="AI185" s="89">
        <f>'DIY Grundmodell'!U272</f>
        <v>314.69</v>
      </c>
      <c r="AJ185" s="89">
        <f>'DIY Grundmodell'!V272</f>
        <v>0</v>
      </c>
      <c r="AK185" s="989"/>
      <c r="AL185" s="33">
        <f>'DIY Grundmodell'!X272</f>
        <v>4327.7830299999996</v>
      </c>
    </row>
    <row r="186" spans="32:38" ht="14.1" customHeight="1" x14ac:dyDescent="0.45">
      <c r="AF186" s="988">
        <f>'DIY Grundmodell'!R273</f>
        <v>45215</v>
      </c>
      <c r="AG186" s="89">
        <f>'DIY Grundmodell'!S273</f>
        <v>321.14999999999998</v>
      </c>
      <c r="AH186" s="54">
        <f>'DIY Grundmodell'!T273</f>
        <v>5310.5730100000001</v>
      </c>
      <c r="AI186" s="89">
        <f>'DIY Grundmodell'!U273</f>
        <v>321.14999999999998</v>
      </c>
      <c r="AJ186" s="89">
        <f>'DIY Grundmodell'!V273</f>
        <v>5310.5730100000001</v>
      </c>
      <c r="AK186" s="989"/>
      <c r="AL186" s="33">
        <f>'DIY Grundmodell'!X273</f>
        <v>4373.6348099999996</v>
      </c>
    </row>
    <row r="187" spans="32:38" ht="14.1" customHeight="1" x14ac:dyDescent="0.45">
      <c r="AF187" s="988">
        <f>'DIY Grundmodell'!R274</f>
        <v>45216</v>
      </c>
      <c r="AG187" s="89">
        <f>'DIY Grundmodell'!S274</f>
        <v>324</v>
      </c>
      <c r="AH187" s="54">
        <f>'DIY Grundmodell'!T274</f>
        <v>5309.6468800000002</v>
      </c>
      <c r="AI187" s="89">
        <f>'DIY Grundmodell'!U274</f>
        <v>324</v>
      </c>
      <c r="AJ187" s="89">
        <f>'DIY Grundmodell'!V274</f>
        <v>5309.6468800000002</v>
      </c>
      <c r="AK187" s="989"/>
      <c r="AL187" s="33">
        <f>'DIY Grundmodell'!X274</f>
        <v>4373.1959900000002</v>
      </c>
    </row>
    <row r="188" spans="32:38" ht="14.1" customHeight="1" x14ac:dyDescent="0.45">
      <c r="AF188" s="988">
        <f>'DIY Grundmodell'!R275</f>
        <v>45217</v>
      </c>
      <c r="AG188" s="89">
        <f>'DIY Grundmodell'!S275</f>
        <v>316.97000000000003</v>
      </c>
      <c r="AH188" s="54">
        <f>'DIY Grundmodell'!T275</f>
        <v>5341.26242</v>
      </c>
      <c r="AI188" s="89">
        <f>'DIY Grundmodell'!U275</f>
        <v>316.97000000000003</v>
      </c>
      <c r="AJ188" s="89">
        <f>'DIY Grundmodell'!V275</f>
        <v>5341.26242</v>
      </c>
      <c r="AK188" s="989"/>
      <c r="AL188" s="33">
        <f>'DIY Grundmodell'!X275</f>
        <v>4314.6006500000003</v>
      </c>
    </row>
    <row r="189" spans="32:38" ht="14.1" customHeight="1" x14ac:dyDescent="0.45">
      <c r="AF189" s="988">
        <f>'DIY Grundmodell'!R276</f>
        <v>45218</v>
      </c>
      <c r="AG189" s="89">
        <f>'DIY Grundmodell'!S276</f>
        <v>312.81</v>
      </c>
      <c r="AH189" s="54">
        <f>'DIY Grundmodell'!T276</f>
        <v>5852.4123399999999</v>
      </c>
      <c r="AI189" s="89">
        <f>'DIY Grundmodell'!U276</f>
        <v>312.81</v>
      </c>
      <c r="AJ189" s="89">
        <f>'DIY Grundmodell'!V276</f>
        <v>5852.4123399999999</v>
      </c>
      <c r="AK189" s="989"/>
      <c r="AL189" s="33">
        <f>'DIY Grundmodell'!X276</f>
        <v>4277.9974300000003</v>
      </c>
    </row>
    <row r="190" spans="32:38" ht="14.1" customHeight="1" x14ac:dyDescent="0.45">
      <c r="AF190" s="988">
        <f>'DIY Grundmodell'!R277</f>
        <v>45219</v>
      </c>
      <c r="AG190" s="89">
        <f>'DIY Grundmodell'!S277</f>
        <v>308.64999999999998</v>
      </c>
      <c r="AH190" s="54">
        <f>'DIY Grundmodell'!T277</f>
        <v>6886.6836800000001</v>
      </c>
      <c r="AI190" s="89">
        <f>'DIY Grundmodell'!U277</f>
        <v>308.64999999999998</v>
      </c>
      <c r="AJ190" s="89">
        <f>'DIY Grundmodell'!V277</f>
        <v>6886.6836800000001</v>
      </c>
      <c r="AK190" s="989"/>
      <c r="AL190" s="33">
        <f>'DIY Grundmodell'!X277</f>
        <v>4224.1594800000003</v>
      </c>
    </row>
    <row r="191" spans="32:38" ht="14.1" customHeight="1" x14ac:dyDescent="0.45">
      <c r="AF191" s="988">
        <f>'DIY Grundmodell'!R278</f>
        <v>45220</v>
      </c>
      <c r="AG191" s="89" t="e">
        <f>'DIY Grundmodell'!S278</f>
        <v>#N/A</v>
      </c>
      <c r="AH191" s="54" t="e">
        <f>'DIY Grundmodell'!T278</f>
        <v>#N/A</v>
      </c>
      <c r="AI191" s="89">
        <f>'DIY Grundmodell'!U278</f>
        <v>308.64999999999998</v>
      </c>
      <c r="AJ191" s="89">
        <f>'DIY Grundmodell'!V278</f>
        <v>0</v>
      </c>
      <c r="AK191" s="989"/>
      <c r="AL191" s="33">
        <f>'DIY Grundmodell'!X278</f>
        <v>4224.1594800000003</v>
      </c>
    </row>
    <row r="192" spans="32:38" ht="14.1" customHeight="1" x14ac:dyDescent="0.45">
      <c r="AF192" s="988">
        <f>'DIY Grundmodell'!R279</f>
        <v>45221</v>
      </c>
      <c r="AG192" s="89" t="e">
        <f>'DIY Grundmodell'!S279</f>
        <v>#N/A</v>
      </c>
      <c r="AH192" s="54" t="e">
        <f>'DIY Grundmodell'!T279</f>
        <v>#N/A</v>
      </c>
      <c r="AI192" s="89">
        <f>'DIY Grundmodell'!U279</f>
        <v>308.64999999999998</v>
      </c>
      <c r="AJ192" s="89">
        <f>'DIY Grundmodell'!V279</f>
        <v>0</v>
      </c>
      <c r="AK192" s="989"/>
      <c r="AL192" s="33">
        <f>'DIY Grundmodell'!X279</f>
        <v>4224.1594800000003</v>
      </c>
    </row>
    <row r="193" spans="32:38" ht="14.1" customHeight="1" x14ac:dyDescent="0.45">
      <c r="AF193" s="988">
        <f>'DIY Grundmodell'!R280</f>
        <v>45222</v>
      </c>
      <c r="AG193" s="89">
        <f>'DIY Grundmodell'!S280</f>
        <v>314.01</v>
      </c>
      <c r="AH193" s="54">
        <f>'DIY Grundmodell'!T280</f>
        <v>5588.3684599999997</v>
      </c>
      <c r="AI193" s="89">
        <f>'DIY Grundmodell'!U280</f>
        <v>314.01</v>
      </c>
      <c r="AJ193" s="89">
        <f>'DIY Grundmodell'!V280</f>
        <v>5588.3684599999997</v>
      </c>
      <c r="AK193" s="989"/>
      <c r="AL193" s="33">
        <f>'DIY Grundmodell'!X280</f>
        <v>4217.0433899999998</v>
      </c>
    </row>
    <row r="194" spans="32:38" ht="14.1" customHeight="1" x14ac:dyDescent="0.45">
      <c r="AF194" s="988">
        <f>'DIY Grundmodell'!R281</f>
        <v>45223</v>
      </c>
      <c r="AG194" s="89">
        <f>'DIY Grundmodell'!S281</f>
        <v>312.55</v>
      </c>
      <c r="AH194" s="54">
        <f>'DIY Grundmodell'!T281</f>
        <v>6102.6912700000003</v>
      </c>
      <c r="AI194" s="89">
        <f>'DIY Grundmodell'!U281</f>
        <v>312.55</v>
      </c>
      <c r="AJ194" s="89">
        <f>'DIY Grundmodell'!V281</f>
        <v>6102.6912700000003</v>
      </c>
      <c r="AK194" s="989"/>
      <c r="AL194" s="33">
        <f>'DIY Grundmodell'!X281</f>
        <v>4247.6768400000001</v>
      </c>
    </row>
    <row r="195" spans="32:38" ht="14.1" customHeight="1" x14ac:dyDescent="0.45">
      <c r="AF195" s="988">
        <f>'DIY Grundmodell'!R282</f>
        <v>45224</v>
      </c>
      <c r="AG195" s="89">
        <f>'DIY Grundmodell'!S282</f>
        <v>299.52999999999997</v>
      </c>
      <c r="AH195" s="54">
        <f>'DIY Grundmodell'!T282</f>
        <v>12637.91174</v>
      </c>
      <c r="AI195" s="89">
        <f>'DIY Grundmodell'!U282</f>
        <v>299.52999999999997</v>
      </c>
      <c r="AJ195" s="89">
        <f>'DIY Grundmodell'!V282</f>
        <v>12637.91174</v>
      </c>
      <c r="AK195" s="989"/>
      <c r="AL195" s="33">
        <f>'DIY Grundmodell'!X282</f>
        <v>4186.7652500000004</v>
      </c>
    </row>
    <row r="196" spans="32:38" ht="14.1" customHeight="1" x14ac:dyDescent="0.45">
      <c r="AF196" s="988">
        <f>'DIY Grundmodell'!R283</f>
        <v>45225</v>
      </c>
      <c r="AG196" s="89">
        <f>'DIY Grundmodell'!S283</f>
        <v>288.35000000000002</v>
      </c>
      <c r="AH196" s="54">
        <f>'DIY Grundmodell'!T283</f>
        <v>19228.372060000002</v>
      </c>
      <c r="AI196" s="89">
        <f>'DIY Grundmodell'!U283</f>
        <v>288.35000000000002</v>
      </c>
      <c r="AJ196" s="89">
        <f>'DIY Grundmodell'!V283</f>
        <v>19228.372060000002</v>
      </c>
      <c r="AK196" s="989"/>
      <c r="AL196" s="33">
        <f>'DIY Grundmodell'!X283</f>
        <v>4137.2308400000002</v>
      </c>
    </row>
    <row r="197" spans="32:38" ht="14.1" customHeight="1" x14ac:dyDescent="0.45">
      <c r="AF197" s="988">
        <f>'DIY Grundmodell'!R284</f>
        <v>45226</v>
      </c>
      <c r="AG197" s="89">
        <f>'DIY Grundmodell'!S284</f>
        <v>296.73</v>
      </c>
      <c r="AH197" s="54">
        <f>'DIY Grundmodell'!T284</f>
        <v>8782.0970400000006</v>
      </c>
      <c r="AI197" s="89">
        <f>'DIY Grundmodell'!U284</f>
        <v>296.73</v>
      </c>
      <c r="AJ197" s="89">
        <f>'DIY Grundmodell'!V284</f>
        <v>8782.0970400000006</v>
      </c>
      <c r="AK197" s="989"/>
      <c r="AL197" s="33">
        <f>'DIY Grundmodell'!X284</f>
        <v>4117.3738300000005</v>
      </c>
    </row>
    <row r="198" spans="32:38" ht="14.1" customHeight="1" x14ac:dyDescent="0.45">
      <c r="AF198" s="988">
        <f>'DIY Grundmodell'!R285</f>
        <v>45227</v>
      </c>
      <c r="AG198" s="89" t="e">
        <f>'DIY Grundmodell'!S285</f>
        <v>#N/A</v>
      </c>
      <c r="AH198" s="54" t="e">
        <f>'DIY Grundmodell'!T285</f>
        <v>#N/A</v>
      </c>
      <c r="AI198" s="89">
        <f>'DIY Grundmodell'!U285</f>
        <v>296.73</v>
      </c>
      <c r="AJ198" s="89">
        <f>'DIY Grundmodell'!V285</f>
        <v>0</v>
      </c>
      <c r="AK198" s="989"/>
      <c r="AL198" s="33">
        <f>'DIY Grundmodell'!X285</f>
        <v>4117.3738300000005</v>
      </c>
    </row>
    <row r="199" spans="32:38" ht="14.1" customHeight="1" x14ac:dyDescent="0.45">
      <c r="AF199" s="988">
        <f>'DIY Grundmodell'!R286</f>
        <v>45228</v>
      </c>
      <c r="AG199" s="89" t="e">
        <f>'DIY Grundmodell'!S286</f>
        <v>#N/A</v>
      </c>
      <c r="AH199" s="54" t="e">
        <f>'DIY Grundmodell'!T286</f>
        <v>#N/A</v>
      </c>
      <c r="AI199" s="89">
        <f>'DIY Grundmodell'!U286</f>
        <v>296.73</v>
      </c>
      <c r="AJ199" s="89">
        <f>'DIY Grundmodell'!V286</f>
        <v>0</v>
      </c>
      <c r="AK199" s="989"/>
      <c r="AL199" s="33">
        <f>'DIY Grundmodell'!X286</f>
        <v>4117.3738300000005</v>
      </c>
    </row>
    <row r="200" spans="32:38" ht="14.1" customHeight="1" x14ac:dyDescent="0.45">
      <c r="AF200" s="988">
        <f>'DIY Grundmodell'!R287</f>
        <v>45229</v>
      </c>
      <c r="AG200" s="89">
        <f>'DIY Grundmodell'!S287</f>
        <v>302.66000000000003</v>
      </c>
      <c r="AH200" s="54">
        <f>'DIY Grundmodell'!T287</f>
        <v>8606.1531400000003</v>
      </c>
      <c r="AI200" s="89">
        <f>'DIY Grundmodell'!U287</f>
        <v>302.66000000000003</v>
      </c>
      <c r="AJ200" s="89">
        <f>'DIY Grundmodell'!V287</f>
        <v>8606.1531400000003</v>
      </c>
      <c r="AK200" s="989"/>
      <c r="AL200" s="33">
        <f>'DIY Grundmodell'!X287</f>
        <v>4166.8151399999997</v>
      </c>
    </row>
    <row r="201" spans="32:38" ht="14.1" customHeight="1" x14ac:dyDescent="0.45">
      <c r="AF201" s="988">
        <f>'DIY Grundmodell'!R288</f>
        <v>45230</v>
      </c>
      <c r="AG201" s="89">
        <f>'DIY Grundmodell'!S288</f>
        <v>301.27</v>
      </c>
      <c r="AH201" s="54">
        <f>'DIY Grundmodell'!T288</f>
        <v>5854.9317899999996</v>
      </c>
      <c r="AI201" s="89">
        <f>'DIY Grundmodell'!U288</f>
        <v>301.27</v>
      </c>
      <c r="AJ201" s="89">
        <f>'DIY Grundmodell'!V288</f>
        <v>5854.9317899999996</v>
      </c>
      <c r="AK201" s="989"/>
      <c r="AL201" s="33">
        <f>'DIY Grundmodell'!X288</f>
        <v>4193.8009599999996</v>
      </c>
    </row>
    <row r="202" spans="32:38" ht="14.1" customHeight="1" x14ac:dyDescent="0.45">
      <c r="AF202" s="988">
        <f>'DIY Grundmodell'!R289</f>
        <v>45231</v>
      </c>
      <c r="AG202" s="89">
        <f>'DIY Grundmodell'!S289</f>
        <v>311.85000000000002</v>
      </c>
      <c r="AH202" s="54">
        <f>'DIY Grundmodell'!T289</f>
        <v>6372.5237699999998</v>
      </c>
      <c r="AI202" s="89">
        <f>'DIY Grundmodell'!U289</f>
        <v>311.85000000000002</v>
      </c>
      <c r="AJ202" s="89">
        <f>'DIY Grundmodell'!V289</f>
        <v>6372.5237699999998</v>
      </c>
      <c r="AK202" s="989"/>
      <c r="AL202" s="33">
        <f>'DIY Grundmodell'!X289</f>
        <v>4237.8556500000004</v>
      </c>
    </row>
    <row r="203" spans="32:38" ht="14.1" customHeight="1" x14ac:dyDescent="0.45">
      <c r="AF203" s="988">
        <f>'DIY Grundmodell'!R290</f>
        <v>45232</v>
      </c>
      <c r="AG203" s="89">
        <f>'DIY Grundmodell'!S290</f>
        <v>310.87</v>
      </c>
      <c r="AH203" s="54">
        <f>'DIY Grundmodell'!T290</f>
        <v>6724.6838799999996</v>
      </c>
      <c r="AI203" s="89">
        <f>'DIY Grundmodell'!U290</f>
        <v>310.87</v>
      </c>
      <c r="AJ203" s="89">
        <f>'DIY Grundmodell'!V290</f>
        <v>6724.6838799999996</v>
      </c>
      <c r="AK203" s="989"/>
      <c r="AL203" s="33">
        <f>'DIY Grundmodell'!X290</f>
        <v>4317.7754800000002</v>
      </c>
    </row>
    <row r="204" spans="32:38" ht="14.1" customHeight="1" x14ac:dyDescent="0.45">
      <c r="AF204" s="988">
        <f>'DIY Grundmodell'!R291</f>
        <v>45233</v>
      </c>
      <c r="AG204" s="89">
        <f>'DIY Grundmodell'!S291</f>
        <v>314.60000000000002</v>
      </c>
      <c r="AH204" s="54">
        <f>'DIY Grundmodell'!T291</f>
        <v>5274.0535</v>
      </c>
      <c r="AI204" s="89">
        <f>'DIY Grundmodell'!U291</f>
        <v>314.60000000000002</v>
      </c>
      <c r="AJ204" s="89">
        <f>'DIY Grundmodell'!V291</f>
        <v>5274.0535</v>
      </c>
      <c r="AK204" s="989"/>
      <c r="AL204" s="33">
        <f>'DIY Grundmodell'!X291</f>
        <v>4358.33518</v>
      </c>
    </row>
    <row r="205" spans="32:38" ht="14.1" customHeight="1" x14ac:dyDescent="0.45">
      <c r="AF205" s="988">
        <f>'DIY Grundmodell'!R292</f>
        <v>45234</v>
      </c>
      <c r="AG205" s="89" t="e">
        <f>'DIY Grundmodell'!S292</f>
        <v>#N/A</v>
      </c>
      <c r="AH205" s="54" t="e">
        <f>'DIY Grundmodell'!T292</f>
        <v>#N/A</v>
      </c>
      <c r="AI205" s="89">
        <f>'DIY Grundmodell'!U292</f>
        <v>314.60000000000002</v>
      </c>
      <c r="AJ205" s="89">
        <f>'DIY Grundmodell'!V292</f>
        <v>0</v>
      </c>
      <c r="AK205" s="989"/>
      <c r="AL205" s="33">
        <f>'DIY Grundmodell'!X292</f>
        <v>4358.33518</v>
      </c>
    </row>
    <row r="206" spans="32:38" ht="14.1" customHeight="1" x14ac:dyDescent="0.45">
      <c r="AF206" s="988">
        <f>'DIY Grundmodell'!R293</f>
        <v>45235</v>
      </c>
      <c r="AG206" s="89" t="e">
        <f>'DIY Grundmodell'!S293</f>
        <v>#N/A</v>
      </c>
      <c r="AH206" s="54" t="e">
        <f>'DIY Grundmodell'!T293</f>
        <v>#N/A</v>
      </c>
      <c r="AI206" s="89">
        <f>'DIY Grundmodell'!U293</f>
        <v>314.60000000000002</v>
      </c>
      <c r="AJ206" s="89">
        <f>'DIY Grundmodell'!V293</f>
        <v>0</v>
      </c>
      <c r="AK206" s="989"/>
      <c r="AL206" s="33">
        <f>'DIY Grundmodell'!X293</f>
        <v>4358.33518</v>
      </c>
    </row>
    <row r="207" spans="32:38" ht="14.1" customHeight="1" x14ac:dyDescent="0.45">
      <c r="AF207" s="988">
        <f>'DIY Grundmodell'!R294</f>
        <v>45236</v>
      </c>
      <c r="AG207" s="89">
        <f>'DIY Grundmodell'!S294</f>
        <v>315.8</v>
      </c>
      <c r="AH207" s="54">
        <f>'DIY Grundmodell'!T294</f>
        <v>4069.93534</v>
      </c>
      <c r="AI207" s="89">
        <f>'DIY Grundmodell'!U294</f>
        <v>315.8</v>
      </c>
      <c r="AJ207" s="89">
        <f>'DIY Grundmodell'!V294</f>
        <v>4069.93534</v>
      </c>
      <c r="AK207" s="989"/>
      <c r="AL207" s="33">
        <f>'DIY Grundmodell'!X294</f>
        <v>4365.9780199999996</v>
      </c>
    </row>
    <row r="208" spans="32:38" ht="14.1" customHeight="1" x14ac:dyDescent="0.45">
      <c r="AF208" s="988">
        <f>'DIY Grundmodell'!R295</f>
        <v>45237</v>
      </c>
      <c r="AG208" s="89">
        <f>'DIY Grundmodell'!S295</f>
        <v>318.82</v>
      </c>
      <c r="AH208" s="54">
        <f>'DIY Grundmodell'!T295</f>
        <v>4481.2108600000001</v>
      </c>
      <c r="AI208" s="89">
        <f>'DIY Grundmodell'!U295</f>
        <v>318.82</v>
      </c>
      <c r="AJ208" s="89">
        <f>'DIY Grundmodell'!V295</f>
        <v>4481.2108600000001</v>
      </c>
      <c r="AK208" s="989"/>
      <c r="AL208" s="33">
        <f>'DIY Grundmodell'!X295</f>
        <v>4378.37914</v>
      </c>
    </row>
    <row r="209" spans="32:38" ht="14.1" customHeight="1" x14ac:dyDescent="0.45">
      <c r="AF209" s="988">
        <f>'DIY Grundmodell'!R296</f>
        <v>45238</v>
      </c>
      <c r="AG209" s="89">
        <f>'DIY Grundmodell'!S296</f>
        <v>319.77999999999997</v>
      </c>
      <c r="AH209" s="54">
        <f>'DIY Grundmodell'!T296</f>
        <v>4352.1111499999997</v>
      </c>
      <c r="AI209" s="89">
        <f>'DIY Grundmodell'!U296</f>
        <v>319.77999999999997</v>
      </c>
      <c r="AJ209" s="89">
        <f>'DIY Grundmodell'!V296</f>
        <v>4352.1111499999997</v>
      </c>
      <c r="AK209" s="989"/>
      <c r="AL209" s="33">
        <f>'DIY Grundmodell'!X296</f>
        <v>4382.7837799999998</v>
      </c>
    </row>
    <row r="210" spans="32:38" ht="14.1" customHeight="1" x14ac:dyDescent="0.45">
      <c r="AF210" s="988">
        <f>'DIY Grundmodell'!R297</f>
        <v>45239</v>
      </c>
      <c r="AG210" s="89">
        <f>'DIY Grundmodell'!S297</f>
        <v>320.55</v>
      </c>
      <c r="AH210" s="54">
        <f>'DIY Grundmodell'!T297</f>
        <v>5161.8394099999996</v>
      </c>
      <c r="AI210" s="89">
        <f>'DIY Grundmodell'!U297</f>
        <v>320.55</v>
      </c>
      <c r="AJ210" s="89">
        <f>'DIY Grundmodell'!V297</f>
        <v>5161.8394099999996</v>
      </c>
      <c r="AK210" s="989"/>
      <c r="AL210" s="33">
        <f>'DIY Grundmodell'!X297</f>
        <v>4347.3493200000003</v>
      </c>
    </row>
    <row r="211" spans="32:38" ht="14.1" customHeight="1" x14ac:dyDescent="0.45">
      <c r="AF211" s="988">
        <f>'DIY Grundmodell'!R298</f>
        <v>45240</v>
      </c>
      <c r="AG211" s="89">
        <f>'DIY Grundmodell'!S298</f>
        <v>328.77</v>
      </c>
      <c r="AH211" s="54">
        <f>'DIY Grundmodell'!T298</f>
        <v>6285.0701200000003</v>
      </c>
      <c r="AI211" s="89">
        <f>'DIY Grundmodell'!U298</f>
        <v>328.77</v>
      </c>
      <c r="AJ211" s="89">
        <f>'DIY Grundmodell'!V298</f>
        <v>6285.0701200000003</v>
      </c>
      <c r="AK211" s="989"/>
      <c r="AL211" s="33">
        <f>'DIY Grundmodell'!X298</f>
        <v>4415.2446900000004</v>
      </c>
    </row>
    <row r="212" spans="32:38" ht="14.1" customHeight="1" x14ac:dyDescent="0.45">
      <c r="AF212" s="988">
        <f>'DIY Grundmodell'!R299</f>
        <v>45241</v>
      </c>
      <c r="AG212" s="89" t="e">
        <f>'DIY Grundmodell'!S299</f>
        <v>#N/A</v>
      </c>
      <c r="AH212" s="54" t="e">
        <f>'DIY Grundmodell'!T299</f>
        <v>#N/A</v>
      </c>
      <c r="AI212" s="89">
        <f>'DIY Grundmodell'!U299</f>
        <v>328.77</v>
      </c>
      <c r="AJ212" s="89">
        <f>'DIY Grundmodell'!V299</f>
        <v>0</v>
      </c>
      <c r="AK212" s="989"/>
      <c r="AL212" s="33">
        <f>'DIY Grundmodell'!X299</f>
        <v>4415.2446900000004</v>
      </c>
    </row>
    <row r="213" spans="32:38" ht="14.1" customHeight="1" x14ac:dyDescent="0.45">
      <c r="AF213" s="988">
        <f>'DIY Grundmodell'!R300</f>
        <v>45242</v>
      </c>
      <c r="AG213" s="89" t="e">
        <f>'DIY Grundmodell'!S300</f>
        <v>#N/A</v>
      </c>
      <c r="AH213" s="54" t="e">
        <f>'DIY Grundmodell'!T300</f>
        <v>#N/A</v>
      </c>
      <c r="AI213" s="89">
        <f>'DIY Grundmodell'!U300</f>
        <v>328.77</v>
      </c>
      <c r="AJ213" s="89">
        <f>'DIY Grundmodell'!V300</f>
        <v>0</v>
      </c>
      <c r="AK213" s="989"/>
      <c r="AL213" s="33">
        <f>'DIY Grundmodell'!X300</f>
        <v>4415.2446900000004</v>
      </c>
    </row>
    <row r="214" spans="32:38" ht="14.1" customHeight="1" x14ac:dyDescent="0.45">
      <c r="AF214" s="988">
        <f>'DIY Grundmodell'!R301</f>
        <v>45243</v>
      </c>
      <c r="AG214" s="89">
        <f>'DIY Grundmodell'!S301</f>
        <v>329.19</v>
      </c>
      <c r="AH214" s="54">
        <f>'DIY Grundmodell'!T301</f>
        <v>5566.25659</v>
      </c>
      <c r="AI214" s="89">
        <f>'DIY Grundmodell'!U301</f>
        <v>329.19</v>
      </c>
      <c r="AJ214" s="89">
        <f>'DIY Grundmodell'!V301</f>
        <v>5566.25659</v>
      </c>
      <c r="AK214" s="989"/>
      <c r="AL214" s="33">
        <f>'DIY Grundmodell'!X301</f>
        <v>4411.5548900000003</v>
      </c>
    </row>
    <row r="215" spans="32:38" ht="14.1" customHeight="1" x14ac:dyDescent="0.45">
      <c r="AF215" s="988">
        <f>'DIY Grundmodell'!R302</f>
        <v>45244</v>
      </c>
      <c r="AG215" s="89">
        <f>'DIY Grundmodell'!S302</f>
        <v>336.31</v>
      </c>
      <c r="AH215" s="54">
        <f>'DIY Grundmodell'!T302</f>
        <v>5777.60502</v>
      </c>
      <c r="AI215" s="89">
        <f>'DIY Grundmodell'!U302</f>
        <v>336.31</v>
      </c>
      <c r="AJ215" s="89">
        <f>'DIY Grundmodell'!V302</f>
        <v>5777.60502</v>
      </c>
      <c r="AK215" s="989"/>
      <c r="AL215" s="33">
        <f>'DIY Grundmodell'!X302</f>
        <v>4495.7015899999997</v>
      </c>
    </row>
    <row r="216" spans="32:38" ht="14.1" customHeight="1" x14ac:dyDescent="0.45">
      <c r="AF216" s="988">
        <f>'DIY Grundmodell'!R303</f>
        <v>45245</v>
      </c>
      <c r="AG216" s="89">
        <f>'DIY Grundmodell'!S303</f>
        <v>332.71</v>
      </c>
      <c r="AH216" s="54">
        <f>'DIY Grundmodell'!T303</f>
        <v>4834.6688999999997</v>
      </c>
      <c r="AI216" s="89">
        <f>'DIY Grundmodell'!U303</f>
        <v>332.71</v>
      </c>
      <c r="AJ216" s="89">
        <f>'DIY Grundmodell'!V303</f>
        <v>4834.6688999999997</v>
      </c>
      <c r="AK216" s="989"/>
      <c r="AL216" s="33">
        <f>'DIY Grundmodell'!X303</f>
        <v>4502.8788299999997</v>
      </c>
    </row>
    <row r="217" spans="32:38" ht="14.1" customHeight="1" x14ac:dyDescent="0.45">
      <c r="AF217" s="988">
        <f>'DIY Grundmodell'!R304</f>
        <v>45246</v>
      </c>
      <c r="AG217" s="89">
        <f>'DIY Grundmodell'!S304</f>
        <v>334.19</v>
      </c>
      <c r="AH217" s="54">
        <f>'DIY Grundmodell'!T304</f>
        <v>6327.0762400000003</v>
      </c>
      <c r="AI217" s="89">
        <f>'DIY Grundmodell'!U304</f>
        <v>334.19</v>
      </c>
      <c r="AJ217" s="89">
        <f>'DIY Grundmodell'!V304</f>
        <v>6327.0762400000003</v>
      </c>
      <c r="AK217" s="989"/>
      <c r="AL217" s="33">
        <f>'DIY Grundmodell'!X304</f>
        <v>4508.2434999999996</v>
      </c>
    </row>
    <row r="218" spans="32:38" ht="14.1" customHeight="1" x14ac:dyDescent="0.45">
      <c r="AF218" s="988">
        <f>'DIY Grundmodell'!R305</f>
        <v>45247</v>
      </c>
      <c r="AG218" s="89">
        <f>'DIY Grundmodell'!S305</f>
        <v>335.04</v>
      </c>
      <c r="AH218" s="54">
        <f>'DIY Grundmodell'!T305</f>
        <v>4864.5171200000004</v>
      </c>
      <c r="AI218" s="89">
        <f>'DIY Grundmodell'!U305</f>
        <v>335.04</v>
      </c>
      <c r="AJ218" s="89">
        <f>'DIY Grundmodell'!V305</f>
        <v>4864.5171200000004</v>
      </c>
      <c r="AK218" s="989"/>
      <c r="AL218" s="33">
        <f>'DIY Grundmodell'!X305</f>
        <v>4514.0178599999999</v>
      </c>
    </row>
    <row r="219" spans="32:38" ht="14.1" customHeight="1" x14ac:dyDescent="0.45">
      <c r="AF219" s="988">
        <f>'DIY Grundmodell'!R306</f>
        <v>45248</v>
      </c>
      <c r="AG219" s="89" t="e">
        <f>'DIY Grundmodell'!S306</f>
        <v>#N/A</v>
      </c>
      <c r="AH219" s="54" t="e">
        <f>'DIY Grundmodell'!T306</f>
        <v>#N/A</v>
      </c>
      <c r="AI219" s="89">
        <f>'DIY Grundmodell'!U306</f>
        <v>335.04</v>
      </c>
      <c r="AJ219" s="89">
        <f>'DIY Grundmodell'!V306</f>
        <v>0</v>
      </c>
      <c r="AK219" s="989"/>
      <c r="AL219" s="33">
        <f>'DIY Grundmodell'!X306</f>
        <v>4514.0178599999999</v>
      </c>
    </row>
    <row r="220" spans="32:38" ht="14.1" customHeight="1" x14ac:dyDescent="0.45">
      <c r="AF220" s="988">
        <f>'DIY Grundmodell'!R307</f>
        <v>45249</v>
      </c>
      <c r="AG220" s="89" t="e">
        <f>'DIY Grundmodell'!S307</f>
        <v>#N/A</v>
      </c>
      <c r="AH220" s="54" t="e">
        <f>'DIY Grundmodell'!T307</f>
        <v>#N/A</v>
      </c>
      <c r="AI220" s="89">
        <f>'DIY Grundmodell'!U307</f>
        <v>335.04</v>
      </c>
      <c r="AJ220" s="89">
        <f>'DIY Grundmodell'!V307</f>
        <v>0</v>
      </c>
      <c r="AK220" s="989"/>
      <c r="AL220" s="33">
        <f>'DIY Grundmodell'!X307</f>
        <v>4514.0178599999999</v>
      </c>
    </row>
    <row r="221" spans="32:38" ht="14.1" customHeight="1" x14ac:dyDescent="0.45">
      <c r="AF221" s="988">
        <f>'DIY Grundmodell'!R308</f>
        <v>45250</v>
      </c>
      <c r="AG221" s="89">
        <f>'DIY Grundmodell'!S308</f>
        <v>339.97</v>
      </c>
      <c r="AH221" s="54">
        <f>'DIY Grundmodell'!T308</f>
        <v>5771.3745799999997</v>
      </c>
      <c r="AI221" s="89">
        <f>'DIY Grundmodell'!U308</f>
        <v>339.97</v>
      </c>
      <c r="AJ221" s="89">
        <f>'DIY Grundmodell'!V308</f>
        <v>5771.3745799999997</v>
      </c>
      <c r="AK221" s="989"/>
      <c r="AL221" s="33">
        <f>'DIY Grundmodell'!X308</f>
        <v>4547.3774899999999</v>
      </c>
    </row>
    <row r="222" spans="32:38" ht="14.1" customHeight="1" x14ac:dyDescent="0.45">
      <c r="AF222" s="988">
        <f>'DIY Grundmodell'!R309</f>
        <v>45251</v>
      </c>
      <c r="AG222" s="89">
        <f>'DIY Grundmodell'!S309</f>
        <v>336.98</v>
      </c>
      <c r="AH222" s="54">
        <f>'DIY Grundmodell'!T309</f>
        <v>4053.1492699999999</v>
      </c>
      <c r="AI222" s="89">
        <f>'DIY Grundmodell'!U309</f>
        <v>336.98</v>
      </c>
      <c r="AJ222" s="89">
        <f>'DIY Grundmodell'!V309</f>
        <v>4053.1492699999999</v>
      </c>
      <c r="AK222" s="989"/>
      <c r="AL222" s="33">
        <f>'DIY Grundmodell'!X309</f>
        <v>4538.1916600000004</v>
      </c>
    </row>
    <row r="223" spans="32:38" ht="14.1" customHeight="1" x14ac:dyDescent="0.45">
      <c r="AF223" s="988">
        <f>'DIY Grundmodell'!R310</f>
        <v>45252</v>
      </c>
      <c r="AG223" s="89">
        <f>'DIY Grundmodell'!S310</f>
        <v>341.49</v>
      </c>
      <c r="AH223" s="54">
        <f>'DIY Grundmodell'!T310</f>
        <v>3659.1257900000001</v>
      </c>
      <c r="AI223" s="89">
        <f>'DIY Grundmodell'!U310</f>
        <v>341.49</v>
      </c>
      <c r="AJ223" s="89">
        <f>'DIY Grundmodell'!V310</f>
        <v>3659.1257900000001</v>
      </c>
      <c r="AK223" s="989"/>
      <c r="AL223" s="33">
        <f>'DIY Grundmodell'!X310</f>
        <v>4556.6192199999996</v>
      </c>
    </row>
    <row r="224" spans="32:38" ht="14.1" customHeight="1" x14ac:dyDescent="0.45">
      <c r="AF224" s="988">
        <f>'DIY Grundmodell'!R311</f>
        <v>45253</v>
      </c>
      <c r="AG224" s="89" t="e">
        <f>'DIY Grundmodell'!S311</f>
        <v>#N/A</v>
      </c>
      <c r="AH224" s="54" t="e">
        <f>'DIY Grundmodell'!T311</f>
        <v>#N/A</v>
      </c>
      <c r="AI224" s="89">
        <f>'DIY Grundmodell'!U311</f>
        <v>341.49</v>
      </c>
      <c r="AJ224" s="89">
        <f>'DIY Grundmodell'!V311</f>
        <v>0</v>
      </c>
      <c r="AK224" s="989"/>
      <c r="AL224" s="33">
        <f>'DIY Grundmodell'!X311</f>
        <v>4556.6192199999996</v>
      </c>
    </row>
    <row r="225" spans="32:38" ht="14.1" customHeight="1" x14ac:dyDescent="0.45">
      <c r="AF225" s="988">
        <f>'DIY Grundmodell'!R312</f>
        <v>45254</v>
      </c>
      <c r="AG225" s="89">
        <f>'DIY Grundmodell'!S312</f>
        <v>338.23</v>
      </c>
      <c r="AH225" s="54">
        <f>'DIY Grundmodell'!T312</f>
        <v>1849.26847</v>
      </c>
      <c r="AI225" s="89">
        <f>'DIY Grundmodell'!U312</f>
        <v>338.23</v>
      </c>
      <c r="AJ225" s="89">
        <f>'DIY Grundmodell'!V312</f>
        <v>1849.26847</v>
      </c>
      <c r="AK225" s="989"/>
      <c r="AL225" s="33">
        <f>'DIY Grundmodell'!X312</f>
        <v>4559.3352100000002</v>
      </c>
    </row>
    <row r="226" spans="32:38" ht="14.1" customHeight="1" x14ac:dyDescent="0.45">
      <c r="AF226" s="988">
        <f>'DIY Grundmodell'!R313</f>
        <v>45255</v>
      </c>
      <c r="AG226" s="89" t="e">
        <f>'DIY Grundmodell'!S313</f>
        <v>#N/A</v>
      </c>
      <c r="AH226" s="54" t="e">
        <f>'DIY Grundmodell'!T313</f>
        <v>#N/A</v>
      </c>
      <c r="AI226" s="89">
        <f>'DIY Grundmodell'!U313</f>
        <v>338.23</v>
      </c>
      <c r="AJ226" s="89">
        <f>'DIY Grundmodell'!V313</f>
        <v>0</v>
      </c>
      <c r="AK226" s="989"/>
      <c r="AL226" s="33">
        <f>'DIY Grundmodell'!X313</f>
        <v>4559.3352100000002</v>
      </c>
    </row>
    <row r="227" spans="32:38" ht="14.1" customHeight="1" x14ac:dyDescent="0.45">
      <c r="AF227" s="988">
        <f>'DIY Grundmodell'!R314</f>
        <v>45256</v>
      </c>
      <c r="AG227" s="89" t="e">
        <f>'DIY Grundmodell'!S314</f>
        <v>#N/A</v>
      </c>
      <c r="AH227" s="54" t="e">
        <f>'DIY Grundmodell'!T314</f>
        <v>#N/A</v>
      </c>
      <c r="AI227" s="89">
        <f>'DIY Grundmodell'!U314</f>
        <v>338.23</v>
      </c>
      <c r="AJ227" s="89">
        <f>'DIY Grundmodell'!V314</f>
        <v>0</v>
      </c>
      <c r="AK227" s="989"/>
      <c r="AL227" s="33">
        <f>'DIY Grundmodell'!X314</f>
        <v>4559.3352100000002</v>
      </c>
    </row>
    <row r="228" spans="32:38" ht="14.1" customHeight="1" x14ac:dyDescent="0.45">
      <c r="AF228" s="988">
        <f>'DIY Grundmodell'!R315</f>
        <v>45257</v>
      </c>
      <c r="AG228" s="89">
        <f>'DIY Grundmodell'!S315</f>
        <v>334.7</v>
      </c>
      <c r="AH228" s="54">
        <f>'DIY Grundmodell'!T315</f>
        <v>5249.5867500000004</v>
      </c>
      <c r="AI228" s="89">
        <f>'DIY Grundmodell'!U315</f>
        <v>334.7</v>
      </c>
      <c r="AJ228" s="89">
        <f>'DIY Grundmodell'!V315</f>
        <v>5249.5867500000004</v>
      </c>
      <c r="AK228" s="989"/>
      <c r="AL228" s="33">
        <f>'DIY Grundmodell'!X315</f>
        <v>4550.4280500000004</v>
      </c>
    </row>
    <row r="229" spans="32:38" ht="14.1" customHeight="1" x14ac:dyDescent="0.45">
      <c r="AF229" s="988">
        <f>'DIY Grundmodell'!R316</f>
        <v>45258</v>
      </c>
      <c r="AG229" s="89">
        <f>'DIY Grundmodell'!S316</f>
        <v>338.99</v>
      </c>
      <c r="AH229" s="54">
        <f>'DIY Grundmodell'!T316</f>
        <v>4283.8996800000004</v>
      </c>
      <c r="AI229" s="89">
        <f>'DIY Grundmodell'!U316</f>
        <v>338.99</v>
      </c>
      <c r="AJ229" s="89">
        <f>'DIY Grundmodell'!V316</f>
        <v>4283.8996800000004</v>
      </c>
      <c r="AK229" s="989"/>
      <c r="AL229" s="33">
        <f>'DIY Grundmodell'!X316</f>
        <v>4554.8905599999998</v>
      </c>
    </row>
    <row r="230" spans="32:38" ht="14.1" customHeight="1" x14ac:dyDescent="0.45">
      <c r="AF230" s="988">
        <f>'DIY Grundmodell'!R317</f>
        <v>45259</v>
      </c>
      <c r="AG230" s="89">
        <f>'DIY Grundmodell'!S317</f>
        <v>332.2</v>
      </c>
      <c r="AH230" s="54">
        <f>'DIY Grundmodell'!T317</f>
        <v>5323.3379000000004</v>
      </c>
      <c r="AI230" s="89">
        <f>'DIY Grundmodell'!U317</f>
        <v>332.2</v>
      </c>
      <c r="AJ230" s="89">
        <f>'DIY Grundmodell'!V317</f>
        <v>5323.3379000000004</v>
      </c>
      <c r="AK230" s="989"/>
      <c r="AL230" s="33">
        <f>'DIY Grundmodell'!X317</f>
        <v>4550.5823200000004</v>
      </c>
    </row>
    <row r="231" spans="32:38" ht="14.1" customHeight="1" x14ac:dyDescent="0.45">
      <c r="AF231" s="988">
        <f>'DIY Grundmodell'!R318</f>
        <v>45260</v>
      </c>
      <c r="AG231" s="89">
        <f>'DIY Grundmodell'!S318</f>
        <v>327.14999999999998</v>
      </c>
      <c r="AH231" s="54">
        <f>'DIY Grundmodell'!T318</f>
        <v>7572.34051</v>
      </c>
      <c r="AI231" s="89">
        <f>'DIY Grundmodell'!U318</f>
        <v>327.14999999999998</v>
      </c>
      <c r="AJ231" s="89">
        <f>'DIY Grundmodell'!V318</f>
        <v>7572.34051</v>
      </c>
      <c r="AK231" s="989"/>
      <c r="AL231" s="33">
        <f>'DIY Grundmodell'!X318</f>
        <v>4567.79864</v>
      </c>
    </row>
    <row r="232" spans="32:38" ht="14.1" customHeight="1" x14ac:dyDescent="0.45">
      <c r="AF232" s="988">
        <f>'DIY Grundmodell'!R319</f>
        <v>45261</v>
      </c>
      <c r="AG232" s="89">
        <f>'DIY Grundmodell'!S319</f>
        <v>324.82</v>
      </c>
      <c r="AH232" s="54">
        <f>'DIY Grundmodell'!T319</f>
        <v>4962.0721299999996</v>
      </c>
      <c r="AI232" s="89">
        <f>'DIY Grundmodell'!U319</f>
        <v>324.82</v>
      </c>
      <c r="AJ232" s="89">
        <f>'DIY Grundmodell'!V319</f>
        <v>4962.0721299999996</v>
      </c>
      <c r="AK232" s="989"/>
      <c r="AL232" s="33">
        <f>'DIY Grundmodell'!X319</f>
        <v>4594.6315800000002</v>
      </c>
    </row>
    <row r="233" spans="32:38" ht="14.1" customHeight="1" x14ac:dyDescent="0.45">
      <c r="AF233" s="988">
        <f>'DIY Grundmodell'!R320</f>
        <v>45262</v>
      </c>
      <c r="AG233" s="89" t="e">
        <f>'DIY Grundmodell'!S320</f>
        <v>#N/A</v>
      </c>
      <c r="AH233" s="54" t="e">
        <f>'DIY Grundmodell'!T320</f>
        <v>#N/A</v>
      </c>
      <c r="AI233" s="89">
        <f>'DIY Grundmodell'!U320</f>
        <v>324.82</v>
      </c>
      <c r="AJ233" s="89">
        <f>'DIY Grundmodell'!V320</f>
        <v>0</v>
      </c>
      <c r="AK233" s="989"/>
      <c r="AL233" s="33">
        <f>'DIY Grundmodell'!X320</f>
        <v>4594.6315800000002</v>
      </c>
    </row>
    <row r="234" spans="32:38" ht="14.1" customHeight="1" x14ac:dyDescent="0.45">
      <c r="AF234" s="988">
        <f>'DIY Grundmodell'!R321</f>
        <v>45263</v>
      </c>
      <c r="AG234" s="89" t="e">
        <f>'DIY Grundmodell'!S321</f>
        <v>#N/A</v>
      </c>
      <c r="AH234" s="54" t="e">
        <f>'DIY Grundmodell'!T321</f>
        <v>#N/A</v>
      </c>
      <c r="AI234" s="89">
        <f>'DIY Grundmodell'!U321</f>
        <v>324.82</v>
      </c>
      <c r="AJ234" s="89">
        <f>'DIY Grundmodell'!V321</f>
        <v>0</v>
      </c>
      <c r="AK234" s="989"/>
      <c r="AL234" s="33">
        <f>'DIY Grundmodell'!X321</f>
        <v>4594.6315800000002</v>
      </c>
    </row>
    <row r="235" spans="32:38" ht="14.1" customHeight="1" x14ac:dyDescent="0.45">
      <c r="AF235" s="988">
        <f>'DIY Grundmodell'!R322</f>
        <v>45264</v>
      </c>
      <c r="AG235" s="89">
        <f>'DIY Grundmodell'!S322</f>
        <v>320.02</v>
      </c>
      <c r="AH235" s="54">
        <f>'DIY Grundmodell'!T322</f>
        <v>6092.2463399999997</v>
      </c>
      <c r="AI235" s="89">
        <f>'DIY Grundmodell'!U322</f>
        <v>320.02</v>
      </c>
      <c r="AJ235" s="89">
        <f>'DIY Grundmodell'!V322</f>
        <v>6092.2463399999997</v>
      </c>
      <c r="AK235" s="989"/>
      <c r="AL235" s="33">
        <f>'DIY Grundmodell'!X322</f>
        <v>4569.7815600000004</v>
      </c>
    </row>
    <row r="236" spans="32:38" ht="14.1" customHeight="1" x14ac:dyDescent="0.45">
      <c r="AF236" s="988">
        <f>'DIY Grundmodell'!R323</f>
        <v>45265</v>
      </c>
      <c r="AG236" s="89">
        <f>'DIY Grundmodell'!S323</f>
        <v>318.29000000000002</v>
      </c>
      <c r="AH236" s="54">
        <f>'DIY Grundmodell'!T323</f>
        <v>5395.6928200000002</v>
      </c>
      <c r="AI236" s="89">
        <f>'DIY Grundmodell'!U323</f>
        <v>318.29000000000002</v>
      </c>
      <c r="AJ236" s="89">
        <f>'DIY Grundmodell'!V323</f>
        <v>5395.6928200000002</v>
      </c>
      <c r="AK236" s="989"/>
      <c r="AL236" s="33">
        <f>'DIY Grundmodell'!X323</f>
        <v>4567.1829699999998</v>
      </c>
    </row>
    <row r="237" spans="32:38" ht="14.1" customHeight="1" x14ac:dyDescent="0.45">
      <c r="AF237" s="988">
        <f>'DIY Grundmodell'!R324</f>
        <v>45266</v>
      </c>
      <c r="AG237" s="89">
        <f>'DIY Grundmodell'!S324</f>
        <v>317.45</v>
      </c>
      <c r="AH237" s="54">
        <f>'DIY Grundmodell'!T324</f>
        <v>3585.3872799999999</v>
      </c>
      <c r="AI237" s="89">
        <f>'DIY Grundmodell'!U324</f>
        <v>317.45</v>
      </c>
      <c r="AJ237" s="89">
        <f>'DIY Grundmodell'!V324</f>
        <v>3585.3872799999999</v>
      </c>
      <c r="AK237" s="989"/>
      <c r="AL237" s="33">
        <f>'DIY Grundmodell'!X324</f>
        <v>4549.3373799999999</v>
      </c>
    </row>
    <row r="238" spans="32:38" ht="14.1" customHeight="1" x14ac:dyDescent="0.45">
      <c r="AF238" s="988">
        <f>'DIY Grundmodell'!R325</f>
        <v>45267</v>
      </c>
      <c r="AG238" s="89">
        <f>'DIY Grundmodell'!S325</f>
        <v>326.58999999999997</v>
      </c>
      <c r="AH238" s="54">
        <f>'DIY Grundmodell'!T325</f>
        <v>5194.4397499999995</v>
      </c>
      <c r="AI238" s="89">
        <f>'DIY Grundmodell'!U325</f>
        <v>326.58999999999997</v>
      </c>
      <c r="AJ238" s="89">
        <f>'DIY Grundmodell'!V325</f>
        <v>5194.4397499999995</v>
      </c>
      <c r="AK238" s="989"/>
      <c r="AL238" s="33">
        <f>'DIY Grundmodell'!X325</f>
        <v>4585.58619</v>
      </c>
    </row>
    <row r="239" spans="32:38" ht="14.1" customHeight="1" x14ac:dyDescent="0.45">
      <c r="AF239" s="988">
        <f>'DIY Grundmodell'!R326</f>
        <v>45268</v>
      </c>
      <c r="AG239" s="89">
        <f>'DIY Grundmodell'!S326</f>
        <v>332.75</v>
      </c>
      <c r="AH239" s="54">
        <f>'DIY Grundmodell'!T326</f>
        <v>4687.5660500000004</v>
      </c>
      <c r="AI239" s="89">
        <f>'DIY Grundmodell'!U326</f>
        <v>332.75</v>
      </c>
      <c r="AJ239" s="89">
        <f>'DIY Grundmodell'!V326</f>
        <v>4687.5660500000004</v>
      </c>
      <c r="AK239" s="989"/>
      <c r="AL239" s="33">
        <f>'DIY Grundmodell'!X326</f>
        <v>4604.3722500000003</v>
      </c>
    </row>
    <row r="240" spans="32:38" ht="14.1" customHeight="1" x14ac:dyDescent="0.45">
      <c r="AF240" s="988">
        <f>'DIY Grundmodell'!R327</f>
        <v>45269</v>
      </c>
      <c r="AG240" s="89" t="e">
        <f>'DIY Grundmodell'!S327</f>
        <v>#N/A</v>
      </c>
      <c r="AH240" s="54" t="e">
        <f>'DIY Grundmodell'!T327</f>
        <v>#N/A</v>
      </c>
      <c r="AI240" s="89">
        <f>'DIY Grundmodell'!U327</f>
        <v>332.75</v>
      </c>
      <c r="AJ240" s="89">
        <f>'DIY Grundmodell'!V327</f>
        <v>0</v>
      </c>
      <c r="AK240" s="989"/>
      <c r="AL240" s="33">
        <f>'DIY Grundmodell'!X327</f>
        <v>4604.3722500000003</v>
      </c>
    </row>
    <row r="241" spans="32:38" ht="14.1" customHeight="1" x14ac:dyDescent="0.45">
      <c r="AF241" s="988">
        <f>'DIY Grundmodell'!R328</f>
        <v>45270</v>
      </c>
      <c r="AG241" s="89" t="e">
        <f>'DIY Grundmodell'!S328</f>
        <v>#N/A</v>
      </c>
      <c r="AH241" s="54" t="e">
        <f>'DIY Grundmodell'!T328</f>
        <v>#N/A</v>
      </c>
      <c r="AI241" s="89">
        <f>'DIY Grundmodell'!U328</f>
        <v>332.75</v>
      </c>
      <c r="AJ241" s="89">
        <f>'DIY Grundmodell'!V328</f>
        <v>0</v>
      </c>
      <c r="AK241" s="989"/>
      <c r="AL241" s="33">
        <f>'DIY Grundmodell'!X328</f>
        <v>4604.3722500000003</v>
      </c>
    </row>
    <row r="242" spans="32:38" ht="14.1" customHeight="1" x14ac:dyDescent="0.45">
      <c r="AF242" s="988">
        <f>'DIY Grundmodell'!R329</f>
        <v>45271</v>
      </c>
      <c r="AG242" s="89">
        <f>'DIY Grundmodell'!S329</f>
        <v>325.27999999999997</v>
      </c>
      <c r="AH242" s="54">
        <f>'DIY Grundmodell'!T329</f>
        <v>8393.02484</v>
      </c>
      <c r="AI242" s="89">
        <f>'DIY Grundmodell'!U329</f>
        <v>325.27999999999997</v>
      </c>
      <c r="AJ242" s="89">
        <f>'DIY Grundmodell'!V329</f>
        <v>8393.02484</v>
      </c>
      <c r="AK242" s="989"/>
      <c r="AL242" s="33">
        <f>'DIY Grundmodell'!X329</f>
        <v>4622.4407700000002</v>
      </c>
    </row>
    <row r="243" spans="32:38" ht="14.1" customHeight="1" x14ac:dyDescent="0.45">
      <c r="AF243" s="988">
        <f>'DIY Grundmodell'!R330</f>
        <v>45272</v>
      </c>
      <c r="AG243" s="89">
        <f>'DIY Grundmodell'!S330</f>
        <v>334.22</v>
      </c>
      <c r="AH243" s="54">
        <f>'DIY Grundmodell'!T330</f>
        <v>6178.2107800000003</v>
      </c>
      <c r="AI243" s="89">
        <f>'DIY Grundmodell'!U330</f>
        <v>334.22</v>
      </c>
      <c r="AJ243" s="89">
        <f>'DIY Grundmodell'!V330</f>
        <v>6178.2107800000003</v>
      </c>
      <c r="AK243" s="989"/>
      <c r="AL243" s="33">
        <f>'DIY Grundmodell'!X330</f>
        <v>4643.7017699999997</v>
      </c>
    </row>
    <row r="244" spans="32:38" ht="14.1" customHeight="1" x14ac:dyDescent="0.45">
      <c r="AF244" s="988">
        <f>'DIY Grundmodell'!R331</f>
        <v>45273</v>
      </c>
      <c r="AG244" s="89">
        <f>'DIY Grundmodell'!S331</f>
        <v>334.74</v>
      </c>
      <c r="AH244" s="54">
        <f>'DIY Grundmodell'!T331</f>
        <v>5474.11067</v>
      </c>
      <c r="AI244" s="89">
        <f>'DIY Grundmodell'!U331</f>
        <v>334.74</v>
      </c>
      <c r="AJ244" s="89">
        <f>'DIY Grundmodell'!V331</f>
        <v>5474.11067</v>
      </c>
      <c r="AK244" s="989"/>
      <c r="AL244" s="33">
        <f>'DIY Grundmodell'!X331</f>
        <v>4707.0913600000003</v>
      </c>
    </row>
    <row r="245" spans="32:38" ht="14.1" customHeight="1" x14ac:dyDescent="0.45">
      <c r="AF245" s="988">
        <f>'DIY Grundmodell'!R332</f>
        <v>45274</v>
      </c>
      <c r="AG245" s="89">
        <f>'DIY Grundmodell'!S332</f>
        <v>333.17</v>
      </c>
      <c r="AH245" s="54">
        <f>'DIY Grundmodell'!T332</f>
        <v>6532.5757999999996</v>
      </c>
      <c r="AI245" s="89">
        <f>'DIY Grundmodell'!U332</f>
        <v>333.17</v>
      </c>
      <c r="AJ245" s="89">
        <f>'DIY Grundmodell'!V332</f>
        <v>6532.5757999999996</v>
      </c>
      <c r="AK245" s="989"/>
      <c r="AL245" s="33">
        <f>'DIY Grundmodell'!X332</f>
        <v>4719.5519199999999</v>
      </c>
    </row>
    <row r="246" spans="32:38" ht="14.1" customHeight="1" x14ac:dyDescent="0.45">
      <c r="AF246" s="988">
        <f>'DIY Grundmodell'!R333</f>
        <v>45275</v>
      </c>
      <c r="AG246" s="89">
        <f>'DIY Grundmodell'!S333</f>
        <v>334.92</v>
      </c>
      <c r="AH246" s="54">
        <f>'DIY Grundmodell'!T333</f>
        <v>10642.70327</v>
      </c>
      <c r="AI246" s="89">
        <f>'DIY Grundmodell'!U333</f>
        <v>334.92</v>
      </c>
      <c r="AJ246" s="89">
        <f>'DIY Grundmodell'!V333</f>
        <v>10642.70327</v>
      </c>
      <c r="AK246" s="989"/>
      <c r="AL246" s="33">
        <f>'DIY Grundmodell'!X333</f>
        <v>4719.1906499999996</v>
      </c>
    </row>
    <row r="247" spans="32:38" ht="14.1" customHeight="1" x14ac:dyDescent="0.45">
      <c r="AF247" s="988">
        <f>'DIY Grundmodell'!R334</f>
        <v>45276</v>
      </c>
      <c r="AG247" s="89" t="e">
        <f>'DIY Grundmodell'!S334</f>
        <v>#N/A</v>
      </c>
      <c r="AH247" s="54" t="e">
        <f>'DIY Grundmodell'!T334</f>
        <v>#N/A</v>
      </c>
      <c r="AI247" s="89">
        <f>'DIY Grundmodell'!U334</f>
        <v>334.92</v>
      </c>
      <c r="AJ247" s="89">
        <f>'DIY Grundmodell'!V334</f>
        <v>0</v>
      </c>
      <c r="AK247" s="989"/>
      <c r="AL247" s="33">
        <f>'DIY Grundmodell'!X334</f>
        <v>4719.1906499999996</v>
      </c>
    </row>
    <row r="248" spans="32:38" ht="14.1" customHeight="1" x14ac:dyDescent="0.45">
      <c r="AF248" s="988">
        <f>'DIY Grundmodell'!R335</f>
        <v>45277</v>
      </c>
      <c r="AG248" s="89" t="e">
        <f>'DIY Grundmodell'!S335</f>
        <v>#N/A</v>
      </c>
      <c r="AH248" s="54" t="e">
        <f>'DIY Grundmodell'!T335</f>
        <v>#N/A</v>
      </c>
      <c r="AI248" s="89">
        <f>'DIY Grundmodell'!U335</f>
        <v>334.92</v>
      </c>
      <c r="AJ248" s="89">
        <f>'DIY Grundmodell'!V335</f>
        <v>0</v>
      </c>
      <c r="AK248" s="989"/>
      <c r="AL248" s="33">
        <f>'DIY Grundmodell'!X335</f>
        <v>4719.1906499999996</v>
      </c>
    </row>
    <row r="249" spans="32:38" ht="14.1" customHeight="1" x14ac:dyDescent="0.45">
      <c r="AF249" s="988">
        <f>'DIY Grundmodell'!R336</f>
        <v>45278</v>
      </c>
      <c r="AG249" s="89">
        <f>'DIY Grundmodell'!S336</f>
        <v>344.62</v>
      </c>
      <c r="AH249" s="54">
        <f>'DIY Grundmodell'!T336</f>
        <v>6545.6612800000003</v>
      </c>
      <c r="AI249" s="89">
        <f>'DIY Grundmodell'!U336</f>
        <v>344.62</v>
      </c>
      <c r="AJ249" s="89">
        <f>'DIY Grundmodell'!V336</f>
        <v>6545.6612800000003</v>
      </c>
      <c r="AK249" s="989"/>
      <c r="AL249" s="33">
        <f>'DIY Grundmodell'!X336</f>
        <v>4740.5560100000002</v>
      </c>
    </row>
    <row r="250" spans="32:38" ht="14.1" customHeight="1" x14ac:dyDescent="0.45">
      <c r="AF250" s="988">
        <f>'DIY Grundmodell'!R337</f>
        <v>45279</v>
      </c>
      <c r="AG250" s="89">
        <f>'DIY Grundmodell'!S337</f>
        <v>350.36</v>
      </c>
      <c r="AH250" s="54">
        <f>'DIY Grundmodell'!T337</f>
        <v>6211.6592700000001</v>
      </c>
      <c r="AI250" s="89">
        <f>'DIY Grundmodell'!U337</f>
        <v>350.36</v>
      </c>
      <c r="AJ250" s="89">
        <f>'DIY Grundmodell'!V337</f>
        <v>6211.6592700000001</v>
      </c>
      <c r="AK250" s="989"/>
      <c r="AL250" s="33">
        <f>'DIY Grundmodell'!X337</f>
        <v>4768.3653700000004</v>
      </c>
    </row>
    <row r="251" spans="32:38" ht="14.1" customHeight="1" x14ac:dyDescent="0.45">
      <c r="AF251" s="988">
        <f>'DIY Grundmodell'!R338</f>
        <v>45280</v>
      </c>
      <c r="AG251" s="89">
        <f>'DIY Grundmodell'!S338</f>
        <v>349.28</v>
      </c>
      <c r="AH251" s="54">
        <f>'DIY Grundmodell'!T338</f>
        <v>5717.6612100000002</v>
      </c>
      <c r="AI251" s="89">
        <f>'DIY Grundmodell'!U338</f>
        <v>349.28</v>
      </c>
      <c r="AJ251" s="89">
        <f>'DIY Grundmodell'!V338</f>
        <v>5717.6612100000002</v>
      </c>
      <c r="AK251" s="989"/>
      <c r="AL251" s="33">
        <f>'DIY Grundmodell'!X338</f>
        <v>4698.3519500000002</v>
      </c>
    </row>
    <row r="252" spans="32:38" ht="14.1" customHeight="1" x14ac:dyDescent="0.45">
      <c r="AF252" s="988">
        <f>'DIY Grundmodell'!R339</f>
        <v>45281</v>
      </c>
      <c r="AG252" s="89">
        <f>'DIY Grundmodell'!S339</f>
        <v>354.09</v>
      </c>
      <c r="AH252" s="54">
        <f>'DIY Grundmodell'!T339</f>
        <v>5413.8788800000002</v>
      </c>
      <c r="AI252" s="89">
        <f>'DIY Grundmodell'!U339</f>
        <v>354.09</v>
      </c>
      <c r="AJ252" s="89">
        <f>'DIY Grundmodell'!V339</f>
        <v>5413.8788800000002</v>
      </c>
      <c r="AK252" s="989"/>
      <c r="AL252" s="33">
        <f>'DIY Grundmodell'!X339</f>
        <v>4746.7456400000001</v>
      </c>
    </row>
    <row r="253" spans="32:38" ht="14.1" customHeight="1" x14ac:dyDescent="0.45">
      <c r="AF253" s="988">
        <f>'DIY Grundmodell'!R340</f>
        <v>45282</v>
      </c>
      <c r="AG253" s="89">
        <f>'DIY Grundmodell'!S340</f>
        <v>353.39</v>
      </c>
      <c r="AH253" s="54">
        <f>'DIY Grundmodell'!T340</f>
        <v>4160.3823700000003</v>
      </c>
      <c r="AI253" s="89">
        <f>'DIY Grundmodell'!U340</f>
        <v>353.39</v>
      </c>
      <c r="AJ253" s="89">
        <f>'DIY Grundmodell'!V340</f>
        <v>4160.3823700000003</v>
      </c>
      <c r="AK253" s="989"/>
      <c r="AL253" s="33">
        <f>'DIY Grundmodell'!X340</f>
        <v>4754.6314499999999</v>
      </c>
    </row>
    <row r="254" spans="32:38" ht="14.1" customHeight="1" x14ac:dyDescent="0.45">
      <c r="AF254" s="988">
        <f>'DIY Grundmodell'!R341</f>
        <v>45283</v>
      </c>
      <c r="AG254" s="89" t="e">
        <f>'DIY Grundmodell'!S341</f>
        <v>#N/A</v>
      </c>
      <c r="AH254" s="54" t="e">
        <f>'DIY Grundmodell'!T341</f>
        <v>#N/A</v>
      </c>
      <c r="AI254" s="89">
        <f>'DIY Grundmodell'!U341</f>
        <v>353.39</v>
      </c>
      <c r="AJ254" s="89">
        <f>'DIY Grundmodell'!V341</f>
        <v>0</v>
      </c>
      <c r="AK254" s="989"/>
      <c r="AL254" s="33">
        <f>'DIY Grundmodell'!X341</f>
        <v>4754.6314499999999</v>
      </c>
    </row>
    <row r="255" spans="32:38" ht="14.1" customHeight="1" x14ac:dyDescent="0.45">
      <c r="AF255" s="988">
        <f>'DIY Grundmodell'!R342</f>
        <v>45284</v>
      </c>
      <c r="AG255" s="89" t="e">
        <f>'DIY Grundmodell'!S342</f>
        <v>#N/A</v>
      </c>
      <c r="AH255" s="54" t="e">
        <f>'DIY Grundmodell'!T342</f>
        <v>#N/A</v>
      </c>
      <c r="AI255" s="89">
        <f>'DIY Grundmodell'!U342</f>
        <v>353.39</v>
      </c>
      <c r="AJ255" s="89">
        <f>'DIY Grundmodell'!V342</f>
        <v>0</v>
      </c>
      <c r="AK255" s="989"/>
      <c r="AL255" s="33">
        <f>'DIY Grundmodell'!X342</f>
        <v>4754.6314499999999</v>
      </c>
    </row>
    <row r="256" spans="32:38" ht="14.1" customHeight="1" x14ac:dyDescent="0.45">
      <c r="AF256" s="988">
        <f>'DIY Grundmodell'!R343</f>
        <v>45285</v>
      </c>
      <c r="AG256" s="89" t="e">
        <f>'DIY Grundmodell'!S343</f>
        <v>#N/A</v>
      </c>
      <c r="AH256" s="54" t="e">
        <f>'DIY Grundmodell'!T343</f>
        <v>#N/A</v>
      </c>
      <c r="AI256" s="89">
        <f>'DIY Grundmodell'!U343</f>
        <v>353.39</v>
      </c>
      <c r="AJ256" s="89">
        <f>'DIY Grundmodell'!V343</f>
        <v>0</v>
      </c>
      <c r="AK256" s="989"/>
      <c r="AL256" s="33">
        <f>'DIY Grundmodell'!X343</f>
        <v>4754.6314499999999</v>
      </c>
    </row>
    <row r="257" spans="32:38" ht="14.1" customHeight="1" x14ac:dyDescent="0.45">
      <c r="AF257" s="988">
        <f>'DIY Grundmodell'!R344</f>
        <v>45286</v>
      </c>
      <c r="AG257" s="89">
        <f>'DIY Grundmodell'!S344</f>
        <v>354.83</v>
      </c>
      <c r="AH257" s="54">
        <f>'DIY Grundmodell'!T344</f>
        <v>3512.32521</v>
      </c>
      <c r="AI257" s="89">
        <f>'DIY Grundmodell'!U344</f>
        <v>354.83</v>
      </c>
      <c r="AJ257" s="89">
        <f>'DIY Grundmodell'!V344</f>
        <v>3512.32521</v>
      </c>
      <c r="AK257" s="989"/>
      <c r="AL257" s="33">
        <f>'DIY Grundmodell'!X344</f>
        <v>4774.7506000000003</v>
      </c>
    </row>
    <row r="258" spans="32:38" ht="14.1" customHeight="1" x14ac:dyDescent="0.45">
      <c r="AF258" s="988">
        <f>'DIY Grundmodell'!R345</f>
        <v>45287</v>
      </c>
      <c r="AG258" s="89">
        <f>'DIY Grundmodell'!S345</f>
        <v>357.83</v>
      </c>
      <c r="AH258" s="54">
        <f>'DIY Grundmodell'!T345</f>
        <v>4726.1928799999996</v>
      </c>
      <c r="AI258" s="89">
        <f>'DIY Grundmodell'!U345</f>
        <v>357.83</v>
      </c>
      <c r="AJ258" s="89">
        <f>'DIY Grundmodell'!V345</f>
        <v>4726.1928799999996</v>
      </c>
      <c r="AK258" s="989"/>
      <c r="AL258" s="33">
        <f>'DIY Grundmodell'!X345</f>
        <v>4781.5788000000002</v>
      </c>
    </row>
    <row r="259" spans="32:38" ht="14.1" customHeight="1" x14ac:dyDescent="0.45">
      <c r="AF259" s="988">
        <f>'DIY Grundmodell'!R346</f>
        <v>45288</v>
      </c>
      <c r="AG259" s="89">
        <f>'DIY Grundmodell'!S346</f>
        <v>358.32</v>
      </c>
      <c r="AH259" s="54">
        <f>'DIY Grundmodell'!T346</f>
        <v>4227.7485200000001</v>
      </c>
      <c r="AI259" s="89">
        <f>'DIY Grundmodell'!U346</f>
        <v>358.32</v>
      </c>
      <c r="AJ259" s="89">
        <f>'DIY Grundmodell'!V346</f>
        <v>4227.7485200000001</v>
      </c>
      <c r="AK259" s="989"/>
      <c r="AL259" s="33">
        <f>'DIY Grundmodell'!X346</f>
        <v>4783.3473800000002</v>
      </c>
    </row>
    <row r="260" spans="32:38" ht="14.1" customHeight="1" x14ac:dyDescent="0.45">
      <c r="AF260" s="988">
        <f>'DIY Grundmodell'!R347</f>
        <v>45289</v>
      </c>
      <c r="AG260" s="89">
        <f>'DIY Grundmodell'!S347</f>
        <v>353.96</v>
      </c>
      <c r="AH260" s="54">
        <f>'DIY Grundmodell'!T347</f>
        <v>5304.8310799999999</v>
      </c>
      <c r="AI260" s="89">
        <f>'DIY Grundmodell'!U347</f>
        <v>353.96</v>
      </c>
      <c r="AJ260" s="89">
        <f>'DIY Grundmodell'!V347</f>
        <v>5304.8310799999999</v>
      </c>
      <c r="AK260" s="989"/>
      <c r="AL260" s="33">
        <f>'DIY Grundmodell'!X347</f>
        <v>4769.8294100000003</v>
      </c>
    </row>
    <row r="261" spans="32:38" ht="14.1" customHeight="1" x14ac:dyDescent="0.45">
      <c r="AF261" s="988">
        <f>'DIY Grundmodell'!R348</f>
        <v>45290</v>
      </c>
      <c r="AG261" s="89" t="e">
        <f>'DIY Grundmodell'!S348</f>
        <v>#N/A</v>
      </c>
      <c r="AH261" s="54" t="e">
        <f>'DIY Grundmodell'!T348</f>
        <v>#N/A</v>
      </c>
      <c r="AI261" s="89">
        <f>'DIY Grundmodell'!U348</f>
        <v>353.96</v>
      </c>
      <c r="AJ261" s="89">
        <f>'DIY Grundmodell'!V348</f>
        <v>0</v>
      </c>
      <c r="AK261" s="989"/>
      <c r="AL261" s="33">
        <f>'DIY Grundmodell'!X348</f>
        <v>4769.8294100000003</v>
      </c>
    </row>
    <row r="262" spans="32:38" ht="14.1" customHeight="1" x14ac:dyDescent="0.45">
      <c r="AF262" s="988">
        <f>'DIY Grundmodell'!R349</f>
        <v>45291</v>
      </c>
      <c r="AG262" s="89" t="e">
        <f>'DIY Grundmodell'!S349</f>
        <v>#N/A</v>
      </c>
      <c r="AH262" s="54" t="e">
        <f>'DIY Grundmodell'!T349</f>
        <v>#N/A</v>
      </c>
      <c r="AI262" s="89">
        <f>'DIY Grundmodell'!U349</f>
        <v>353.96</v>
      </c>
      <c r="AJ262" s="89">
        <f>'DIY Grundmodell'!V349</f>
        <v>0</v>
      </c>
      <c r="AK262" s="989"/>
      <c r="AL262" s="33">
        <f>'DIY Grundmodell'!X349</f>
        <v>4769.8294100000003</v>
      </c>
    </row>
    <row r="263" spans="32:38" ht="14.1" customHeight="1" x14ac:dyDescent="0.45">
      <c r="AF263" s="988">
        <f>'DIY Grundmodell'!R350</f>
        <v>45292</v>
      </c>
      <c r="AG263" s="89" t="e">
        <f>'DIY Grundmodell'!S350</f>
        <v>#N/A</v>
      </c>
      <c r="AH263" s="54" t="e">
        <f>'DIY Grundmodell'!T350</f>
        <v>#N/A</v>
      </c>
      <c r="AI263" s="89">
        <f>'DIY Grundmodell'!U350</f>
        <v>353.96</v>
      </c>
      <c r="AJ263" s="89">
        <f>'DIY Grundmodell'!V350</f>
        <v>0</v>
      </c>
      <c r="AK263" s="989"/>
      <c r="AL263" s="33">
        <f>'DIY Grundmodell'!X350</f>
        <v>4769.8294100000003</v>
      </c>
    </row>
    <row r="264" spans="32:38" ht="14.1" customHeight="1" x14ac:dyDescent="0.45">
      <c r="AF264" s="988">
        <f>'DIY Grundmodell'!R351</f>
        <v>45293</v>
      </c>
      <c r="AG264" s="89">
        <f>'DIY Grundmodell'!S351</f>
        <v>346.29</v>
      </c>
      <c r="AH264" s="54">
        <f>'DIY Grundmodell'!T351</f>
        <v>6594.10682</v>
      </c>
      <c r="AI264" s="89">
        <f>'DIY Grundmodell'!U351</f>
        <v>346.29</v>
      </c>
      <c r="AJ264" s="89">
        <f>'DIY Grundmodell'!V351</f>
        <v>6594.10682</v>
      </c>
      <c r="AK264" s="989"/>
      <c r="AL264" s="33">
        <f>'DIY Grundmodell'!X351</f>
        <v>4742.8294900000001</v>
      </c>
    </row>
    <row r="265" spans="32:38" ht="14.1" customHeight="1" x14ac:dyDescent="0.45">
      <c r="AF265" s="988">
        <f>'DIY Grundmodell'!R352</f>
        <v>45294</v>
      </c>
      <c r="AG265" s="89">
        <f>'DIY Grundmodell'!S352</f>
        <v>344.47</v>
      </c>
      <c r="AH265" s="54">
        <f>'DIY Grundmodell'!T352</f>
        <v>5322.4517900000001</v>
      </c>
      <c r="AI265" s="89">
        <f>'DIY Grundmodell'!U352</f>
        <v>344.47</v>
      </c>
      <c r="AJ265" s="89">
        <f>'DIY Grundmodell'!V352</f>
        <v>5322.4517900000001</v>
      </c>
      <c r="AK265" s="989"/>
      <c r="AL265" s="33">
        <f>'DIY Grundmodell'!X352</f>
        <v>4704.8110900000001</v>
      </c>
    </row>
    <row r="266" spans="32:38" ht="14.1" customHeight="1" x14ac:dyDescent="0.45">
      <c r="AF266" s="988">
        <f>'DIY Grundmodell'!R353</f>
        <v>45295</v>
      </c>
      <c r="AG266" s="89">
        <f>'DIY Grundmodell'!S353</f>
        <v>347.12</v>
      </c>
      <c r="AH266" s="54">
        <f>'DIY Grundmodell'!T353</f>
        <v>4200.1155500000004</v>
      </c>
      <c r="AI266" s="89">
        <f>'DIY Grundmodell'!U353</f>
        <v>347.12</v>
      </c>
      <c r="AJ266" s="89">
        <f>'DIY Grundmodell'!V353</f>
        <v>4200.1155500000004</v>
      </c>
      <c r="AK266" s="989"/>
      <c r="AL266" s="33">
        <f>'DIY Grundmodell'!X353</f>
        <v>4688.6760100000001</v>
      </c>
    </row>
    <row r="267" spans="32:38" ht="14.1" customHeight="1" x14ac:dyDescent="0.45">
      <c r="AF267" s="988">
        <f>'DIY Grundmodell'!R354</f>
        <v>45296</v>
      </c>
      <c r="AG267" s="89">
        <f>'DIY Grundmodell'!S354</f>
        <v>351.95</v>
      </c>
      <c r="AH267" s="54">
        <f>'DIY Grundmodell'!T354</f>
        <v>4839.6334800000004</v>
      </c>
      <c r="AI267" s="89">
        <f>'DIY Grundmodell'!U354</f>
        <v>351.95</v>
      </c>
      <c r="AJ267" s="89">
        <f>'DIY Grundmodell'!V354</f>
        <v>4839.6334800000004</v>
      </c>
      <c r="AK267" s="989"/>
      <c r="AL267" s="33">
        <f>'DIY Grundmodell'!X354</f>
        <v>4697.2449399999996</v>
      </c>
    </row>
    <row r="268" spans="32:38" ht="14.1" customHeight="1" x14ac:dyDescent="0.45">
      <c r="AF268" s="988">
        <f>'DIY Grundmodell'!R355</f>
        <v>45297</v>
      </c>
      <c r="AG268" s="89" t="e">
        <f>'DIY Grundmodell'!S355</f>
        <v>#N/A</v>
      </c>
      <c r="AH268" s="54" t="e">
        <f>'DIY Grundmodell'!T355</f>
        <v>#N/A</v>
      </c>
      <c r="AI268" s="89">
        <f>'DIY Grundmodell'!U355</f>
        <v>351.95</v>
      </c>
      <c r="AJ268" s="89">
        <f>'DIY Grundmodell'!V355</f>
        <v>0</v>
      </c>
      <c r="AK268" s="989"/>
      <c r="AL268" s="33">
        <f>'DIY Grundmodell'!X355</f>
        <v>4697.2449399999996</v>
      </c>
    </row>
    <row r="269" spans="32:38" ht="14.1" customHeight="1" x14ac:dyDescent="0.45">
      <c r="AF269" s="988">
        <f>'DIY Grundmodell'!R356</f>
        <v>45298</v>
      </c>
      <c r="AG269" s="89" t="e">
        <f>'DIY Grundmodell'!S356</f>
        <v>#N/A</v>
      </c>
      <c r="AH269" s="54" t="e">
        <f>'DIY Grundmodell'!T356</f>
        <v>#N/A</v>
      </c>
      <c r="AI269" s="89">
        <f>'DIY Grundmodell'!U356</f>
        <v>351.95</v>
      </c>
      <c r="AJ269" s="89">
        <f>'DIY Grundmodell'!V356</f>
        <v>0</v>
      </c>
      <c r="AK269" s="989"/>
      <c r="AL269" s="33">
        <f>'DIY Grundmodell'!X356</f>
        <v>4697.2449399999996</v>
      </c>
    </row>
    <row r="270" spans="32:38" ht="14.1" customHeight="1" x14ac:dyDescent="0.45">
      <c r="AF270" s="988">
        <f>'DIY Grundmodell'!R357</f>
        <v>45299</v>
      </c>
      <c r="AG270" s="89">
        <f>'DIY Grundmodell'!S357</f>
        <v>358.66</v>
      </c>
      <c r="AH270" s="54">
        <f>'DIY Grundmodell'!T357</f>
        <v>4981.8670199999997</v>
      </c>
      <c r="AI270" s="89">
        <f>'DIY Grundmodell'!U357</f>
        <v>358.66</v>
      </c>
      <c r="AJ270" s="89">
        <f>'DIY Grundmodell'!V357</f>
        <v>4981.8670199999997</v>
      </c>
      <c r="AK270" s="989"/>
      <c r="AL270" s="33">
        <f>'DIY Grundmodell'!X357</f>
        <v>4763.5372799999996</v>
      </c>
    </row>
    <row r="271" spans="32:38" ht="14.1" customHeight="1" x14ac:dyDescent="0.45">
      <c r="AF271" s="988">
        <f>'DIY Grundmodell'!R358</f>
        <v>45300</v>
      </c>
      <c r="AG271" s="89">
        <f>'DIY Grundmodell'!S358</f>
        <v>357.43</v>
      </c>
      <c r="AH271" s="54">
        <f>'DIY Grundmodell'!T358</f>
        <v>4812.3914100000002</v>
      </c>
      <c r="AI271" s="89">
        <f>'DIY Grundmodell'!U358</f>
        <v>357.43</v>
      </c>
      <c r="AJ271" s="89">
        <f>'DIY Grundmodell'!V358</f>
        <v>4812.3914100000002</v>
      </c>
      <c r="AK271" s="989"/>
      <c r="AL271" s="33">
        <f>'DIY Grundmodell'!X358</f>
        <v>4756.4965400000001</v>
      </c>
    </row>
    <row r="272" spans="32:38" ht="14.1" customHeight="1" x14ac:dyDescent="0.45">
      <c r="AF272" s="988">
        <f>'DIY Grundmodell'!R359</f>
        <v>45301</v>
      </c>
      <c r="AG272" s="89">
        <f>'DIY Grundmodell'!S359</f>
        <v>370.47</v>
      </c>
      <c r="AH272" s="54">
        <f>'DIY Grundmodell'!T359</f>
        <v>8193.7613099999999</v>
      </c>
      <c r="AI272" s="89">
        <f>'DIY Grundmodell'!U359</f>
        <v>370.47</v>
      </c>
      <c r="AJ272" s="89">
        <f>'DIY Grundmodell'!V359</f>
        <v>8193.7613099999999</v>
      </c>
      <c r="AK272" s="989"/>
      <c r="AL272" s="33">
        <f>'DIY Grundmodell'!X359</f>
        <v>4783.4491200000002</v>
      </c>
    </row>
    <row r="273" spans="32:38" ht="14.1" customHeight="1" x14ac:dyDescent="0.45">
      <c r="AF273" s="988">
        <f>'DIY Grundmodell'!R360</f>
        <v>45302</v>
      </c>
      <c r="AG273" s="89">
        <f>'DIY Grundmodell'!S360</f>
        <v>369.67</v>
      </c>
      <c r="AH273" s="54">
        <f>'DIY Grundmodell'!T360</f>
        <v>6360.3146699999998</v>
      </c>
      <c r="AI273" s="89">
        <f>'DIY Grundmodell'!U360</f>
        <v>369.67</v>
      </c>
      <c r="AJ273" s="89">
        <f>'DIY Grundmodell'!V360</f>
        <v>6360.3146699999998</v>
      </c>
      <c r="AK273" s="989"/>
      <c r="AL273" s="33">
        <f>'DIY Grundmodell'!X360</f>
        <v>4780.2424700000001</v>
      </c>
    </row>
    <row r="274" spans="32:38" ht="14.1" customHeight="1" x14ac:dyDescent="0.45">
      <c r="AF274" s="988">
        <f>'DIY Grundmodell'!R361</f>
        <v>45303</v>
      </c>
      <c r="AG274" s="89">
        <f>'DIY Grundmodell'!S361</f>
        <v>374.49</v>
      </c>
      <c r="AH274" s="54">
        <f>'DIY Grundmodell'!T361</f>
        <v>7231.4191300000002</v>
      </c>
      <c r="AI274" s="89">
        <f>'DIY Grundmodell'!U361</f>
        <v>374.49</v>
      </c>
      <c r="AJ274" s="89">
        <f>'DIY Grundmodell'!V361</f>
        <v>7231.4191300000002</v>
      </c>
      <c r="AK274" s="989"/>
      <c r="AL274" s="33">
        <f>'DIY Grundmodell'!X361</f>
        <v>4783.8310700000002</v>
      </c>
    </row>
    <row r="275" spans="32:38" ht="14.1" customHeight="1" x14ac:dyDescent="0.45">
      <c r="AF275" s="988">
        <f>'DIY Grundmodell'!R362</f>
        <v>45304</v>
      </c>
      <c r="AG275" s="89" t="e">
        <f>'DIY Grundmodell'!S362</f>
        <v>#N/A</v>
      </c>
      <c r="AH275" s="54" t="e">
        <f>'DIY Grundmodell'!T362</f>
        <v>#N/A</v>
      </c>
      <c r="AI275" s="89">
        <f>'DIY Grundmodell'!U362</f>
        <v>374.49</v>
      </c>
      <c r="AJ275" s="89">
        <f>'DIY Grundmodell'!V362</f>
        <v>0</v>
      </c>
      <c r="AK275" s="989"/>
      <c r="AL275" s="33">
        <f>'DIY Grundmodell'!X362</f>
        <v>4783.8310700000002</v>
      </c>
    </row>
    <row r="276" spans="32:38" ht="14.1" customHeight="1" x14ac:dyDescent="0.45">
      <c r="AF276" s="988">
        <f>'DIY Grundmodell'!R363</f>
        <v>45305</v>
      </c>
      <c r="AG276" s="89" t="e">
        <f>'DIY Grundmodell'!S363</f>
        <v>#N/A</v>
      </c>
      <c r="AH276" s="54" t="e">
        <f>'DIY Grundmodell'!T363</f>
        <v>#N/A</v>
      </c>
      <c r="AI276" s="89">
        <f>'DIY Grundmodell'!U363</f>
        <v>374.49</v>
      </c>
      <c r="AJ276" s="89">
        <f>'DIY Grundmodell'!V363</f>
        <v>0</v>
      </c>
      <c r="AK276" s="989"/>
      <c r="AL276" s="33">
        <f>'DIY Grundmodell'!X363</f>
        <v>4783.8310700000002</v>
      </c>
    </row>
    <row r="277" spans="32:38" ht="14.1" customHeight="1" x14ac:dyDescent="0.45">
      <c r="AF277" s="988">
        <f>'DIY Grundmodell'!R364</f>
        <v>45306</v>
      </c>
      <c r="AG277" s="89" t="e">
        <f>'DIY Grundmodell'!S364</f>
        <v>#N/A</v>
      </c>
      <c r="AH277" s="54" t="e">
        <f>'DIY Grundmodell'!T364</f>
        <v>#N/A</v>
      </c>
      <c r="AI277" s="89">
        <f>'DIY Grundmodell'!U364</f>
        <v>374.49</v>
      </c>
      <c r="AJ277" s="89">
        <f>'DIY Grundmodell'!V364</f>
        <v>0</v>
      </c>
      <c r="AK277" s="989"/>
      <c r="AL277" s="33">
        <f>'DIY Grundmodell'!X364</f>
        <v>4783.8310700000002</v>
      </c>
    </row>
    <row r="278" spans="32:38" ht="14.1" customHeight="1" x14ac:dyDescent="0.45">
      <c r="AF278" s="988">
        <f>'DIY Grundmodell'!R365</f>
        <v>45307</v>
      </c>
      <c r="AG278" s="89">
        <f>'DIY Grundmodell'!S365</f>
        <v>367.46</v>
      </c>
      <c r="AH278" s="54">
        <f>'DIY Grundmodell'!T365</f>
        <v>5624.6679599999998</v>
      </c>
      <c r="AI278" s="89">
        <f>'DIY Grundmodell'!U365</f>
        <v>367.46</v>
      </c>
      <c r="AJ278" s="89">
        <f>'DIY Grundmodell'!V365</f>
        <v>5624.6679599999998</v>
      </c>
      <c r="AK278" s="989"/>
      <c r="AL278" s="33">
        <f>'DIY Grundmodell'!X365</f>
        <v>4765.9760200000001</v>
      </c>
    </row>
    <row r="279" spans="32:38" ht="14.1" customHeight="1" x14ac:dyDescent="0.45">
      <c r="AF279" s="988">
        <f>'DIY Grundmodell'!R366</f>
        <v>45308</v>
      </c>
      <c r="AG279" s="89">
        <f>'DIY Grundmodell'!S366</f>
        <v>368.37</v>
      </c>
      <c r="AH279" s="54">
        <f>'DIY Grundmodell'!T366</f>
        <v>4687.4268400000001</v>
      </c>
      <c r="AI279" s="89">
        <f>'DIY Grundmodell'!U366</f>
        <v>368.37</v>
      </c>
      <c r="AJ279" s="89">
        <f>'DIY Grundmodell'!V366</f>
        <v>4687.4268400000001</v>
      </c>
      <c r="AK279" s="989"/>
      <c r="AL279" s="33">
        <f>'DIY Grundmodell'!X366</f>
        <v>4739.2081399999997</v>
      </c>
    </row>
    <row r="280" spans="32:38" ht="14.1" customHeight="1" x14ac:dyDescent="0.45">
      <c r="AF280" s="988">
        <f>'DIY Grundmodell'!R367</f>
        <v>45309</v>
      </c>
      <c r="AG280" s="89">
        <f>'DIY Grundmodell'!S367</f>
        <v>376.13</v>
      </c>
      <c r="AH280" s="54">
        <f>'DIY Grundmodell'!T367</f>
        <v>6151.3549000000003</v>
      </c>
      <c r="AI280" s="89">
        <f>'DIY Grundmodell'!U367</f>
        <v>376.13</v>
      </c>
      <c r="AJ280" s="89">
        <f>'DIY Grundmodell'!V367</f>
        <v>6151.3549000000003</v>
      </c>
      <c r="AK280" s="989"/>
      <c r="AL280" s="33">
        <f>'DIY Grundmodell'!X367</f>
        <v>4780.9376499999998</v>
      </c>
    </row>
    <row r="281" spans="32:38" ht="14.1" customHeight="1" x14ac:dyDescent="0.45">
      <c r="AF281" s="988">
        <f>'DIY Grundmodell'!R368</f>
        <v>45310</v>
      </c>
      <c r="AG281" s="89">
        <f>'DIY Grundmodell'!S368</f>
        <v>383.45</v>
      </c>
      <c r="AH281" s="54">
        <f>'DIY Grundmodell'!T368</f>
        <v>8309.6705600000005</v>
      </c>
      <c r="AI281" s="89">
        <f>'DIY Grundmodell'!U368</f>
        <v>383.45</v>
      </c>
      <c r="AJ281" s="89">
        <f>'DIY Grundmodell'!V368</f>
        <v>8309.6705600000005</v>
      </c>
      <c r="AK281" s="989"/>
      <c r="AL281" s="33">
        <f>'DIY Grundmodell'!X368</f>
        <v>4839.81142</v>
      </c>
    </row>
    <row r="282" spans="32:38" ht="14.1" customHeight="1" x14ac:dyDescent="0.45">
      <c r="AF282" s="988">
        <f>'DIY Grundmodell'!R369</f>
        <v>45311</v>
      </c>
      <c r="AG282" s="89" t="e">
        <f>'DIY Grundmodell'!S369</f>
        <v>#N/A</v>
      </c>
      <c r="AH282" s="54" t="e">
        <f>'DIY Grundmodell'!T369</f>
        <v>#N/A</v>
      </c>
      <c r="AI282" s="89">
        <f>'DIY Grundmodell'!U369</f>
        <v>383.45</v>
      </c>
      <c r="AJ282" s="89">
        <f>'DIY Grundmodell'!V369</f>
        <v>0</v>
      </c>
      <c r="AK282" s="989"/>
      <c r="AL282" s="33">
        <f>'DIY Grundmodell'!X369</f>
        <v>4839.81142</v>
      </c>
    </row>
    <row r="283" spans="32:38" ht="14.1" customHeight="1" x14ac:dyDescent="0.45">
      <c r="AF283" s="988">
        <f>'DIY Grundmodell'!R370</f>
        <v>45312</v>
      </c>
      <c r="AG283" s="89" t="e">
        <f>'DIY Grundmodell'!S370</f>
        <v>#N/A</v>
      </c>
      <c r="AH283" s="54" t="e">
        <f>'DIY Grundmodell'!T370</f>
        <v>#N/A</v>
      </c>
      <c r="AI283" s="89">
        <f>'DIY Grundmodell'!U370</f>
        <v>383.45</v>
      </c>
      <c r="AJ283" s="89">
        <f>'DIY Grundmodell'!V370</f>
        <v>0</v>
      </c>
      <c r="AK283" s="989"/>
      <c r="AL283" s="33">
        <f>'DIY Grundmodell'!X370</f>
        <v>4839.81142</v>
      </c>
    </row>
    <row r="284" spans="32:38" ht="14.1" customHeight="1" x14ac:dyDescent="0.45">
      <c r="AF284" s="988">
        <f>'DIY Grundmodell'!R371</f>
        <v>45313</v>
      </c>
      <c r="AG284" s="89">
        <f>'DIY Grundmodell'!S371</f>
        <v>381.78</v>
      </c>
      <c r="AH284" s="54">
        <f>'DIY Grundmodell'!T371</f>
        <v>6750.0437300000003</v>
      </c>
      <c r="AI284" s="89">
        <f>'DIY Grundmodell'!U371</f>
        <v>381.78</v>
      </c>
      <c r="AJ284" s="89">
        <f>'DIY Grundmodell'!V371</f>
        <v>6750.0437300000003</v>
      </c>
      <c r="AK284" s="989"/>
      <c r="AL284" s="33">
        <f>'DIY Grundmodell'!X371</f>
        <v>4850.4256699999996</v>
      </c>
    </row>
    <row r="285" spans="32:38" ht="14.1" customHeight="1" x14ac:dyDescent="0.45">
      <c r="AF285" s="988">
        <f>'DIY Grundmodell'!R372</f>
        <v>45314</v>
      </c>
      <c r="AG285" s="89">
        <f>'DIY Grundmodell'!S372</f>
        <v>385.2</v>
      </c>
      <c r="AH285" s="54">
        <f>'DIY Grundmodell'!T372</f>
        <v>5972.9481800000003</v>
      </c>
      <c r="AI285" s="89">
        <f>'DIY Grundmodell'!U372</f>
        <v>385.2</v>
      </c>
      <c r="AJ285" s="89">
        <f>'DIY Grundmodell'!V372</f>
        <v>5972.9481800000003</v>
      </c>
      <c r="AK285" s="989"/>
      <c r="AL285" s="33">
        <f>'DIY Grundmodell'!X372</f>
        <v>4864.5967199999996</v>
      </c>
    </row>
    <row r="286" spans="32:38" ht="14.1" customHeight="1" x14ac:dyDescent="0.45">
      <c r="AF286" s="988">
        <f>'DIY Grundmodell'!R373</f>
        <v>45315</v>
      </c>
      <c r="AG286" s="89">
        <f>'DIY Grundmodell'!S373</f>
        <v>390.7</v>
      </c>
      <c r="AH286" s="54">
        <f>'DIY Grundmodell'!T373</f>
        <v>6096.5941499999999</v>
      </c>
      <c r="AI286" s="89">
        <f>'DIY Grundmodell'!U373</f>
        <v>390.7</v>
      </c>
      <c r="AJ286" s="89">
        <f>'DIY Grundmodell'!V373</f>
        <v>6096.5941499999999</v>
      </c>
      <c r="AK286" s="989"/>
      <c r="AL286" s="33">
        <f>'DIY Grundmodell'!X373</f>
        <v>4868.5539200000003</v>
      </c>
    </row>
    <row r="287" spans="32:38" ht="14.1" customHeight="1" x14ac:dyDescent="0.45">
      <c r="AF287" s="988">
        <f>'DIY Grundmodell'!R374</f>
        <v>45316</v>
      </c>
      <c r="AG287" s="89">
        <f>'DIY Grundmodell'!S374</f>
        <v>393.18</v>
      </c>
      <c r="AH287" s="54">
        <f>'DIY Grundmodell'!T374</f>
        <v>5933.5108300000002</v>
      </c>
      <c r="AI287" s="89">
        <f>'DIY Grundmodell'!U374</f>
        <v>393.18</v>
      </c>
      <c r="AJ287" s="89">
        <f>'DIY Grundmodell'!V374</f>
        <v>5933.5108300000002</v>
      </c>
      <c r="AK287" s="989"/>
      <c r="AL287" s="33">
        <f>'DIY Grundmodell'!X374</f>
        <v>4894.1555799999996</v>
      </c>
    </row>
    <row r="288" spans="32:38" ht="14.1" customHeight="1" x14ac:dyDescent="0.45">
      <c r="AF288" s="988">
        <f>'DIY Grundmodell'!R375</f>
        <v>45317</v>
      </c>
      <c r="AG288" s="89">
        <f>'DIY Grundmodell'!S375</f>
        <v>394.14</v>
      </c>
      <c r="AH288" s="54">
        <f>'DIY Grundmodell'!T375</f>
        <v>5186.6025600000003</v>
      </c>
      <c r="AI288" s="89">
        <f>'DIY Grundmodell'!U375</f>
        <v>394.14</v>
      </c>
      <c r="AJ288" s="89">
        <f>'DIY Grundmodell'!V375</f>
        <v>5186.6025600000003</v>
      </c>
      <c r="AK288" s="989"/>
      <c r="AL288" s="33">
        <f>'DIY Grundmodell'!X375</f>
        <v>4890.9705100000001</v>
      </c>
    </row>
    <row r="289" spans="32:38" ht="14.1" customHeight="1" x14ac:dyDescent="0.45">
      <c r="AF289" s="988">
        <f>'DIY Grundmodell'!R376</f>
        <v>45318</v>
      </c>
      <c r="AG289" s="89" t="e">
        <f>'DIY Grundmodell'!S376</f>
        <v>#N/A</v>
      </c>
      <c r="AH289" s="54" t="e">
        <f>'DIY Grundmodell'!T376</f>
        <v>#N/A</v>
      </c>
      <c r="AI289" s="89">
        <f>'DIY Grundmodell'!U376</f>
        <v>394.14</v>
      </c>
      <c r="AJ289" s="89">
        <f>'DIY Grundmodell'!V376</f>
        <v>0</v>
      </c>
      <c r="AK289" s="989"/>
      <c r="AL289" s="33">
        <f>'DIY Grundmodell'!X376</f>
        <v>4890.9705100000001</v>
      </c>
    </row>
    <row r="290" spans="32:38" ht="14.1" customHeight="1" x14ac:dyDescent="0.45">
      <c r="AF290" s="988">
        <f>'DIY Grundmodell'!R377</f>
        <v>45319</v>
      </c>
      <c r="AG290" s="89" t="e">
        <f>'DIY Grundmodell'!S377</f>
        <v>#N/A</v>
      </c>
      <c r="AH290" s="54" t="e">
        <f>'DIY Grundmodell'!T377</f>
        <v>#N/A</v>
      </c>
      <c r="AI290" s="89">
        <f>'DIY Grundmodell'!U377</f>
        <v>394.14</v>
      </c>
      <c r="AJ290" s="89">
        <f>'DIY Grundmodell'!V377</f>
        <v>0</v>
      </c>
      <c r="AK290" s="989"/>
      <c r="AL290" s="33">
        <f>'DIY Grundmodell'!X377</f>
        <v>4890.9705100000001</v>
      </c>
    </row>
    <row r="291" spans="32:38" ht="14.1" customHeight="1" x14ac:dyDescent="0.45">
      <c r="AF291" s="988">
        <f>'DIY Grundmodell'!R378</f>
        <v>45320</v>
      </c>
      <c r="AG291" s="89">
        <f>'DIY Grundmodell'!S378</f>
        <v>401.02</v>
      </c>
      <c r="AH291" s="54">
        <f>'DIY Grundmodell'!T378</f>
        <v>7516.0904799999998</v>
      </c>
      <c r="AI291" s="89">
        <f>'DIY Grundmodell'!U378</f>
        <v>401.02</v>
      </c>
      <c r="AJ291" s="89">
        <f>'DIY Grundmodell'!V378</f>
        <v>7516.0904799999998</v>
      </c>
      <c r="AK291" s="989"/>
      <c r="AL291" s="33">
        <f>'DIY Grundmodell'!X378</f>
        <v>4927.9288200000001</v>
      </c>
    </row>
    <row r="292" spans="32:38" ht="14.1" customHeight="1" x14ac:dyDescent="0.45">
      <c r="AF292" s="988">
        <f>'DIY Grundmodell'!R379</f>
        <v>45321</v>
      </c>
      <c r="AG292" s="89">
        <f>'DIY Grundmodell'!S379</f>
        <v>400.06</v>
      </c>
      <c r="AH292" s="54">
        <f>'DIY Grundmodell'!T379</f>
        <v>7447.0076799999997</v>
      </c>
      <c r="AI292" s="89">
        <f>'DIY Grundmodell'!U379</f>
        <v>400.06</v>
      </c>
      <c r="AJ292" s="89">
        <f>'DIY Grundmodell'!V379</f>
        <v>7447.0076799999997</v>
      </c>
      <c r="AK292" s="989"/>
      <c r="AL292" s="33">
        <f>'DIY Grundmodell'!X379</f>
        <v>4924.9738900000002</v>
      </c>
    </row>
    <row r="293" spans="32:38" ht="14.1" customHeight="1" x14ac:dyDescent="0.45">
      <c r="AF293" s="988">
        <f>'DIY Grundmodell'!R380</f>
        <v>45322</v>
      </c>
      <c r="AG293" s="89">
        <f>'DIY Grundmodell'!S380</f>
        <v>390.14</v>
      </c>
      <c r="AH293" s="54">
        <f>'DIY Grundmodell'!T380</f>
        <v>7873.3439399999997</v>
      </c>
      <c r="AI293" s="89">
        <f>'DIY Grundmodell'!U380</f>
        <v>390.14</v>
      </c>
      <c r="AJ293" s="89">
        <f>'DIY Grundmodell'!V380</f>
        <v>7873.3439399999997</v>
      </c>
      <c r="AK293" s="989"/>
      <c r="AL293" s="33">
        <f>'DIY Grundmodell'!X380</f>
        <v>4845.6471799999999</v>
      </c>
    </row>
    <row r="294" spans="32:38" ht="14.1" customHeight="1" x14ac:dyDescent="0.45">
      <c r="AF294" s="988">
        <f>'DIY Grundmodell'!R381</f>
        <v>45323</v>
      </c>
      <c r="AG294" s="89">
        <f>'DIY Grundmodell'!S381</f>
        <v>394.78</v>
      </c>
      <c r="AH294" s="54">
        <f>'DIY Grundmodell'!T381</f>
        <v>11735.645189999999</v>
      </c>
      <c r="AI294" s="89">
        <f>'DIY Grundmodell'!U381</f>
        <v>394.78</v>
      </c>
      <c r="AJ294" s="89">
        <f>'DIY Grundmodell'!V381</f>
        <v>11735.645189999999</v>
      </c>
      <c r="AK294" s="989"/>
      <c r="AL294" s="33">
        <f>'DIY Grundmodell'!X381</f>
        <v>4906.1940400000003</v>
      </c>
    </row>
    <row r="295" spans="32:38" ht="14.1" customHeight="1" x14ac:dyDescent="0.45">
      <c r="AF295" s="988">
        <f>'DIY Grundmodell'!R382</f>
        <v>45324</v>
      </c>
      <c r="AG295" s="89">
        <f>'DIY Grundmodell'!S382</f>
        <v>474.99</v>
      </c>
      <c r="AH295" s="54">
        <f>'DIY Grundmodell'!T382</f>
        <v>40235.284769999998</v>
      </c>
      <c r="AI295" s="89">
        <f>'DIY Grundmodell'!U382</f>
        <v>474.99</v>
      </c>
      <c r="AJ295" s="89">
        <f>'DIY Grundmodell'!V382</f>
        <v>40235.284769999998</v>
      </c>
      <c r="AK295" s="989"/>
      <c r="AL295" s="33">
        <f>'DIY Grundmodell'!X382</f>
        <v>4958.6138899999996</v>
      </c>
    </row>
    <row r="296" spans="32:38" ht="14.1" customHeight="1" x14ac:dyDescent="0.45">
      <c r="AF296" s="988">
        <f>'DIY Grundmodell'!R383</f>
        <v>45325</v>
      </c>
      <c r="AG296" s="89" t="e">
        <f>'DIY Grundmodell'!S383</f>
        <v>#N/A</v>
      </c>
      <c r="AH296" s="54" t="e">
        <f>'DIY Grundmodell'!T383</f>
        <v>#N/A</v>
      </c>
      <c r="AI296" s="89">
        <f>'DIY Grundmodell'!U383</f>
        <v>474.99</v>
      </c>
      <c r="AJ296" s="89">
        <f>'DIY Grundmodell'!V383</f>
        <v>0</v>
      </c>
      <c r="AK296" s="989"/>
      <c r="AL296" s="33">
        <f>'DIY Grundmodell'!X383</f>
        <v>4958.6138899999996</v>
      </c>
    </row>
    <row r="297" spans="32:38" ht="14.1" customHeight="1" x14ac:dyDescent="0.45">
      <c r="AF297" s="988">
        <f>'DIY Grundmodell'!R384</f>
        <v>45326</v>
      </c>
      <c r="AG297" s="89" t="e">
        <f>'DIY Grundmodell'!S384</f>
        <v>#N/A</v>
      </c>
      <c r="AH297" s="54" t="e">
        <f>'DIY Grundmodell'!T384</f>
        <v>#N/A</v>
      </c>
      <c r="AI297" s="89">
        <f>'DIY Grundmodell'!U384</f>
        <v>474.99</v>
      </c>
      <c r="AJ297" s="89">
        <f>'DIY Grundmodell'!V384</f>
        <v>0</v>
      </c>
      <c r="AK297" s="989"/>
      <c r="AL297" s="33">
        <f>'DIY Grundmodell'!X384</f>
        <v>4958.6138899999996</v>
      </c>
    </row>
    <row r="298" spans="32:38" ht="14.1" customHeight="1" x14ac:dyDescent="0.45">
      <c r="AF298" s="988">
        <f>'DIY Grundmodell'!R385</f>
        <v>45327</v>
      </c>
      <c r="AG298" s="89">
        <f>'DIY Grundmodell'!S385</f>
        <v>459.41</v>
      </c>
      <c r="AH298" s="54">
        <f>'DIY Grundmodell'!T385</f>
        <v>18758.80186</v>
      </c>
      <c r="AI298" s="89">
        <f>'DIY Grundmodell'!U385</f>
        <v>459.41</v>
      </c>
      <c r="AJ298" s="89">
        <f>'DIY Grundmodell'!V385</f>
        <v>18758.80186</v>
      </c>
      <c r="AK298" s="989"/>
      <c r="AL298" s="33">
        <f>'DIY Grundmodell'!X385</f>
        <v>4942.8058799999999</v>
      </c>
    </row>
    <row r="299" spans="32:38" ht="14.1" customHeight="1" x14ac:dyDescent="0.45">
      <c r="AF299" s="988">
        <f>'DIY Grundmodell'!R386</f>
        <v>45328</v>
      </c>
      <c r="AG299" s="89">
        <f>'DIY Grundmodell'!S386</f>
        <v>454.72</v>
      </c>
      <c r="AH299" s="54">
        <f>'DIY Grundmodell'!T386</f>
        <v>9847.0589099999997</v>
      </c>
      <c r="AI299" s="89">
        <f>'DIY Grundmodell'!U386</f>
        <v>454.72</v>
      </c>
      <c r="AJ299" s="89">
        <f>'DIY Grundmodell'!V386</f>
        <v>9847.0589099999997</v>
      </c>
      <c r="AK299" s="989"/>
      <c r="AL299" s="33">
        <f>'DIY Grundmodell'!X386</f>
        <v>4954.2305100000003</v>
      </c>
    </row>
    <row r="300" spans="32:38" ht="14.1" customHeight="1" x14ac:dyDescent="0.45">
      <c r="AF300" s="988">
        <f>'DIY Grundmodell'!R387</f>
        <v>45329</v>
      </c>
      <c r="AG300" s="89">
        <f>'DIY Grundmodell'!S387</f>
        <v>469.59</v>
      </c>
      <c r="AH300" s="54">
        <f>'DIY Grundmodell'!T387</f>
        <v>10831.56012</v>
      </c>
      <c r="AI300" s="89">
        <f>'DIY Grundmodell'!U387</f>
        <v>469.59</v>
      </c>
      <c r="AJ300" s="89">
        <f>'DIY Grundmodell'!V387</f>
        <v>10831.56012</v>
      </c>
      <c r="AK300" s="989"/>
      <c r="AL300" s="33">
        <f>'DIY Grundmodell'!X387</f>
        <v>4995.0558499999997</v>
      </c>
    </row>
    <row r="301" spans="32:38" ht="14.1" customHeight="1" x14ac:dyDescent="0.45">
      <c r="AF301" s="988">
        <f>'DIY Grundmodell'!R388</f>
        <v>45330</v>
      </c>
      <c r="AG301" s="89">
        <f>'DIY Grundmodell'!S388</f>
        <v>470</v>
      </c>
      <c r="AH301" s="54">
        <f>'DIY Grundmodell'!T388</f>
        <v>8843.0955900000008</v>
      </c>
      <c r="AI301" s="89">
        <f>'DIY Grundmodell'!U388</f>
        <v>470</v>
      </c>
      <c r="AJ301" s="89">
        <f>'DIY Grundmodell'!V388</f>
        <v>8843.0955900000008</v>
      </c>
      <c r="AK301" s="989"/>
      <c r="AL301" s="33">
        <f>'DIY Grundmodell'!X388</f>
        <v>4997.9053700000004</v>
      </c>
    </row>
    <row r="302" spans="32:38" ht="14.1" customHeight="1" x14ac:dyDescent="0.45">
      <c r="AF302" s="988">
        <f>'DIY Grundmodell'!R389</f>
        <v>45331</v>
      </c>
      <c r="AG302" s="89">
        <f>'DIY Grundmodell'!S389</f>
        <v>468.11</v>
      </c>
      <c r="AH302" s="54">
        <f>'DIY Grundmodell'!T389</f>
        <v>8619.37356</v>
      </c>
      <c r="AI302" s="89">
        <f>'DIY Grundmodell'!U389</f>
        <v>468.11</v>
      </c>
      <c r="AJ302" s="89">
        <f>'DIY Grundmodell'!V389</f>
        <v>8619.37356</v>
      </c>
      <c r="AK302" s="989"/>
      <c r="AL302" s="33">
        <f>'DIY Grundmodell'!X389</f>
        <v>5026.6085800000001</v>
      </c>
    </row>
    <row r="303" spans="32:38" ht="14.1" customHeight="1" x14ac:dyDescent="0.45">
      <c r="AF303" s="988">
        <f>'DIY Grundmodell'!R390</f>
        <v>45332</v>
      </c>
      <c r="AG303" s="89" t="e">
        <f>'DIY Grundmodell'!S390</f>
        <v>#N/A</v>
      </c>
      <c r="AH303" s="54" t="e">
        <f>'DIY Grundmodell'!T390</f>
        <v>#N/A</v>
      </c>
      <c r="AI303" s="89">
        <f>'DIY Grundmodell'!U390</f>
        <v>468.11</v>
      </c>
      <c r="AJ303" s="89">
        <f>'DIY Grundmodell'!V390</f>
        <v>0</v>
      </c>
      <c r="AK303" s="989"/>
      <c r="AL303" s="33">
        <f>'DIY Grundmodell'!X390</f>
        <v>5026.6085800000001</v>
      </c>
    </row>
    <row r="304" spans="32:38" ht="14.1" customHeight="1" x14ac:dyDescent="0.45">
      <c r="AF304" s="988">
        <f>'DIY Grundmodell'!R391</f>
        <v>45333</v>
      </c>
      <c r="AG304" s="89" t="e">
        <f>'DIY Grundmodell'!S391</f>
        <v>#N/A</v>
      </c>
      <c r="AH304" s="54" t="e">
        <f>'DIY Grundmodell'!T391</f>
        <v>#N/A</v>
      </c>
      <c r="AI304" s="89">
        <f>'DIY Grundmodell'!U391</f>
        <v>468.11</v>
      </c>
      <c r="AJ304" s="89">
        <f>'DIY Grundmodell'!V391</f>
        <v>0</v>
      </c>
      <c r="AK304" s="989"/>
      <c r="AL304" s="33">
        <f>'DIY Grundmodell'!X391</f>
        <v>5026.6085800000001</v>
      </c>
    </row>
    <row r="305" spans="32:38" ht="14.1" customHeight="1" x14ac:dyDescent="0.45">
      <c r="AF305" s="988">
        <f>'DIY Grundmodell'!R392</f>
        <v>45334</v>
      </c>
      <c r="AG305" s="89">
        <f>'DIY Grundmodell'!S392</f>
        <v>468.9</v>
      </c>
      <c r="AH305" s="54">
        <f>'DIY Grundmodell'!T392</f>
        <v>9088.2024500000007</v>
      </c>
      <c r="AI305" s="89">
        <f>'DIY Grundmodell'!U392</f>
        <v>468.9</v>
      </c>
      <c r="AJ305" s="89">
        <f>'DIY Grundmodell'!V392</f>
        <v>9088.2024500000007</v>
      </c>
      <c r="AK305" s="989"/>
      <c r="AL305" s="33">
        <f>'DIY Grundmodell'!X392</f>
        <v>5021.8444799999997</v>
      </c>
    </row>
    <row r="306" spans="32:38" ht="14.1" customHeight="1" x14ac:dyDescent="0.45">
      <c r="AF306" s="988">
        <f>'DIY Grundmodell'!R393</f>
        <v>45335</v>
      </c>
      <c r="AG306" s="89">
        <f>'DIY Grundmodell'!S393</f>
        <v>460.12</v>
      </c>
      <c r="AH306" s="54">
        <f>'DIY Grundmodell'!T393</f>
        <v>9624.1469099999995</v>
      </c>
      <c r="AI306" s="89">
        <f>'DIY Grundmodell'!U393</f>
        <v>460.12</v>
      </c>
      <c r="AJ306" s="89">
        <f>'DIY Grundmodell'!V393</f>
        <v>9624.1469099999995</v>
      </c>
      <c r="AK306" s="989"/>
      <c r="AL306" s="33">
        <f>'DIY Grundmodell'!X393</f>
        <v>4953.16795</v>
      </c>
    </row>
    <row r="307" spans="32:38" ht="14.1" customHeight="1" x14ac:dyDescent="0.45">
      <c r="AF307" s="988">
        <f>'DIY Grundmodell'!R394</f>
        <v>45336</v>
      </c>
      <c r="AG307" s="89">
        <f>'DIY Grundmodell'!S394</f>
        <v>473.28</v>
      </c>
      <c r="AH307" s="54">
        <f>'DIY Grundmodell'!T394</f>
        <v>7978.7440299999998</v>
      </c>
      <c r="AI307" s="89">
        <f>'DIY Grundmodell'!U394</f>
        <v>473.28</v>
      </c>
      <c r="AJ307" s="89">
        <f>'DIY Grundmodell'!V394</f>
        <v>7978.7440299999998</v>
      </c>
      <c r="AK307" s="989"/>
      <c r="AL307" s="33">
        <f>'DIY Grundmodell'!X394</f>
        <v>5000.6200699999999</v>
      </c>
    </row>
    <row r="308" spans="32:38" ht="14.1" customHeight="1" x14ac:dyDescent="0.45">
      <c r="AF308" s="988">
        <f>'DIY Grundmodell'!R395</f>
        <v>45337</v>
      </c>
      <c r="AG308" s="89">
        <f>'DIY Grundmodell'!S395</f>
        <v>484.03</v>
      </c>
      <c r="AH308" s="54">
        <f>'DIY Grundmodell'!T395</f>
        <v>11719.49215</v>
      </c>
      <c r="AI308" s="89">
        <f>'DIY Grundmodell'!U395</f>
        <v>484.03</v>
      </c>
      <c r="AJ308" s="89">
        <f>'DIY Grundmodell'!V395</f>
        <v>11719.49215</v>
      </c>
      <c r="AK308" s="989"/>
      <c r="AL308" s="33">
        <f>'DIY Grundmodell'!X395</f>
        <v>5029.7347099999997</v>
      </c>
    </row>
    <row r="309" spans="32:38" ht="14.1" customHeight="1" x14ac:dyDescent="0.45">
      <c r="AF309" s="988">
        <f>'DIY Grundmodell'!R396</f>
        <v>45338</v>
      </c>
      <c r="AG309" s="89">
        <f>'DIY Grundmodell'!S396</f>
        <v>473.32</v>
      </c>
      <c r="AH309" s="54">
        <f>'DIY Grundmodell'!T396</f>
        <v>11040.00914</v>
      </c>
      <c r="AI309" s="89">
        <f>'DIY Grundmodell'!U396</f>
        <v>473.32</v>
      </c>
      <c r="AJ309" s="89">
        <f>'DIY Grundmodell'!V396</f>
        <v>11040.00914</v>
      </c>
      <c r="AK309" s="989"/>
      <c r="AL309" s="33">
        <f>'DIY Grundmodell'!X396</f>
        <v>5005.5684499999998</v>
      </c>
    </row>
    <row r="310" spans="32:38" ht="14.1" customHeight="1" x14ac:dyDescent="0.45">
      <c r="AF310" s="988">
        <f>'DIY Grundmodell'!R397</f>
        <v>45339</v>
      </c>
      <c r="AG310" s="89" t="e">
        <f>'DIY Grundmodell'!S397</f>
        <v>#N/A</v>
      </c>
      <c r="AH310" s="54" t="e">
        <f>'DIY Grundmodell'!T397</f>
        <v>#N/A</v>
      </c>
      <c r="AI310" s="89">
        <f>'DIY Grundmodell'!U397</f>
        <v>473.32</v>
      </c>
      <c r="AJ310" s="89">
        <f>'DIY Grundmodell'!V397</f>
        <v>0</v>
      </c>
      <c r="AK310" s="989"/>
      <c r="AL310" s="33">
        <f>'DIY Grundmodell'!X397</f>
        <v>5005.5684499999998</v>
      </c>
    </row>
    <row r="311" spans="32:38" ht="14.1" customHeight="1" x14ac:dyDescent="0.45">
      <c r="AF311" s="988">
        <f>'DIY Grundmodell'!R398</f>
        <v>45340</v>
      </c>
      <c r="AG311" s="89" t="e">
        <f>'DIY Grundmodell'!S398</f>
        <v>#N/A</v>
      </c>
      <c r="AH311" s="54" t="e">
        <f>'DIY Grundmodell'!T398</f>
        <v>#N/A</v>
      </c>
      <c r="AI311" s="89">
        <f>'DIY Grundmodell'!U398</f>
        <v>473.32</v>
      </c>
      <c r="AJ311" s="89">
        <f>'DIY Grundmodell'!V398</f>
        <v>0</v>
      </c>
      <c r="AK311" s="989"/>
      <c r="AL311" s="33">
        <f>'DIY Grundmodell'!X398</f>
        <v>5005.5684499999998</v>
      </c>
    </row>
    <row r="312" spans="32:38" ht="14.1" customHeight="1" x14ac:dyDescent="0.45">
      <c r="AF312" s="988">
        <f>'DIY Grundmodell'!R399</f>
        <v>45341</v>
      </c>
      <c r="AG312" s="89" t="e">
        <f>'DIY Grundmodell'!S399</f>
        <v>#N/A</v>
      </c>
      <c r="AH312" s="54" t="e">
        <f>'DIY Grundmodell'!T399</f>
        <v>#N/A</v>
      </c>
      <c r="AI312" s="89">
        <f>'DIY Grundmodell'!U399</f>
        <v>473.32</v>
      </c>
      <c r="AJ312" s="89">
        <f>'DIY Grundmodell'!V399</f>
        <v>0</v>
      </c>
      <c r="AK312" s="989"/>
      <c r="AL312" s="33">
        <f>'DIY Grundmodell'!X399</f>
        <v>5005.5684499999998</v>
      </c>
    </row>
    <row r="313" spans="32:38" ht="14.1" customHeight="1" x14ac:dyDescent="0.45">
      <c r="AF313" s="988">
        <f>'DIY Grundmodell'!R400</f>
        <v>45342</v>
      </c>
      <c r="AG313" s="89">
        <f>'DIY Grundmodell'!S400</f>
        <v>471.75</v>
      </c>
      <c r="AH313" s="54">
        <f>'DIY Grundmodell'!T400</f>
        <v>8498.8229800000008</v>
      </c>
      <c r="AI313" s="89">
        <f>'DIY Grundmodell'!U400</f>
        <v>471.75</v>
      </c>
      <c r="AJ313" s="89">
        <f>'DIY Grundmodell'!V400</f>
        <v>8498.8229800000008</v>
      </c>
      <c r="AK313" s="989"/>
      <c r="AL313" s="33">
        <f>'DIY Grundmodell'!X400</f>
        <v>4975.51127</v>
      </c>
    </row>
    <row r="314" spans="32:38" ht="14.1" customHeight="1" x14ac:dyDescent="0.45">
      <c r="AF314" s="988">
        <f>'DIY Grundmodell'!R401</f>
        <v>45343</v>
      </c>
      <c r="AG314" s="89">
        <f>'DIY Grundmodell'!S401</f>
        <v>468.03</v>
      </c>
      <c r="AH314" s="54">
        <f>'DIY Grundmodell'!T401</f>
        <v>6073.6487100000004</v>
      </c>
      <c r="AI314" s="89">
        <f>'DIY Grundmodell'!U401</f>
        <v>468.03</v>
      </c>
      <c r="AJ314" s="89">
        <f>'DIY Grundmodell'!V401</f>
        <v>6073.6487100000004</v>
      </c>
      <c r="AK314" s="989"/>
      <c r="AL314" s="33">
        <f>'DIY Grundmodell'!X401</f>
        <v>4981.7969999999996</v>
      </c>
    </row>
    <row r="315" spans="32:38" ht="14.1" customHeight="1" x14ac:dyDescent="0.45">
      <c r="AF315" s="988">
        <f>'DIY Grundmodell'!R402</f>
        <v>45344</v>
      </c>
      <c r="AG315" s="89">
        <f>'DIY Grundmodell'!S402</f>
        <v>486.13</v>
      </c>
      <c r="AH315" s="54">
        <f>'DIY Grundmodell'!T402</f>
        <v>10512.952590000001</v>
      </c>
      <c r="AI315" s="89">
        <f>'DIY Grundmodell'!U402</f>
        <v>486.13</v>
      </c>
      <c r="AJ315" s="89">
        <f>'DIY Grundmodell'!V402</f>
        <v>10512.952590000001</v>
      </c>
      <c r="AK315" s="989"/>
      <c r="AL315" s="33">
        <f>'DIY Grundmodell'!X402</f>
        <v>5087.0324300000002</v>
      </c>
    </row>
    <row r="316" spans="32:38" ht="14.1" customHeight="1" x14ac:dyDescent="0.45">
      <c r="AF316" s="988">
        <f>'DIY Grundmodell'!R403</f>
        <v>45345</v>
      </c>
      <c r="AG316" s="89">
        <f>'DIY Grundmodell'!S403</f>
        <v>484.03</v>
      </c>
      <c r="AH316" s="54">
        <f>'DIY Grundmodell'!T403</f>
        <v>8893.7056499999999</v>
      </c>
      <c r="AI316" s="89">
        <f>'DIY Grundmodell'!U403</f>
        <v>484.03</v>
      </c>
      <c r="AJ316" s="89">
        <f>'DIY Grundmodell'!V403</f>
        <v>8893.7056499999999</v>
      </c>
      <c r="AK316" s="989"/>
      <c r="AL316" s="33">
        <f>'DIY Grundmodell'!X403</f>
        <v>5088.7999499999996</v>
      </c>
    </row>
    <row r="317" spans="32:38" ht="14.1" customHeight="1" x14ac:dyDescent="0.45">
      <c r="AF317" s="988">
        <f>'DIY Grundmodell'!R404</f>
        <v>45346</v>
      </c>
      <c r="AG317" s="89" t="e">
        <f>'DIY Grundmodell'!S404</f>
        <v>#N/A</v>
      </c>
      <c r="AH317" s="54" t="e">
        <f>'DIY Grundmodell'!T404</f>
        <v>#N/A</v>
      </c>
      <c r="AI317" s="89">
        <f>'DIY Grundmodell'!U404</f>
        <v>484.03</v>
      </c>
      <c r="AJ317" s="89">
        <f>'DIY Grundmodell'!V404</f>
        <v>0</v>
      </c>
      <c r="AK317" s="989"/>
      <c r="AL317" s="33">
        <f>'DIY Grundmodell'!X404</f>
        <v>5088.7999499999996</v>
      </c>
    </row>
    <row r="318" spans="32:38" ht="14.1" customHeight="1" x14ac:dyDescent="0.45">
      <c r="AF318" s="988">
        <f>'DIY Grundmodell'!R405</f>
        <v>45347</v>
      </c>
      <c r="AG318" s="89" t="e">
        <f>'DIY Grundmodell'!S405</f>
        <v>#N/A</v>
      </c>
      <c r="AH318" s="54" t="e">
        <f>'DIY Grundmodell'!T405</f>
        <v>#N/A</v>
      </c>
      <c r="AI318" s="89">
        <f>'DIY Grundmodell'!U405</f>
        <v>484.03</v>
      </c>
      <c r="AJ318" s="89">
        <f>'DIY Grundmodell'!V405</f>
        <v>0</v>
      </c>
      <c r="AK318" s="989"/>
      <c r="AL318" s="33">
        <f>'DIY Grundmodell'!X405</f>
        <v>5088.7999499999996</v>
      </c>
    </row>
    <row r="319" spans="32:38" ht="14.1" customHeight="1" x14ac:dyDescent="0.45">
      <c r="AF319" s="988">
        <f>'DIY Grundmodell'!R406</f>
        <v>45348</v>
      </c>
      <c r="AG319" s="89">
        <f>'DIY Grundmodell'!S406</f>
        <v>481.74</v>
      </c>
      <c r="AH319" s="54">
        <f>'DIY Grundmodell'!T406</f>
        <v>5829.7356600000003</v>
      </c>
      <c r="AI319" s="89">
        <f>'DIY Grundmodell'!U406</f>
        <v>481.74</v>
      </c>
      <c r="AJ319" s="89">
        <f>'DIY Grundmodell'!V406</f>
        <v>5829.7356600000003</v>
      </c>
      <c r="AK319" s="989"/>
      <c r="AL319" s="33">
        <f>'DIY Grundmodell'!X406</f>
        <v>5069.5305099999996</v>
      </c>
    </row>
    <row r="320" spans="32:38" ht="14.1" customHeight="1" x14ac:dyDescent="0.45">
      <c r="AF320" s="988">
        <f>'DIY Grundmodell'!R407</f>
        <v>45349</v>
      </c>
      <c r="AG320" s="89">
        <f>'DIY Grundmodell'!S407</f>
        <v>487.05</v>
      </c>
      <c r="AH320" s="54">
        <f>'DIY Grundmodell'!T407</f>
        <v>5264.8132500000002</v>
      </c>
      <c r="AI320" s="89">
        <f>'DIY Grundmodell'!U407</f>
        <v>487.05</v>
      </c>
      <c r="AJ320" s="89">
        <f>'DIY Grundmodell'!V407</f>
        <v>5264.8132500000002</v>
      </c>
      <c r="AK320" s="989"/>
      <c r="AL320" s="33">
        <f>'DIY Grundmodell'!X407</f>
        <v>5078.1825200000003</v>
      </c>
    </row>
    <row r="321" spans="32:38" ht="14.1" customHeight="1" x14ac:dyDescent="0.45">
      <c r="AF321" s="988">
        <f>'DIY Grundmodell'!R408</f>
        <v>45350</v>
      </c>
      <c r="AG321" s="89">
        <f>'DIY Grundmodell'!S408</f>
        <v>484.02</v>
      </c>
      <c r="AH321" s="54">
        <f>'DIY Grundmodell'!T408</f>
        <v>6154.5495300000002</v>
      </c>
      <c r="AI321" s="89">
        <f>'DIY Grundmodell'!U408</f>
        <v>484.02</v>
      </c>
      <c r="AJ321" s="89">
        <f>'DIY Grundmodell'!V408</f>
        <v>6154.5495300000002</v>
      </c>
      <c r="AK321" s="989"/>
      <c r="AL321" s="33">
        <f>'DIY Grundmodell'!X408</f>
        <v>5069.7565100000002</v>
      </c>
    </row>
    <row r="322" spans="32:38" ht="14.1" customHeight="1" x14ac:dyDescent="0.45">
      <c r="AF322" s="988">
        <f>'DIY Grundmodell'!R409</f>
        <v>45351</v>
      </c>
      <c r="AG322" s="89">
        <f>'DIY Grundmodell'!S409</f>
        <v>490.13</v>
      </c>
      <c r="AH322" s="54">
        <f>'DIY Grundmodell'!T409</f>
        <v>8691.0072199999995</v>
      </c>
      <c r="AI322" s="89">
        <f>'DIY Grundmodell'!U409</f>
        <v>490.13</v>
      </c>
      <c r="AJ322" s="89">
        <f>'DIY Grundmodell'!V409</f>
        <v>8691.0072199999995</v>
      </c>
      <c r="AK322" s="989"/>
      <c r="AL322" s="33">
        <f>'DIY Grundmodell'!X409</f>
        <v>5096.2695000000003</v>
      </c>
    </row>
    <row r="323" spans="32:38" ht="14.1" customHeight="1" x14ac:dyDescent="0.45">
      <c r="AF323" s="988">
        <f>'DIY Grundmodell'!R410</f>
        <v>45352</v>
      </c>
      <c r="AG323" s="89">
        <f>'DIY Grundmodell'!S410</f>
        <v>502.3</v>
      </c>
      <c r="AH323" s="54">
        <f>'DIY Grundmodell'!T410</f>
        <v>7978.9762300000002</v>
      </c>
      <c r="AI323" s="89">
        <f>'DIY Grundmodell'!U410</f>
        <v>502.3</v>
      </c>
      <c r="AJ323" s="89">
        <f>'DIY Grundmodell'!V410</f>
        <v>7978.9762300000002</v>
      </c>
      <c r="AK323" s="989"/>
      <c r="AL323" s="33">
        <f>'DIY Grundmodell'!X410</f>
        <v>5137.0838000000003</v>
      </c>
    </row>
    <row r="324" spans="32:38" ht="14.1" customHeight="1" x14ac:dyDescent="0.45">
      <c r="AF324" s="988">
        <f>'DIY Grundmodell'!R411</f>
        <v>45353</v>
      </c>
      <c r="AG324" s="89" t="e">
        <f>'DIY Grundmodell'!S411</f>
        <v>#N/A</v>
      </c>
      <c r="AH324" s="54" t="e">
        <f>'DIY Grundmodell'!T411</f>
        <v>#N/A</v>
      </c>
      <c r="AI324" s="89">
        <f>'DIY Grundmodell'!U411</f>
        <v>502.3</v>
      </c>
      <c r="AJ324" s="89">
        <f>'DIY Grundmodell'!V411</f>
        <v>0</v>
      </c>
      <c r="AK324" s="989"/>
      <c r="AL324" s="33">
        <f>'DIY Grundmodell'!X411</f>
        <v>5137.0838000000003</v>
      </c>
    </row>
    <row r="325" spans="32:38" ht="14.1" customHeight="1" x14ac:dyDescent="0.45">
      <c r="AF325" s="988">
        <f>'DIY Grundmodell'!R412</f>
        <v>45354</v>
      </c>
      <c r="AG325" s="89" t="e">
        <f>'DIY Grundmodell'!S412</f>
        <v>#N/A</v>
      </c>
      <c r="AH325" s="54" t="e">
        <f>'DIY Grundmodell'!T412</f>
        <v>#N/A</v>
      </c>
      <c r="AI325" s="89">
        <f>'DIY Grundmodell'!U412</f>
        <v>502.3</v>
      </c>
      <c r="AJ325" s="89">
        <f>'DIY Grundmodell'!V412</f>
        <v>0</v>
      </c>
      <c r="AK325" s="989"/>
      <c r="AL325" s="33">
        <f>'DIY Grundmodell'!X412</f>
        <v>5137.0838000000003</v>
      </c>
    </row>
    <row r="326" spans="32:38" ht="14.1" customHeight="1" x14ac:dyDescent="0.45">
      <c r="AF326" s="988">
        <f>'DIY Grundmodell'!R413</f>
        <v>45355</v>
      </c>
      <c r="AG326" s="89">
        <f>'DIY Grundmodell'!S413</f>
        <v>498.19</v>
      </c>
      <c r="AH326" s="54">
        <f>'DIY Grundmodell'!T413</f>
        <v>6139.7638100000004</v>
      </c>
      <c r="AI326" s="89">
        <f>'DIY Grundmodell'!U413</f>
        <v>498.19</v>
      </c>
      <c r="AJ326" s="89">
        <f>'DIY Grundmodell'!V413</f>
        <v>6139.7638100000004</v>
      </c>
      <c r="AK326" s="989"/>
      <c r="AL326" s="33">
        <f>'DIY Grundmodell'!X413</f>
        <v>5130.9491500000004</v>
      </c>
    </row>
    <row r="327" spans="32:38" ht="14.1" customHeight="1" x14ac:dyDescent="0.45">
      <c r="AF327" s="988">
        <f>'DIY Grundmodell'!R414</f>
        <v>45356</v>
      </c>
      <c r="AG327" s="89">
        <f>'DIY Grundmodell'!S414</f>
        <v>490.22</v>
      </c>
      <c r="AH327" s="54">
        <f>'DIY Grundmodell'!T414</f>
        <v>7512.7680799999998</v>
      </c>
      <c r="AI327" s="89">
        <f>'DIY Grundmodell'!U414</f>
        <v>490.22</v>
      </c>
      <c r="AJ327" s="89">
        <f>'DIY Grundmodell'!V414</f>
        <v>7512.7680799999998</v>
      </c>
      <c r="AK327" s="989"/>
      <c r="AL327" s="33">
        <f>'DIY Grundmodell'!X414</f>
        <v>5078.6540000000005</v>
      </c>
    </row>
    <row r="328" spans="32:38" ht="14.1" customHeight="1" x14ac:dyDescent="0.45">
      <c r="AF328" s="988">
        <f>'DIY Grundmodell'!R415</f>
        <v>45357</v>
      </c>
      <c r="AG328" s="89">
        <f>'DIY Grundmodell'!S415</f>
        <v>496.09</v>
      </c>
      <c r="AH328" s="54">
        <f>'DIY Grundmodell'!T415</f>
        <v>5832.9890100000002</v>
      </c>
      <c r="AI328" s="89">
        <f>'DIY Grundmodell'!U415</f>
        <v>496.09</v>
      </c>
      <c r="AJ328" s="89">
        <f>'DIY Grundmodell'!V415</f>
        <v>5832.9890100000002</v>
      </c>
      <c r="AK328" s="989"/>
      <c r="AL328" s="33">
        <f>'DIY Grundmodell'!X415</f>
        <v>5104.7571600000001</v>
      </c>
    </row>
    <row r="329" spans="32:38" ht="14.1" customHeight="1" x14ac:dyDescent="0.45">
      <c r="AF329" s="988">
        <f>'DIY Grundmodell'!R416</f>
        <v>45358</v>
      </c>
      <c r="AG329" s="89">
        <f>'DIY Grundmodell'!S416</f>
        <v>512.19000000000005</v>
      </c>
      <c r="AH329" s="54">
        <f>'DIY Grundmodell'!T416</f>
        <v>9519.7871699999996</v>
      </c>
      <c r="AI329" s="89">
        <f>'DIY Grundmodell'!U416</f>
        <v>512.19000000000005</v>
      </c>
      <c r="AJ329" s="89">
        <f>'DIY Grundmodell'!V416</f>
        <v>9519.7871699999996</v>
      </c>
      <c r="AK329" s="989"/>
      <c r="AL329" s="33">
        <f>'DIY Grundmodell'!X416</f>
        <v>5157.3592799999997</v>
      </c>
    </row>
    <row r="330" spans="32:38" ht="14.1" customHeight="1" x14ac:dyDescent="0.45">
      <c r="AF330" s="988">
        <f>'DIY Grundmodell'!R417</f>
        <v>45359</v>
      </c>
      <c r="AG330" s="89">
        <f>'DIY Grundmodell'!S417</f>
        <v>505.95</v>
      </c>
      <c r="AH330" s="54">
        <f>'DIY Grundmodell'!T417</f>
        <v>9409.1820000000007</v>
      </c>
      <c r="AI330" s="89">
        <f>'DIY Grundmodell'!U417</f>
        <v>505.95</v>
      </c>
      <c r="AJ330" s="89">
        <f>'DIY Grundmodell'!V417</f>
        <v>9409.1820000000007</v>
      </c>
      <c r="AK330" s="989"/>
      <c r="AL330" s="33">
        <f>'DIY Grundmodell'!X417</f>
        <v>5123.6910900000003</v>
      </c>
    </row>
    <row r="331" spans="32:38" ht="14.1" customHeight="1" x14ac:dyDescent="0.45">
      <c r="AF331" s="988">
        <f>'DIY Grundmodell'!R418</f>
        <v>45360</v>
      </c>
      <c r="AG331" s="89" t="e">
        <f>'DIY Grundmodell'!S418</f>
        <v>#N/A</v>
      </c>
      <c r="AH331" s="54" t="e">
        <f>'DIY Grundmodell'!T418</f>
        <v>#N/A</v>
      </c>
      <c r="AI331" s="89">
        <f>'DIY Grundmodell'!U418</f>
        <v>505.95</v>
      </c>
      <c r="AJ331" s="89">
        <f>'DIY Grundmodell'!V418</f>
        <v>0</v>
      </c>
      <c r="AK331" s="989"/>
      <c r="AL331" s="33">
        <f>'DIY Grundmodell'!X418</f>
        <v>5123.6910900000003</v>
      </c>
    </row>
    <row r="332" spans="32:38" ht="14.1" customHeight="1" x14ac:dyDescent="0.45">
      <c r="AF332" s="988">
        <f>'DIY Grundmodell'!R419</f>
        <v>45361</v>
      </c>
      <c r="AG332" s="89" t="e">
        <f>'DIY Grundmodell'!S419</f>
        <v>#N/A</v>
      </c>
      <c r="AH332" s="54" t="e">
        <f>'DIY Grundmodell'!T419</f>
        <v>#N/A</v>
      </c>
      <c r="AI332" s="89">
        <f>'DIY Grundmodell'!U419</f>
        <v>505.95</v>
      </c>
      <c r="AJ332" s="89">
        <f>'DIY Grundmodell'!V419</f>
        <v>0</v>
      </c>
      <c r="AK332" s="989"/>
      <c r="AL332" s="33">
        <f>'DIY Grundmodell'!X419</f>
        <v>5123.6910900000003</v>
      </c>
    </row>
    <row r="333" spans="32:38" ht="14.1" customHeight="1" x14ac:dyDescent="0.45">
      <c r="AF333" s="988">
        <f>'DIY Grundmodell'!R420</f>
        <v>45362</v>
      </c>
      <c r="AG333" s="89">
        <f>'DIY Grundmodell'!S420</f>
        <v>483.59</v>
      </c>
      <c r="AH333" s="54">
        <f>'DIY Grundmodell'!T420</f>
        <v>9878.9090199999991</v>
      </c>
      <c r="AI333" s="89">
        <f>'DIY Grundmodell'!U420</f>
        <v>483.59</v>
      </c>
      <c r="AJ333" s="89">
        <f>'DIY Grundmodell'!V420</f>
        <v>9878.9090199999991</v>
      </c>
      <c r="AK333" s="989"/>
      <c r="AL333" s="33">
        <f>'DIY Grundmodell'!X420</f>
        <v>5117.9367599999996</v>
      </c>
    </row>
    <row r="334" spans="32:38" ht="14.1" customHeight="1" x14ac:dyDescent="0.45">
      <c r="AF334" s="988">
        <f>'DIY Grundmodell'!R421</f>
        <v>45363</v>
      </c>
      <c r="AG334" s="89">
        <f>'DIY Grundmodell'!S421</f>
        <v>499.75</v>
      </c>
      <c r="AH334" s="54">
        <f>'DIY Grundmodell'!T421</f>
        <v>7720.2539399999996</v>
      </c>
      <c r="AI334" s="89">
        <f>'DIY Grundmodell'!U421</f>
        <v>499.75</v>
      </c>
      <c r="AJ334" s="89">
        <f>'DIY Grundmodell'!V421</f>
        <v>7720.2539399999996</v>
      </c>
      <c r="AK334" s="989"/>
      <c r="AL334" s="33">
        <f>'DIY Grundmodell'!X421</f>
        <v>5175.2676199999996</v>
      </c>
    </row>
    <row r="335" spans="32:38" ht="14.1" customHeight="1" x14ac:dyDescent="0.45">
      <c r="AF335" s="988">
        <f>'DIY Grundmodell'!R422</f>
        <v>45364</v>
      </c>
      <c r="AG335" s="89">
        <f>'DIY Grundmodell'!S422</f>
        <v>495.57</v>
      </c>
      <c r="AH335" s="54">
        <f>'DIY Grundmodell'!T422</f>
        <v>5991.7663899999998</v>
      </c>
      <c r="AI335" s="89">
        <f>'DIY Grundmodell'!U422</f>
        <v>495.57</v>
      </c>
      <c r="AJ335" s="89">
        <f>'DIY Grundmodell'!V422</f>
        <v>5991.7663899999998</v>
      </c>
      <c r="AK335" s="989"/>
      <c r="AL335" s="33">
        <f>'DIY Grundmodell'!X422</f>
        <v>5165.31185</v>
      </c>
    </row>
    <row r="336" spans="32:38" ht="14.1" customHeight="1" x14ac:dyDescent="0.45">
      <c r="AF336" s="988">
        <f>'DIY Grundmodell'!R423</f>
        <v>45365</v>
      </c>
      <c r="AG336" s="89">
        <f>'DIY Grundmodell'!S423</f>
        <v>491.83</v>
      </c>
      <c r="AH336" s="54">
        <f>'DIY Grundmodell'!T423</f>
        <v>6206.9014900000002</v>
      </c>
      <c r="AI336" s="89">
        <f>'DIY Grundmodell'!U423</f>
        <v>491.83</v>
      </c>
      <c r="AJ336" s="89">
        <f>'DIY Grundmodell'!V423</f>
        <v>6206.9014900000002</v>
      </c>
      <c r="AK336" s="989"/>
      <c r="AL336" s="33">
        <f>'DIY Grundmodell'!X423</f>
        <v>5150.4799199999998</v>
      </c>
    </row>
    <row r="337" spans="32:38" ht="14.1" customHeight="1" x14ac:dyDescent="0.45">
      <c r="AF337" s="988">
        <f>'DIY Grundmodell'!R424</f>
        <v>45366</v>
      </c>
      <c r="AG337" s="89">
        <f>'DIY Grundmodell'!S424</f>
        <v>484.1</v>
      </c>
      <c r="AH337" s="54">
        <f>'DIY Grundmodell'!T424</f>
        <v>14113.246139999999</v>
      </c>
      <c r="AI337" s="89">
        <f>'DIY Grundmodell'!U424</f>
        <v>484.1</v>
      </c>
      <c r="AJ337" s="89">
        <f>'DIY Grundmodell'!V424</f>
        <v>14113.246139999999</v>
      </c>
      <c r="AK337" s="989"/>
      <c r="AL337" s="33">
        <f>'DIY Grundmodell'!X424</f>
        <v>5117.0882199999996</v>
      </c>
    </row>
    <row r="338" spans="32:38" ht="14.1" customHeight="1" x14ac:dyDescent="0.45">
      <c r="AF338" s="988">
        <f>'DIY Grundmodell'!R425</f>
        <v>45367</v>
      </c>
      <c r="AG338" s="89" t="e">
        <f>'DIY Grundmodell'!S425</f>
        <v>#N/A</v>
      </c>
      <c r="AH338" s="54" t="e">
        <f>'DIY Grundmodell'!T425</f>
        <v>#N/A</v>
      </c>
      <c r="AI338" s="89">
        <f>'DIY Grundmodell'!U425</f>
        <v>484.1</v>
      </c>
      <c r="AJ338" s="89">
        <f>'DIY Grundmodell'!V425</f>
        <v>0</v>
      </c>
      <c r="AK338" s="989"/>
      <c r="AL338" s="33">
        <f>'DIY Grundmodell'!X425</f>
        <v>5117.0882199999996</v>
      </c>
    </row>
    <row r="339" spans="32:38" ht="14.1" customHeight="1" x14ac:dyDescent="0.45">
      <c r="AF339" s="988">
        <f>'DIY Grundmodell'!R426</f>
        <v>45368</v>
      </c>
      <c r="AG339" s="89" t="e">
        <f>'DIY Grundmodell'!S426</f>
        <v>#N/A</v>
      </c>
      <c r="AH339" s="54" t="e">
        <f>'DIY Grundmodell'!T426</f>
        <v>#N/A</v>
      </c>
      <c r="AI339" s="89">
        <f>'DIY Grundmodell'!U426</f>
        <v>484.1</v>
      </c>
      <c r="AJ339" s="89">
        <f>'DIY Grundmodell'!V426</f>
        <v>0</v>
      </c>
      <c r="AK339" s="989"/>
      <c r="AL339" s="33">
        <f>'DIY Grundmodell'!X426</f>
        <v>5117.0882199999996</v>
      </c>
    </row>
    <row r="340" spans="32:38" ht="14.1" customHeight="1" x14ac:dyDescent="0.45">
      <c r="AF340" s="988">
        <f>'DIY Grundmodell'!R427</f>
        <v>45369</v>
      </c>
      <c r="AG340" s="89">
        <f>'DIY Grundmodell'!S427</f>
        <v>496.98</v>
      </c>
      <c r="AH340" s="54">
        <f>'DIY Grundmodell'!T427</f>
        <v>5842.12464</v>
      </c>
      <c r="AI340" s="89">
        <f>'DIY Grundmodell'!U427</f>
        <v>496.98</v>
      </c>
      <c r="AJ340" s="89">
        <f>'DIY Grundmodell'!V427</f>
        <v>5842.12464</v>
      </c>
      <c r="AK340" s="989"/>
      <c r="AL340" s="33">
        <f>'DIY Grundmodell'!X427</f>
        <v>5149.4174700000003</v>
      </c>
    </row>
    <row r="341" spans="32:38" ht="14.1" customHeight="1" x14ac:dyDescent="0.45">
      <c r="AF341" s="988">
        <f>'DIY Grundmodell'!R428</f>
        <v>45370</v>
      </c>
      <c r="AG341" s="89">
        <f>'DIY Grundmodell'!S428</f>
        <v>496.24</v>
      </c>
      <c r="AH341" s="54">
        <f>'DIY Grundmodell'!T428</f>
        <v>5410.5503699999999</v>
      </c>
      <c r="AI341" s="89">
        <f>'DIY Grundmodell'!U428</f>
        <v>496.24</v>
      </c>
      <c r="AJ341" s="89">
        <f>'DIY Grundmodell'!V428</f>
        <v>5410.5503699999999</v>
      </c>
      <c r="AK341" s="989"/>
      <c r="AL341" s="33">
        <f>'DIY Grundmodell'!X428</f>
        <v>5178.5092599999998</v>
      </c>
    </row>
    <row r="342" spans="32:38" ht="14.1" customHeight="1" x14ac:dyDescent="0.45">
      <c r="AF342" s="988">
        <f>'DIY Grundmodell'!R429</f>
        <v>45371</v>
      </c>
      <c r="AG342" s="89">
        <f>'DIY Grundmodell'!S429</f>
        <v>505.52</v>
      </c>
      <c r="AH342" s="54">
        <f>'DIY Grundmodell'!T429</f>
        <v>5920.1952700000002</v>
      </c>
      <c r="AI342" s="89">
        <f>'DIY Grundmodell'!U429</f>
        <v>505.52</v>
      </c>
      <c r="AJ342" s="89">
        <f>'DIY Grundmodell'!V429</f>
        <v>5920.1952700000002</v>
      </c>
      <c r="AK342" s="989"/>
      <c r="AL342" s="33">
        <f>'DIY Grundmodell'!X429</f>
        <v>5224.6232399999999</v>
      </c>
    </row>
    <row r="343" spans="32:38" ht="14.1" customHeight="1" x14ac:dyDescent="0.45">
      <c r="AF343" s="988">
        <f>'DIY Grundmodell'!R430</f>
        <v>45372</v>
      </c>
      <c r="AG343" s="89">
        <f>'DIY Grundmodell'!S430</f>
        <v>507.76</v>
      </c>
      <c r="AH343" s="54">
        <f>'DIY Grundmodell'!T430</f>
        <v>4931.6438799999996</v>
      </c>
      <c r="AI343" s="89">
        <f>'DIY Grundmodell'!U430</f>
        <v>507.76</v>
      </c>
      <c r="AJ343" s="89">
        <f>'DIY Grundmodell'!V430</f>
        <v>4931.6438799999996</v>
      </c>
      <c r="AK343" s="989"/>
      <c r="AL343" s="33">
        <f>'DIY Grundmodell'!X430</f>
        <v>5241.5328</v>
      </c>
    </row>
    <row r="344" spans="32:38" ht="14.1" customHeight="1" x14ac:dyDescent="0.45">
      <c r="AF344" s="988">
        <f>'DIY Grundmodell'!R431</f>
        <v>45373</v>
      </c>
      <c r="AG344" s="89">
        <f>'DIY Grundmodell'!S431</f>
        <v>509.58</v>
      </c>
      <c r="AH344" s="54">
        <f>'DIY Grundmodell'!T431</f>
        <v>4138.0917799999997</v>
      </c>
      <c r="AI344" s="89">
        <f>'DIY Grundmodell'!U431</f>
        <v>509.58</v>
      </c>
      <c r="AJ344" s="89">
        <f>'DIY Grundmodell'!V431</f>
        <v>4138.0917799999997</v>
      </c>
      <c r="AK344" s="989"/>
      <c r="AL344" s="33">
        <f>'DIY Grundmodell'!X431</f>
        <v>5234.1800599999997</v>
      </c>
    </row>
    <row r="345" spans="32:38" ht="14.1" customHeight="1" x14ac:dyDescent="0.45">
      <c r="AF345" s="988">
        <f>'DIY Grundmodell'!R432</f>
        <v>45374</v>
      </c>
      <c r="AG345" s="89" t="e">
        <f>'DIY Grundmodell'!S432</f>
        <v>#N/A</v>
      </c>
      <c r="AH345" s="54" t="e">
        <f>'DIY Grundmodell'!T432</f>
        <v>#N/A</v>
      </c>
      <c r="AI345" s="89">
        <f>'DIY Grundmodell'!U432</f>
        <v>509.58</v>
      </c>
      <c r="AJ345" s="89">
        <f>'DIY Grundmodell'!V432</f>
        <v>0</v>
      </c>
      <c r="AK345" s="989"/>
      <c r="AL345" s="33">
        <f>'DIY Grundmodell'!X432</f>
        <v>5234.1800599999997</v>
      </c>
    </row>
    <row r="346" spans="32:38" ht="14.1" customHeight="1" x14ac:dyDescent="0.45">
      <c r="AF346" s="988">
        <f>'DIY Grundmodell'!R433</f>
        <v>45375</v>
      </c>
      <c r="AG346" s="89" t="e">
        <f>'DIY Grundmodell'!S433</f>
        <v>#N/A</v>
      </c>
      <c r="AH346" s="54" t="e">
        <f>'DIY Grundmodell'!T433</f>
        <v>#N/A</v>
      </c>
      <c r="AI346" s="89">
        <f>'DIY Grundmodell'!U433</f>
        <v>509.58</v>
      </c>
      <c r="AJ346" s="89">
        <f>'DIY Grundmodell'!V433</f>
        <v>0</v>
      </c>
      <c r="AK346" s="989"/>
      <c r="AL346" s="33">
        <f>'DIY Grundmodell'!X433</f>
        <v>5234.1800599999997</v>
      </c>
    </row>
    <row r="347" spans="32:38" ht="14.1" customHeight="1" x14ac:dyDescent="0.45">
      <c r="AF347" s="988">
        <f>'DIY Grundmodell'!R434</f>
        <v>45376</v>
      </c>
      <c r="AG347" s="89">
        <f>'DIY Grundmodell'!S434</f>
        <v>503.02</v>
      </c>
      <c r="AH347" s="54">
        <f>'DIY Grundmodell'!T434</f>
        <v>4215.6179599999996</v>
      </c>
      <c r="AI347" s="89">
        <f>'DIY Grundmodell'!U434</f>
        <v>503.02</v>
      </c>
      <c r="AJ347" s="89">
        <f>'DIY Grundmodell'!V434</f>
        <v>4215.6179599999996</v>
      </c>
      <c r="AK347" s="989"/>
      <c r="AL347" s="33">
        <f>'DIY Grundmodell'!X434</f>
        <v>5218.1866200000004</v>
      </c>
    </row>
    <row r="348" spans="32:38" ht="14.1" customHeight="1" x14ac:dyDescent="0.45">
      <c r="AF348" s="988">
        <f>'DIY Grundmodell'!R435</f>
        <v>45377</v>
      </c>
      <c r="AG348" s="89">
        <f>'DIY Grundmodell'!S435</f>
        <v>495.89</v>
      </c>
      <c r="AH348" s="54">
        <f>'DIY Grundmodell'!T435</f>
        <v>5556.63688</v>
      </c>
      <c r="AI348" s="89">
        <f>'DIY Grundmodell'!U435</f>
        <v>495.89</v>
      </c>
      <c r="AJ348" s="89">
        <f>'DIY Grundmodell'!V435</f>
        <v>5556.63688</v>
      </c>
      <c r="AK348" s="989"/>
      <c r="AL348" s="33">
        <f>'DIY Grundmodell'!X435</f>
        <v>5203.5842000000002</v>
      </c>
    </row>
    <row r="349" spans="32:38" ht="14.1" customHeight="1" x14ac:dyDescent="0.45">
      <c r="AF349" s="988">
        <f>'DIY Grundmodell'!R436</f>
        <v>45378</v>
      </c>
      <c r="AG349" s="89">
        <f>'DIY Grundmodell'!S436</f>
        <v>493.86</v>
      </c>
      <c r="AH349" s="54">
        <f>'DIY Grundmodell'!T436</f>
        <v>4933.5013900000004</v>
      </c>
      <c r="AI349" s="89">
        <f>'DIY Grundmodell'!U436</f>
        <v>493.86</v>
      </c>
      <c r="AJ349" s="89">
        <f>'DIY Grundmodell'!V436</f>
        <v>4933.5013900000004</v>
      </c>
      <c r="AK349" s="989"/>
      <c r="AL349" s="33">
        <f>'DIY Grundmodell'!X436</f>
        <v>5248.4931299999998</v>
      </c>
    </row>
    <row r="350" spans="32:38" ht="14.1" customHeight="1" x14ac:dyDescent="0.45">
      <c r="AF350" s="988">
        <f>'DIY Grundmodell'!R437</f>
        <v>45379</v>
      </c>
      <c r="AG350" s="89">
        <f>'DIY Grundmodell'!S437</f>
        <v>485.58</v>
      </c>
      <c r="AH350" s="54">
        <f>'DIY Grundmodell'!T437</f>
        <v>7387.0139399999998</v>
      </c>
      <c r="AI350" s="89">
        <f>'DIY Grundmodell'!U437</f>
        <v>485.58</v>
      </c>
      <c r="AJ350" s="89">
        <f>'DIY Grundmodell'!V437</f>
        <v>7387.0139399999998</v>
      </c>
      <c r="AK350" s="989"/>
      <c r="AL350" s="33">
        <f>'DIY Grundmodell'!X437</f>
        <v>5254.3544000000002</v>
      </c>
    </row>
    <row r="351" spans="32:38" ht="14.1" customHeight="1" x14ac:dyDescent="0.45">
      <c r="AF351" s="988">
        <f>'DIY Grundmodell'!R438</f>
        <v>45380</v>
      </c>
      <c r="AG351" s="89" t="e">
        <f>'DIY Grundmodell'!S438</f>
        <v>#N/A</v>
      </c>
      <c r="AH351" s="54" t="e">
        <f>'DIY Grundmodell'!T438</f>
        <v>#N/A</v>
      </c>
      <c r="AI351" s="89">
        <f>'DIY Grundmodell'!U438</f>
        <v>485.58</v>
      </c>
      <c r="AJ351" s="89">
        <f>'DIY Grundmodell'!V438</f>
        <v>0</v>
      </c>
      <c r="AK351" s="989"/>
      <c r="AL351" s="33">
        <f>'DIY Grundmodell'!X438</f>
        <v>5254.3544000000002</v>
      </c>
    </row>
    <row r="352" spans="32:38" ht="14.1" customHeight="1" x14ac:dyDescent="0.45">
      <c r="AF352" s="988">
        <f>'DIY Grundmodell'!R439</f>
        <v>45381</v>
      </c>
      <c r="AG352" s="89" t="e">
        <f>'DIY Grundmodell'!S439</f>
        <v>#N/A</v>
      </c>
      <c r="AH352" s="54" t="e">
        <f>'DIY Grundmodell'!T439</f>
        <v>#N/A</v>
      </c>
      <c r="AI352" s="89">
        <f>'DIY Grundmodell'!U439</f>
        <v>485.58</v>
      </c>
      <c r="AJ352" s="89">
        <f>'DIY Grundmodell'!V439</f>
        <v>0</v>
      </c>
      <c r="AK352" s="989"/>
      <c r="AL352" s="33">
        <f>'DIY Grundmodell'!X439</f>
        <v>5254.3544000000002</v>
      </c>
    </row>
    <row r="353" spans="32:38" ht="14.1" customHeight="1" x14ac:dyDescent="0.45">
      <c r="AF353" s="988">
        <f>'DIY Grundmodell'!R440</f>
        <v>45382</v>
      </c>
      <c r="AG353" s="89" t="e">
        <f>'DIY Grundmodell'!S440</f>
        <v>#N/A</v>
      </c>
      <c r="AH353" s="54" t="e">
        <f>'DIY Grundmodell'!T440</f>
        <v>#N/A</v>
      </c>
      <c r="AI353" s="89">
        <f>'DIY Grundmodell'!U440</f>
        <v>485.58</v>
      </c>
      <c r="AJ353" s="89">
        <f>'DIY Grundmodell'!V440</f>
        <v>0</v>
      </c>
      <c r="AK353" s="989"/>
      <c r="AL353" s="33">
        <f>'DIY Grundmodell'!X440</f>
        <v>5254.3544000000002</v>
      </c>
    </row>
    <row r="354" spans="32:38" ht="14.1" customHeight="1" x14ac:dyDescent="0.45">
      <c r="AF354" s="988">
        <f>'DIY Grundmodell'!R441</f>
        <v>45383</v>
      </c>
      <c r="AG354" s="89">
        <f>'DIY Grundmodell'!S441</f>
        <v>491.35</v>
      </c>
      <c r="AH354" s="54">
        <f>'DIY Grundmodell'!T441</f>
        <v>4543.5168899999999</v>
      </c>
      <c r="AI354" s="89">
        <f>'DIY Grundmodell'!U441</f>
        <v>491.35</v>
      </c>
      <c r="AJ354" s="89">
        <f>'DIY Grundmodell'!V441</f>
        <v>4543.5168899999999</v>
      </c>
      <c r="AK354" s="989"/>
      <c r="AL354" s="33">
        <f>'DIY Grundmodell'!X441</f>
        <v>5243.7729499999996</v>
      </c>
    </row>
    <row r="355" spans="32:38" ht="14.1" customHeight="1" x14ac:dyDescent="0.45">
      <c r="AF355" s="988">
        <f>'DIY Grundmodell'!R442</f>
        <v>45384</v>
      </c>
      <c r="AG355" s="89">
        <f>'DIY Grundmodell'!S442</f>
        <v>497.37</v>
      </c>
      <c r="AH355" s="54">
        <f>'DIY Grundmodell'!T442</f>
        <v>5511.3698999999997</v>
      </c>
      <c r="AI355" s="89">
        <f>'DIY Grundmodell'!U442</f>
        <v>497.37</v>
      </c>
      <c r="AJ355" s="89">
        <f>'DIY Grundmodell'!V442</f>
        <v>5511.3698999999997</v>
      </c>
      <c r="AK355" s="989"/>
      <c r="AL355" s="33">
        <f>'DIY Grundmodell'!X442</f>
        <v>5205.8110900000001</v>
      </c>
    </row>
    <row r="356" spans="32:38" ht="14.1" customHeight="1" x14ac:dyDescent="0.45">
      <c r="AF356" s="988">
        <f>'DIY Grundmodell'!R443</f>
        <v>45385</v>
      </c>
      <c r="AG356" s="89">
        <f>'DIY Grundmodell'!S443</f>
        <v>506.74</v>
      </c>
      <c r="AH356" s="54">
        <f>'DIY Grundmodell'!T443</f>
        <v>6131.1339099999996</v>
      </c>
      <c r="AI356" s="89">
        <f>'DIY Grundmodell'!U443</f>
        <v>506.74</v>
      </c>
      <c r="AJ356" s="89">
        <f>'DIY Grundmodell'!V443</f>
        <v>6131.1339099999996</v>
      </c>
      <c r="AK356" s="989"/>
      <c r="AL356" s="33">
        <f>'DIY Grundmodell'!X443</f>
        <v>5211.4860900000003</v>
      </c>
    </row>
    <row r="357" spans="32:38" ht="14.1" customHeight="1" x14ac:dyDescent="0.45">
      <c r="AF357" s="988">
        <f>'DIY Grundmodell'!R444</f>
        <v>45386</v>
      </c>
      <c r="AG357" s="89">
        <f>'DIY Grundmodell'!S444</f>
        <v>510.92</v>
      </c>
      <c r="AH357" s="54">
        <f>'DIY Grundmodell'!T444</f>
        <v>13527.24718</v>
      </c>
      <c r="AI357" s="89">
        <f>'DIY Grundmodell'!U444</f>
        <v>510.92</v>
      </c>
      <c r="AJ357" s="89">
        <f>'DIY Grundmodell'!V444</f>
        <v>13527.24718</v>
      </c>
      <c r="AK357" s="989"/>
      <c r="AL357" s="33">
        <f>'DIY Grundmodell'!X444</f>
        <v>5147.2089800000003</v>
      </c>
    </row>
    <row r="358" spans="32:38" ht="14.1" customHeight="1" x14ac:dyDescent="0.45">
      <c r="AF358" s="988">
        <f>'DIY Grundmodell'!R445</f>
        <v>45387</v>
      </c>
      <c r="AG358" s="89">
        <f>'DIY Grundmodell'!S445</f>
        <v>527.34</v>
      </c>
      <c r="AH358" s="54">
        <f>'DIY Grundmodell'!T445</f>
        <v>10158.29017</v>
      </c>
      <c r="AI358" s="89">
        <f>'DIY Grundmodell'!U445</f>
        <v>527.34</v>
      </c>
      <c r="AJ358" s="89">
        <f>'DIY Grundmodell'!V445</f>
        <v>10158.29017</v>
      </c>
      <c r="AK358" s="989"/>
      <c r="AL358" s="33">
        <f>'DIY Grundmodell'!X445</f>
        <v>5204.3351400000001</v>
      </c>
    </row>
    <row r="359" spans="32:38" ht="14.1" customHeight="1" x14ac:dyDescent="0.45">
      <c r="AF359" s="988">
        <f>'DIY Grundmodell'!R446</f>
        <v>45388</v>
      </c>
      <c r="AG359" s="89" t="e">
        <f>'DIY Grundmodell'!S446</f>
        <v>#N/A</v>
      </c>
      <c r="AH359" s="54" t="e">
        <f>'DIY Grundmodell'!T446</f>
        <v>#N/A</v>
      </c>
      <c r="AI359" s="89">
        <f>'DIY Grundmodell'!U446</f>
        <v>527.34</v>
      </c>
      <c r="AJ359" s="89">
        <f>'DIY Grundmodell'!V446</f>
        <v>0</v>
      </c>
      <c r="AK359" s="989"/>
      <c r="AL359" s="33">
        <f>'DIY Grundmodell'!X446</f>
        <v>5204.3351400000001</v>
      </c>
    </row>
    <row r="360" spans="32:38" ht="14.1" customHeight="1" x14ac:dyDescent="0.45">
      <c r="AF360" s="988">
        <f>'DIY Grundmodell'!R447</f>
        <v>45389</v>
      </c>
      <c r="AG360" s="89" t="e">
        <f>'DIY Grundmodell'!S447</f>
        <v>#N/A</v>
      </c>
      <c r="AH360" s="54" t="e">
        <f>'DIY Grundmodell'!T447</f>
        <v>#N/A</v>
      </c>
      <c r="AI360" s="89">
        <f>'DIY Grundmodell'!U447</f>
        <v>527.34</v>
      </c>
      <c r="AJ360" s="89">
        <f>'DIY Grundmodell'!V447</f>
        <v>0</v>
      </c>
      <c r="AK360" s="989"/>
      <c r="AL360" s="33">
        <f>'DIY Grundmodell'!X447</f>
        <v>5204.3351400000001</v>
      </c>
    </row>
    <row r="361" spans="32:38" ht="14.1" customHeight="1" x14ac:dyDescent="0.45">
      <c r="AF361" s="988">
        <f>'DIY Grundmodell'!R448</f>
        <v>45390</v>
      </c>
      <c r="AG361" s="89">
        <f>'DIY Grundmodell'!S448</f>
        <v>519.25</v>
      </c>
      <c r="AH361" s="54">
        <f>'DIY Grundmodell'!T448</f>
        <v>6885.5556500000002</v>
      </c>
      <c r="AI361" s="89">
        <f>'DIY Grundmodell'!U448</f>
        <v>519.25</v>
      </c>
      <c r="AJ361" s="89">
        <f>'DIY Grundmodell'!V448</f>
        <v>6885.5556500000002</v>
      </c>
      <c r="AK361" s="989"/>
      <c r="AL361" s="33">
        <f>'DIY Grundmodell'!X448</f>
        <v>5202.3919299999998</v>
      </c>
    </row>
    <row r="362" spans="32:38" ht="14.1" customHeight="1" x14ac:dyDescent="0.45">
      <c r="AF362" s="988">
        <f>'DIY Grundmodell'!R449</f>
        <v>45391</v>
      </c>
      <c r="AG362" s="89">
        <f>'DIY Grundmodell'!S449</f>
        <v>516.9</v>
      </c>
      <c r="AH362" s="54">
        <f>'DIY Grundmodell'!T449</f>
        <v>5624.6189199999999</v>
      </c>
      <c r="AI362" s="89">
        <f>'DIY Grundmodell'!U449</f>
        <v>516.9</v>
      </c>
      <c r="AJ362" s="89">
        <f>'DIY Grundmodell'!V449</f>
        <v>5624.6189199999999</v>
      </c>
      <c r="AK362" s="989"/>
      <c r="AL362" s="33">
        <f>'DIY Grundmodell'!X449</f>
        <v>5209.9108399999996</v>
      </c>
    </row>
    <row r="363" spans="32:38" ht="14.1" customHeight="1" x14ac:dyDescent="0.45">
      <c r="AF363" s="988">
        <f>'DIY Grundmodell'!R450</f>
        <v>45392</v>
      </c>
      <c r="AG363" s="89">
        <f>'DIY Grundmodell'!S450</f>
        <v>519.83000000000004</v>
      </c>
      <c r="AH363" s="54">
        <f>'DIY Grundmodell'!T450</f>
        <v>5935.67418</v>
      </c>
      <c r="AI363" s="89">
        <f>'DIY Grundmodell'!U450</f>
        <v>519.83000000000004</v>
      </c>
      <c r="AJ363" s="89">
        <f>'DIY Grundmodell'!V450</f>
        <v>5935.67418</v>
      </c>
      <c r="AK363" s="989"/>
      <c r="AL363" s="33">
        <f>'DIY Grundmodell'!X450</f>
        <v>5160.6397900000002</v>
      </c>
    </row>
    <row r="364" spans="32:38" ht="14.1" customHeight="1" x14ac:dyDescent="0.45">
      <c r="AF364" s="988">
        <f>'DIY Grundmodell'!R451</f>
        <v>45393</v>
      </c>
      <c r="AG364" s="89">
        <f>'DIY Grundmodell'!S451</f>
        <v>523.16</v>
      </c>
      <c r="AH364" s="54">
        <f>'DIY Grundmodell'!T451</f>
        <v>5424.8914000000004</v>
      </c>
      <c r="AI364" s="89">
        <f>'DIY Grundmodell'!U451</f>
        <v>523.16</v>
      </c>
      <c r="AJ364" s="89">
        <f>'DIY Grundmodell'!V451</f>
        <v>5424.8914000000004</v>
      </c>
      <c r="AK364" s="989"/>
      <c r="AL364" s="33">
        <f>'DIY Grundmodell'!X451</f>
        <v>5199.0567700000001</v>
      </c>
    </row>
    <row r="365" spans="32:38" ht="14.1" customHeight="1" x14ac:dyDescent="0.45">
      <c r="AF365" s="988">
        <f>'DIY Grundmodell'!R452</f>
        <v>45394</v>
      </c>
      <c r="AG365" s="89">
        <f>'DIY Grundmodell'!S452</f>
        <v>511.9</v>
      </c>
      <c r="AH365" s="54">
        <f>'DIY Grundmodell'!T452</f>
        <v>6134.8834699999998</v>
      </c>
      <c r="AI365" s="89">
        <f>'DIY Grundmodell'!U452</f>
        <v>511.9</v>
      </c>
      <c r="AJ365" s="89">
        <f>'DIY Grundmodell'!V452</f>
        <v>6134.8834699999998</v>
      </c>
      <c r="AK365" s="989"/>
      <c r="AL365" s="33">
        <f>'DIY Grundmodell'!X452</f>
        <v>5123.4068200000002</v>
      </c>
    </row>
    <row r="366" spans="32:38" ht="14.1" customHeight="1" x14ac:dyDescent="0.45">
      <c r="AF366" s="988">
        <f>'DIY Grundmodell'!R453</f>
        <v>45395</v>
      </c>
      <c r="AG366" s="89" t="e">
        <f>'DIY Grundmodell'!S453</f>
        <v>#N/A</v>
      </c>
      <c r="AH366" s="54" t="e">
        <f>'DIY Grundmodell'!T453</f>
        <v>#N/A</v>
      </c>
      <c r="AI366" s="89">
        <f>'DIY Grundmodell'!U453</f>
        <v>511.9</v>
      </c>
      <c r="AJ366" s="89">
        <f>'DIY Grundmodell'!V453</f>
        <v>0</v>
      </c>
      <c r="AK366" s="989"/>
      <c r="AL366" s="33">
        <f>'DIY Grundmodell'!X453</f>
        <v>5123.4068200000002</v>
      </c>
    </row>
    <row r="367" spans="32:38" ht="14.1" customHeight="1" x14ac:dyDescent="0.45">
      <c r="AF367" s="988">
        <f>'DIY Grundmodell'!R454</f>
        <v>45396</v>
      </c>
      <c r="AG367" s="89" t="e">
        <f>'DIY Grundmodell'!S454</f>
        <v>#N/A</v>
      </c>
      <c r="AH367" s="54" t="e">
        <f>'DIY Grundmodell'!T454</f>
        <v>#N/A</v>
      </c>
      <c r="AI367" s="89">
        <f>'DIY Grundmodell'!U454</f>
        <v>511.9</v>
      </c>
      <c r="AJ367" s="89">
        <f>'DIY Grundmodell'!V454</f>
        <v>0</v>
      </c>
      <c r="AK367" s="989"/>
      <c r="AL367" s="33">
        <f>'DIY Grundmodell'!X454</f>
        <v>5123.4068200000002</v>
      </c>
    </row>
    <row r="368" spans="32:38" ht="14.1" customHeight="1" x14ac:dyDescent="0.45">
      <c r="AF368" s="988">
        <f>'DIY Grundmodell'!R455</f>
        <v>45397</v>
      </c>
      <c r="AG368" s="89">
        <f>'DIY Grundmodell'!S455</f>
        <v>500.23</v>
      </c>
      <c r="AH368" s="54">
        <f>'DIY Grundmodell'!T455</f>
        <v>6759.55447</v>
      </c>
      <c r="AI368" s="89">
        <f>'DIY Grundmodell'!U455</f>
        <v>500.23</v>
      </c>
      <c r="AJ368" s="89">
        <f>'DIY Grundmodell'!V455</f>
        <v>6759.55447</v>
      </c>
      <c r="AK368" s="989"/>
      <c r="AL368" s="33">
        <f>'DIY Grundmodell'!X455</f>
        <v>5061.8155299999999</v>
      </c>
    </row>
    <row r="369" spans="32:38" ht="14.1" customHeight="1" x14ac:dyDescent="0.45">
      <c r="AF369" s="988">
        <f>'DIY Grundmodell'!R456</f>
        <v>45398</v>
      </c>
      <c r="AG369" s="89">
        <f>'DIY Grundmodell'!S456</f>
        <v>499.76</v>
      </c>
      <c r="AH369" s="54">
        <f>'DIY Grundmodell'!T456</f>
        <v>4921.5990000000002</v>
      </c>
      <c r="AI369" s="89">
        <f>'DIY Grundmodell'!U456</f>
        <v>499.76</v>
      </c>
      <c r="AJ369" s="89">
        <f>'DIY Grundmodell'!V456</f>
        <v>4921.5990000000002</v>
      </c>
      <c r="AK369" s="989"/>
      <c r="AL369" s="33">
        <f>'DIY Grundmodell'!X456</f>
        <v>5051.4139500000001</v>
      </c>
    </row>
    <row r="370" spans="32:38" ht="14.1" customHeight="1" x14ac:dyDescent="0.45">
      <c r="AF370" s="988">
        <f>'DIY Grundmodell'!R457</f>
        <v>45399</v>
      </c>
      <c r="AG370" s="89">
        <f>'DIY Grundmodell'!S457</f>
        <v>494.17</v>
      </c>
      <c r="AH370" s="54">
        <f>'DIY Grundmodell'!T457</f>
        <v>6025.7819799999997</v>
      </c>
      <c r="AI370" s="89">
        <f>'DIY Grundmodell'!U457</f>
        <v>494.17</v>
      </c>
      <c r="AJ370" s="89">
        <f>'DIY Grundmodell'!V457</f>
        <v>6025.7819799999997</v>
      </c>
      <c r="AK370" s="989"/>
      <c r="AL370" s="33">
        <f>'DIY Grundmodell'!X457</f>
        <v>5022.2080400000004</v>
      </c>
    </row>
    <row r="371" spans="32:38" ht="14.1" customHeight="1" x14ac:dyDescent="0.45">
      <c r="AF371" s="988">
        <f>'DIY Grundmodell'!R458</f>
        <v>45400</v>
      </c>
      <c r="AG371" s="89">
        <f>'DIY Grundmodell'!S458</f>
        <v>501.8</v>
      </c>
      <c r="AH371" s="54">
        <f>'DIY Grundmodell'!T458</f>
        <v>7430.9906099999998</v>
      </c>
      <c r="AI371" s="89">
        <f>'DIY Grundmodell'!U458</f>
        <v>501.8</v>
      </c>
      <c r="AJ371" s="89">
        <f>'DIY Grundmodell'!V458</f>
        <v>7430.9906099999998</v>
      </c>
      <c r="AK371" s="989"/>
      <c r="AL371" s="33">
        <f>'DIY Grundmodell'!X458</f>
        <v>5011.1227500000005</v>
      </c>
    </row>
    <row r="372" spans="32:38" ht="14.1" customHeight="1" x14ac:dyDescent="0.45">
      <c r="AF372" s="988">
        <f>'DIY Grundmodell'!R459</f>
        <v>45401</v>
      </c>
      <c r="AG372" s="89">
        <f>'DIY Grundmodell'!S459</f>
        <v>481.07</v>
      </c>
      <c r="AH372" s="54">
        <f>'DIY Grundmodell'!T459</f>
        <v>12130.355159999999</v>
      </c>
      <c r="AI372" s="89">
        <f>'DIY Grundmodell'!U459</f>
        <v>481.07</v>
      </c>
      <c r="AJ372" s="89">
        <f>'DIY Grundmodell'!V459</f>
        <v>12130.355159999999</v>
      </c>
      <c r="AK372" s="989"/>
      <c r="AL372" s="33">
        <f>'DIY Grundmodell'!X459</f>
        <v>4967.2349000000004</v>
      </c>
    </row>
    <row r="373" spans="32:38" ht="14.1" customHeight="1" x14ac:dyDescent="0.45">
      <c r="AF373" s="988">
        <f>'DIY Grundmodell'!R460</f>
        <v>45402</v>
      </c>
      <c r="AG373" s="89" t="e">
        <f>'DIY Grundmodell'!S460</f>
        <v>#N/A</v>
      </c>
      <c r="AH373" s="54" t="e">
        <f>'DIY Grundmodell'!T460</f>
        <v>#N/A</v>
      </c>
      <c r="AI373" s="89">
        <f>'DIY Grundmodell'!U460</f>
        <v>481.07</v>
      </c>
      <c r="AJ373" s="89">
        <f>'DIY Grundmodell'!V460</f>
        <v>0</v>
      </c>
      <c r="AK373" s="989"/>
      <c r="AL373" s="33">
        <f>'DIY Grundmodell'!X460</f>
        <v>4967.2349000000004</v>
      </c>
    </row>
    <row r="374" spans="32:38" ht="14.1" customHeight="1" x14ac:dyDescent="0.45">
      <c r="AF374" s="988">
        <f>'DIY Grundmodell'!R461</f>
        <v>45403</v>
      </c>
      <c r="AG374" s="89" t="e">
        <f>'DIY Grundmodell'!S461</f>
        <v>#N/A</v>
      </c>
      <c r="AH374" s="54" t="e">
        <f>'DIY Grundmodell'!T461</f>
        <v>#N/A</v>
      </c>
      <c r="AI374" s="89">
        <f>'DIY Grundmodell'!U461</f>
        <v>481.07</v>
      </c>
      <c r="AJ374" s="89">
        <f>'DIY Grundmodell'!V461</f>
        <v>0</v>
      </c>
      <c r="AK374" s="989"/>
      <c r="AL374" s="33">
        <f>'DIY Grundmodell'!X461</f>
        <v>4967.2349000000004</v>
      </c>
    </row>
    <row r="375" spans="32:38" ht="14.1" customHeight="1" x14ac:dyDescent="0.45">
      <c r="AF375" s="988">
        <f>'DIY Grundmodell'!R462</f>
        <v>45404</v>
      </c>
      <c r="AG375" s="89">
        <f>'DIY Grundmodell'!S462</f>
        <v>481.73</v>
      </c>
      <c r="AH375" s="54">
        <f>'DIY Grundmodell'!T462</f>
        <v>8320.0190500000008</v>
      </c>
      <c r="AI375" s="89">
        <f>'DIY Grundmodell'!U462</f>
        <v>481.73</v>
      </c>
      <c r="AJ375" s="89">
        <f>'DIY Grundmodell'!V462</f>
        <v>8320.0190500000008</v>
      </c>
      <c r="AK375" s="989"/>
      <c r="AL375" s="33">
        <f>'DIY Grundmodell'!X462</f>
        <v>5010.6046399999996</v>
      </c>
    </row>
    <row r="376" spans="32:38" ht="14.1" customHeight="1" x14ac:dyDescent="0.45">
      <c r="AF376" s="988">
        <f>'DIY Grundmodell'!R463</f>
        <v>45405</v>
      </c>
      <c r="AG376" s="89">
        <f>'DIY Grundmodell'!S463</f>
        <v>496.1</v>
      </c>
      <c r="AH376" s="54">
        <f>'DIY Grundmodell'!T463</f>
        <v>7480.7891399999999</v>
      </c>
      <c r="AI376" s="89">
        <f>'DIY Grundmodell'!U463</f>
        <v>496.1</v>
      </c>
      <c r="AJ376" s="89">
        <f>'DIY Grundmodell'!V463</f>
        <v>7480.7891399999999</v>
      </c>
      <c r="AK376" s="989"/>
      <c r="AL376" s="33">
        <f>'DIY Grundmodell'!X463</f>
        <v>5070.55123</v>
      </c>
    </row>
    <row r="377" spans="32:38" ht="14.1" customHeight="1" x14ac:dyDescent="0.45">
      <c r="AF377" s="988">
        <f>'DIY Grundmodell'!R464</f>
        <v>45406</v>
      </c>
      <c r="AG377" s="89">
        <f>'DIY Grundmodell'!S464</f>
        <v>493.5</v>
      </c>
      <c r="AH377" s="54">
        <f>'DIY Grundmodell'!T464</f>
        <v>18640.8161</v>
      </c>
      <c r="AI377" s="89">
        <f>'DIY Grundmodell'!U464</f>
        <v>493.5</v>
      </c>
      <c r="AJ377" s="89">
        <f>'DIY Grundmodell'!V464</f>
        <v>18640.8161</v>
      </c>
      <c r="AK377" s="989"/>
      <c r="AL377" s="33">
        <f>'DIY Grundmodell'!X464</f>
        <v>5071.6284699999997</v>
      </c>
    </row>
    <row r="378" spans="32:38" ht="14.1" customHeight="1" x14ac:dyDescent="0.45">
      <c r="AF378" s="988">
        <f>'DIY Grundmodell'!R465</f>
        <v>45407</v>
      </c>
      <c r="AG378" s="89">
        <f>'DIY Grundmodell'!S465</f>
        <v>441.38</v>
      </c>
      <c r="AH378" s="54">
        <f>'DIY Grundmodell'!T465</f>
        <v>36586.315260000003</v>
      </c>
      <c r="AI378" s="89">
        <f>'DIY Grundmodell'!U465</f>
        <v>441.38</v>
      </c>
      <c r="AJ378" s="89">
        <f>'DIY Grundmodell'!V465</f>
        <v>36586.315260000003</v>
      </c>
      <c r="AK378" s="989"/>
      <c r="AL378" s="33">
        <f>'DIY Grundmodell'!X465</f>
        <v>5048.4157100000002</v>
      </c>
    </row>
    <row r="379" spans="32:38" ht="14.1" customHeight="1" x14ac:dyDescent="0.45">
      <c r="AF379" s="988">
        <f>'DIY Grundmodell'!R466</f>
        <v>45408</v>
      </c>
      <c r="AG379" s="89">
        <f>'DIY Grundmodell'!S466</f>
        <v>443.29</v>
      </c>
      <c r="AH379" s="54">
        <f>'DIY Grundmodell'!T466</f>
        <v>14491.789769999999</v>
      </c>
      <c r="AI379" s="89">
        <f>'DIY Grundmodell'!U466</f>
        <v>443.29</v>
      </c>
      <c r="AJ379" s="89">
        <f>'DIY Grundmodell'!V466</f>
        <v>14491.789769999999</v>
      </c>
      <c r="AK379" s="989"/>
      <c r="AL379" s="33">
        <f>'DIY Grundmodell'!X466</f>
        <v>5099.96245</v>
      </c>
    </row>
    <row r="380" spans="32:38" ht="14.1" customHeight="1" x14ac:dyDescent="0.45">
      <c r="AF380" s="988">
        <f>'DIY Grundmodell'!R467</f>
        <v>45409</v>
      </c>
      <c r="AG380" s="89" t="e">
        <f>'DIY Grundmodell'!S467</f>
        <v>#N/A</v>
      </c>
      <c r="AH380" s="54" t="e">
        <f>'DIY Grundmodell'!T467</f>
        <v>#N/A</v>
      </c>
      <c r="AI380" s="89">
        <f>'DIY Grundmodell'!U467</f>
        <v>443.29</v>
      </c>
      <c r="AJ380" s="89">
        <f>'DIY Grundmodell'!V467</f>
        <v>0</v>
      </c>
      <c r="AK380" s="989"/>
      <c r="AL380" s="33">
        <f>'DIY Grundmodell'!X467</f>
        <v>5099.96245</v>
      </c>
    </row>
    <row r="381" spans="32:38" ht="14.1" customHeight="1" x14ac:dyDescent="0.45">
      <c r="AF381" s="988">
        <f>'DIY Grundmodell'!R468</f>
        <v>45410</v>
      </c>
      <c r="AG381" s="89" t="e">
        <f>'DIY Grundmodell'!S468</f>
        <v>#N/A</v>
      </c>
      <c r="AH381" s="54" t="e">
        <f>'DIY Grundmodell'!T468</f>
        <v>#N/A</v>
      </c>
      <c r="AI381" s="89">
        <f>'DIY Grundmodell'!U468</f>
        <v>443.29</v>
      </c>
      <c r="AJ381" s="89">
        <f>'DIY Grundmodell'!V468</f>
        <v>0</v>
      </c>
      <c r="AK381" s="989"/>
      <c r="AL381" s="33">
        <f>'DIY Grundmodell'!X468</f>
        <v>5099.96245</v>
      </c>
    </row>
    <row r="382" spans="32:38" ht="14.1" customHeight="1" x14ac:dyDescent="0.45">
      <c r="AF382" s="988">
        <f>'DIY Grundmodell'!R469</f>
        <v>45411</v>
      </c>
      <c r="AG382" s="89">
        <f>'DIY Grundmodell'!S469</f>
        <v>432.62</v>
      </c>
      <c r="AH382" s="54">
        <f>'DIY Grundmodell'!T469</f>
        <v>9302.4747100000004</v>
      </c>
      <c r="AI382" s="89">
        <f>'DIY Grundmodell'!U469</f>
        <v>432.62</v>
      </c>
      <c r="AJ382" s="89">
        <f>'DIY Grundmodell'!V469</f>
        <v>9302.4747100000004</v>
      </c>
      <c r="AK382" s="989"/>
      <c r="AL382" s="33">
        <f>'DIY Grundmodell'!X469</f>
        <v>5116.1675599999999</v>
      </c>
    </row>
    <row r="383" spans="32:38" ht="14.1" customHeight="1" x14ac:dyDescent="0.45">
      <c r="AF383" s="988">
        <f>'DIY Grundmodell'!R470</f>
        <v>45412</v>
      </c>
      <c r="AG383" s="89">
        <f>'DIY Grundmodell'!S470</f>
        <v>430.17</v>
      </c>
      <c r="AH383" s="54">
        <f>'DIY Grundmodell'!T470</f>
        <v>7927.8162899999998</v>
      </c>
      <c r="AI383" s="89">
        <f>'DIY Grundmodell'!U470</f>
        <v>430.17</v>
      </c>
      <c r="AJ383" s="89">
        <f>'DIY Grundmodell'!V470</f>
        <v>7927.8162899999998</v>
      </c>
      <c r="AK383" s="989"/>
      <c r="AL383" s="33">
        <f>'DIY Grundmodell'!X470</f>
        <v>5035.6916799999999</v>
      </c>
    </row>
    <row r="384" spans="32:38" ht="14.1" customHeight="1" x14ac:dyDescent="0.45">
      <c r="AF384" s="988">
        <f>'DIY Grundmodell'!R471</f>
        <v>45413</v>
      </c>
      <c r="AG384" s="89">
        <f>'DIY Grundmodell'!S471</f>
        <v>439.19</v>
      </c>
      <c r="AH384" s="54">
        <f>'DIY Grundmodell'!T471</f>
        <v>8935.2972699999991</v>
      </c>
      <c r="AI384" s="89">
        <f>'DIY Grundmodell'!U471</f>
        <v>439.19</v>
      </c>
      <c r="AJ384" s="89">
        <f>'DIY Grundmodell'!V471</f>
        <v>8935.2972699999991</v>
      </c>
      <c r="AK384" s="989"/>
      <c r="AL384" s="33">
        <f>'DIY Grundmodell'!X471</f>
        <v>5018.3850000000002</v>
      </c>
    </row>
    <row r="385" spans="32:38" ht="14.1" customHeight="1" x14ac:dyDescent="0.45">
      <c r="AF385" s="988">
        <f>'DIY Grundmodell'!R472</f>
        <v>45414</v>
      </c>
      <c r="AG385" s="89">
        <f>'DIY Grundmodell'!S472</f>
        <v>441.68</v>
      </c>
      <c r="AH385" s="54">
        <f>'DIY Grundmodell'!T472</f>
        <v>6722.9534999999996</v>
      </c>
      <c r="AI385" s="89">
        <f>'DIY Grundmodell'!U472</f>
        <v>441.68</v>
      </c>
      <c r="AJ385" s="89">
        <f>'DIY Grundmodell'!V472</f>
        <v>6722.9534999999996</v>
      </c>
      <c r="AK385" s="989"/>
      <c r="AL385" s="33">
        <f>'DIY Grundmodell'!X472</f>
        <v>5064.1952700000002</v>
      </c>
    </row>
    <row r="386" spans="32:38" ht="14.1" customHeight="1" x14ac:dyDescent="0.45">
      <c r="AF386" s="988">
        <f>'DIY Grundmodell'!R473</f>
        <v>45415</v>
      </c>
      <c r="AG386" s="89">
        <f>'DIY Grundmodell'!S473</f>
        <v>451.96</v>
      </c>
      <c r="AH386" s="54">
        <f>'DIY Grundmodell'!T473</f>
        <v>7452.3941999999997</v>
      </c>
      <c r="AI386" s="89">
        <f>'DIY Grundmodell'!U473</f>
        <v>451.96</v>
      </c>
      <c r="AJ386" s="89">
        <f>'DIY Grundmodell'!V473</f>
        <v>7452.3941999999997</v>
      </c>
      <c r="AK386" s="989"/>
      <c r="AL386" s="33">
        <f>'DIY Grundmodell'!X473</f>
        <v>5127.7866299999996</v>
      </c>
    </row>
    <row r="387" spans="32:38" ht="14.1" customHeight="1" x14ac:dyDescent="0.45">
      <c r="AF387" s="988">
        <f>'DIY Grundmodell'!R474</f>
        <v>45416</v>
      </c>
      <c r="AG387" s="89" t="e">
        <f>'DIY Grundmodell'!S474</f>
        <v>#N/A</v>
      </c>
      <c r="AH387" s="54" t="e">
        <f>'DIY Grundmodell'!T474</f>
        <v>#N/A</v>
      </c>
      <c r="AI387" s="89">
        <f>'DIY Grundmodell'!U474</f>
        <v>451.96</v>
      </c>
      <c r="AJ387" s="89">
        <f>'DIY Grundmodell'!V474</f>
        <v>0</v>
      </c>
      <c r="AK387" s="989"/>
      <c r="AL387" s="33">
        <f>'DIY Grundmodell'!X474</f>
        <v>5127.7866299999996</v>
      </c>
    </row>
    <row r="388" spans="32:38" ht="14.1" customHeight="1" x14ac:dyDescent="0.45">
      <c r="AF388" s="988">
        <f>'DIY Grundmodell'!R475</f>
        <v>45417</v>
      </c>
      <c r="AG388" s="89" t="e">
        <f>'DIY Grundmodell'!S475</f>
        <v>#N/A</v>
      </c>
      <c r="AH388" s="54" t="e">
        <f>'DIY Grundmodell'!T475</f>
        <v>#N/A</v>
      </c>
      <c r="AI388" s="89">
        <f>'DIY Grundmodell'!U475</f>
        <v>451.96</v>
      </c>
      <c r="AJ388" s="89">
        <f>'DIY Grundmodell'!V475</f>
        <v>0</v>
      </c>
      <c r="AK388" s="989"/>
      <c r="AL388" s="33">
        <f>'DIY Grundmodell'!X475</f>
        <v>5127.7866299999996</v>
      </c>
    </row>
    <row r="389" spans="32:38" ht="14.1" customHeight="1" x14ac:dyDescent="0.45">
      <c r="AF389" s="988">
        <f>'DIY Grundmodell'!R476</f>
        <v>45418</v>
      </c>
      <c r="AG389" s="89">
        <f>'DIY Grundmodell'!S476</f>
        <v>465.68</v>
      </c>
      <c r="AH389" s="54">
        <f>'DIY Grundmodell'!T476</f>
        <v>7029.2659000000003</v>
      </c>
      <c r="AI389" s="89">
        <f>'DIY Grundmodell'!U476</f>
        <v>465.68</v>
      </c>
      <c r="AJ389" s="89">
        <f>'DIY Grundmodell'!V476</f>
        <v>7029.2659000000003</v>
      </c>
      <c r="AK389" s="989"/>
      <c r="AL389" s="33">
        <f>'DIY Grundmodell'!X476</f>
        <v>5180.7406899999996</v>
      </c>
    </row>
    <row r="390" spans="32:38" ht="14.1" customHeight="1" x14ac:dyDescent="0.45">
      <c r="AF390" s="988">
        <f>'DIY Grundmodell'!R477</f>
        <v>45419</v>
      </c>
      <c r="AG390" s="89">
        <f>'DIY Grundmodell'!S477</f>
        <v>468.24</v>
      </c>
      <c r="AH390" s="54">
        <f>'DIY Grundmodell'!T477</f>
        <v>6277.6075199999996</v>
      </c>
      <c r="AI390" s="89">
        <f>'DIY Grundmodell'!U477</f>
        <v>468.24</v>
      </c>
      <c r="AJ390" s="89">
        <f>'DIY Grundmodell'!V477</f>
        <v>6277.6075199999996</v>
      </c>
      <c r="AK390" s="989"/>
      <c r="AL390" s="33">
        <f>'DIY Grundmodell'!X477</f>
        <v>5187.6978600000002</v>
      </c>
    </row>
    <row r="391" spans="32:38" ht="14.1" customHeight="1" x14ac:dyDescent="0.45">
      <c r="AF391" s="988">
        <f>'DIY Grundmodell'!R478</f>
        <v>45420</v>
      </c>
      <c r="AG391" s="89">
        <f>'DIY Grundmodell'!S478</f>
        <v>472.6</v>
      </c>
      <c r="AH391" s="54">
        <f>'DIY Grundmodell'!T478</f>
        <v>5521.82485</v>
      </c>
      <c r="AI391" s="89">
        <f>'DIY Grundmodell'!U478</f>
        <v>472.6</v>
      </c>
      <c r="AJ391" s="89">
        <f>'DIY Grundmodell'!V478</f>
        <v>5521.82485</v>
      </c>
      <c r="AK391" s="989"/>
      <c r="AL391" s="33">
        <f>'DIY Grundmodell'!X478</f>
        <v>5187.6707399999996</v>
      </c>
    </row>
    <row r="392" spans="32:38" ht="14.1" customHeight="1" x14ac:dyDescent="0.45">
      <c r="AF392" s="988">
        <f>'DIY Grundmodell'!R479</f>
        <v>45421</v>
      </c>
      <c r="AG392" s="89">
        <f>'DIY Grundmodell'!S479</f>
        <v>475.42</v>
      </c>
      <c r="AH392" s="54">
        <f>'DIY Grundmodell'!T479</f>
        <v>4486.8480399999999</v>
      </c>
      <c r="AI392" s="89">
        <f>'DIY Grundmodell'!U479</f>
        <v>475.42</v>
      </c>
      <c r="AJ392" s="89">
        <f>'DIY Grundmodell'!V479</f>
        <v>4486.8480399999999</v>
      </c>
      <c r="AK392" s="989"/>
      <c r="AL392" s="33">
        <f>'DIY Grundmodell'!X479</f>
        <v>5214.0814300000002</v>
      </c>
    </row>
    <row r="393" spans="32:38" ht="14.1" customHeight="1" x14ac:dyDescent="0.45">
      <c r="AF393" s="988">
        <f>'DIY Grundmodell'!R480</f>
        <v>45422</v>
      </c>
      <c r="AG393" s="89">
        <f>'DIY Grundmodell'!S480</f>
        <v>476.2</v>
      </c>
      <c r="AH393" s="54">
        <f>'DIY Grundmodell'!T480</f>
        <v>5119.1495199999999</v>
      </c>
      <c r="AI393" s="89">
        <f>'DIY Grundmodell'!U480</f>
        <v>476.2</v>
      </c>
      <c r="AJ393" s="89">
        <f>'DIY Grundmodell'!V480</f>
        <v>5119.1495199999999</v>
      </c>
      <c r="AK393" s="989"/>
      <c r="AL393" s="33">
        <f>'DIY Grundmodell'!X480</f>
        <v>5222.6753699999999</v>
      </c>
    </row>
    <row r="394" spans="32:38" ht="14.1" customHeight="1" x14ac:dyDescent="0.45">
      <c r="AF394" s="988">
        <f>'DIY Grundmodell'!R481</f>
        <v>45423</v>
      </c>
      <c r="AG394" s="89" t="e">
        <f>'DIY Grundmodell'!S481</f>
        <v>#N/A</v>
      </c>
      <c r="AH394" s="54" t="e">
        <f>'DIY Grundmodell'!T481</f>
        <v>#N/A</v>
      </c>
      <c r="AI394" s="89">
        <f>'DIY Grundmodell'!U481</f>
        <v>476.2</v>
      </c>
      <c r="AJ394" s="89">
        <f>'DIY Grundmodell'!V481</f>
        <v>0</v>
      </c>
      <c r="AK394" s="989"/>
      <c r="AL394" s="33">
        <f>'DIY Grundmodell'!X481</f>
        <v>5222.6753699999999</v>
      </c>
    </row>
    <row r="395" spans="32:38" ht="14.1" customHeight="1" x14ac:dyDescent="0.45">
      <c r="AF395" s="988">
        <f>'DIY Grundmodell'!R482</f>
        <v>45424</v>
      </c>
      <c r="AG395" s="89" t="e">
        <f>'DIY Grundmodell'!S482</f>
        <v>#N/A</v>
      </c>
      <c r="AH395" s="54" t="e">
        <f>'DIY Grundmodell'!T482</f>
        <v>#N/A</v>
      </c>
      <c r="AI395" s="89">
        <f>'DIY Grundmodell'!U482</f>
        <v>476.2</v>
      </c>
      <c r="AJ395" s="89">
        <f>'DIY Grundmodell'!V482</f>
        <v>0</v>
      </c>
      <c r="AK395" s="989"/>
      <c r="AL395" s="33">
        <f>'DIY Grundmodell'!X482</f>
        <v>5222.6753699999999</v>
      </c>
    </row>
    <row r="396" spans="32:38" ht="14.1" customHeight="1" x14ac:dyDescent="0.45">
      <c r="AF396" s="988">
        <f>'DIY Grundmodell'!R483</f>
        <v>45425</v>
      </c>
      <c r="AG396" s="89">
        <f>'DIY Grundmodell'!S483</f>
        <v>468.01</v>
      </c>
      <c r="AH396" s="54">
        <f>'DIY Grundmodell'!T483</f>
        <v>6865.1441500000001</v>
      </c>
      <c r="AI396" s="89">
        <f>'DIY Grundmodell'!U483</f>
        <v>468.01</v>
      </c>
      <c r="AJ396" s="89">
        <f>'DIY Grundmodell'!V483</f>
        <v>6865.1441500000001</v>
      </c>
      <c r="AK396" s="989"/>
      <c r="AL396" s="33">
        <f>'DIY Grundmodell'!X483</f>
        <v>5221.4156400000002</v>
      </c>
    </row>
    <row r="397" spans="32:38" ht="14.1" customHeight="1" x14ac:dyDescent="0.45">
      <c r="AF397" s="988">
        <f>'DIY Grundmodell'!R484</f>
        <v>45426</v>
      </c>
      <c r="AG397" s="89">
        <f>'DIY Grundmodell'!S484</f>
        <v>471.85</v>
      </c>
      <c r="AH397" s="54">
        <f>'DIY Grundmodell'!T484</f>
        <v>4944.3052299999999</v>
      </c>
      <c r="AI397" s="89">
        <f>'DIY Grundmodell'!U484</f>
        <v>471.85</v>
      </c>
      <c r="AJ397" s="89">
        <f>'DIY Grundmodell'!V484</f>
        <v>4944.3052299999999</v>
      </c>
      <c r="AK397" s="989"/>
      <c r="AL397" s="33">
        <f>'DIY Grundmodell'!X484</f>
        <v>5246.6805199999999</v>
      </c>
    </row>
    <row r="398" spans="32:38" ht="14.1" customHeight="1" x14ac:dyDescent="0.45">
      <c r="AF398" s="988">
        <f>'DIY Grundmodell'!R485</f>
        <v>45427</v>
      </c>
      <c r="AG398" s="89">
        <f>'DIY Grundmodell'!S485</f>
        <v>481.54</v>
      </c>
      <c r="AH398" s="54">
        <f>'DIY Grundmodell'!T485</f>
        <v>6308.4003199999997</v>
      </c>
      <c r="AI398" s="89">
        <f>'DIY Grundmodell'!U485</f>
        <v>481.54</v>
      </c>
      <c r="AJ398" s="89">
        <f>'DIY Grundmodell'!V485</f>
        <v>6308.4003199999997</v>
      </c>
      <c r="AK398" s="989"/>
      <c r="AL398" s="33">
        <f>'DIY Grundmodell'!X485</f>
        <v>5308.14959</v>
      </c>
    </row>
    <row r="399" spans="32:38" ht="14.1" customHeight="1" x14ac:dyDescent="0.45">
      <c r="AF399" s="988">
        <f>'DIY Grundmodell'!R486</f>
        <v>45428</v>
      </c>
      <c r="AG399" s="89">
        <f>'DIY Grundmodell'!S486</f>
        <v>473.23</v>
      </c>
      <c r="AH399" s="54">
        <f>'DIY Grundmodell'!T486</f>
        <v>7859.48855</v>
      </c>
      <c r="AI399" s="89">
        <f>'DIY Grundmodell'!U486</f>
        <v>473.23</v>
      </c>
      <c r="AJ399" s="89">
        <f>'DIY Grundmodell'!V486</f>
        <v>7859.48855</v>
      </c>
      <c r="AK399" s="989"/>
      <c r="AL399" s="33">
        <f>'DIY Grundmodell'!X486</f>
        <v>5297.0984500000004</v>
      </c>
    </row>
    <row r="400" spans="32:38" ht="14.1" customHeight="1" x14ac:dyDescent="0.45">
      <c r="AF400" s="988">
        <f>'DIY Grundmodell'!R487</f>
        <v>45429</v>
      </c>
      <c r="AG400" s="89">
        <f>'DIY Grundmodell'!S487</f>
        <v>471.91</v>
      </c>
      <c r="AH400" s="54">
        <f>'DIY Grundmodell'!T487</f>
        <v>5100.0677500000002</v>
      </c>
      <c r="AI400" s="89">
        <f>'DIY Grundmodell'!U487</f>
        <v>471.91</v>
      </c>
      <c r="AJ400" s="89">
        <f>'DIY Grundmodell'!V487</f>
        <v>5100.0677500000002</v>
      </c>
      <c r="AK400" s="989"/>
      <c r="AL400" s="33">
        <f>'DIY Grundmodell'!X487</f>
        <v>5303.2696599999999</v>
      </c>
    </row>
    <row r="401" spans="32:38" ht="14.1" customHeight="1" x14ac:dyDescent="0.45">
      <c r="AF401" s="988">
        <f>'DIY Grundmodell'!R488</f>
        <v>45430</v>
      </c>
      <c r="AG401" s="89" t="e">
        <f>'DIY Grundmodell'!S488</f>
        <v>#N/A</v>
      </c>
      <c r="AH401" s="54" t="e">
        <f>'DIY Grundmodell'!T488</f>
        <v>#N/A</v>
      </c>
      <c r="AI401" s="89">
        <f>'DIY Grundmodell'!U488</f>
        <v>471.91</v>
      </c>
      <c r="AJ401" s="89">
        <f>'DIY Grundmodell'!V488</f>
        <v>0</v>
      </c>
      <c r="AK401" s="989"/>
      <c r="AL401" s="33">
        <f>'DIY Grundmodell'!X488</f>
        <v>5303.2696599999999</v>
      </c>
    </row>
    <row r="402" spans="32:38" ht="14.1" customHeight="1" x14ac:dyDescent="0.45">
      <c r="AF402" s="988">
        <f>'DIY Grundmodell'!R489</f>
        <v>45431</v>
      </c>
      <c r="AG402" s="89" t="e">
        <f>'DIY Grundmodell'!S489</f>
        <v>#N/A</v>
      </c>
      <c r="AH402" s="54" t="e">
        <f>'DIY Grundmodell'!T489</f>
        <v>#N/A</v>
      </c>
      <c r="AI402" s="89">
        <f>'DIY Grundmodell'!U489</f>
        <v>471.91</v>
      </c>
      <c r="AJ402" s="89">
        <f>'DIY Grundmodell'!V489</f>
        <v>0</v>
      </c>
      <c r="AK402" s="989"/>
      <c r="AL402" s="33">
        <f>'DIY Grundmodell'!X489</f>
        <v>5303.2696599999999</v>
      </c>
    </row>
    <row r="403" spans="32:38" ht="14.1" customHeight="1" x14ac:dyDescent="0.45">
      <c r="AF403" s="988">
        <f>'DIY Grundmodell'!R490</f>
        <v>45432</v>
      </c>
      <c r="AG403" s="89">
        <f>'DIY Grundmodell'!S490</f>
        <v>468.84</v>
      </c>
      <c r="AH403" s="54">
        <f>'DIY Grundmodell'!T490</f>
        <v>5506.5633099999995</v>
      </c>
      <c r="AI403" s="89">
        <f>'DIY Grundmodell'!U490</f>
        <v>468.84</v>
      </c>
      <c r="AJ403" s="89">
        <f>'DIY Grundmodell'!V490</f>
        <v>5506.5633099999995</v>
      </c>
      <c r="AK403" s="989"/>
      <c r="AL403" s="33">
        <f>'DIY Grundmodell'!X490</f>
        <v>5308.1322700000001</v>
      </c>
    </row>
    <row r="404" spans="32:38" ht="14.1" customHeight="1" x14ac:dyDescent="0.45">
      <c r="AF404" s="988">
        <f>'DIY Grundmodell'!R491</f>
        <v>45433</v>
      </c>
      <c r="AG404" s="89">
        <f>'DIY Grundmodell'!S491</f>
        <v>464.63</v>
      </c>
      <c r="AH404" s="54">
        <f>'DIY Grundmodell'!T491</f>
        <v>5455.7732800000003</v>
      </c>
      <c r="AI404" s="89">
        <f>'DIY Grundmodell'!U491</f>
        <v>464.63</v>
      </c>
      <c r="AJ404" s="89">
        <f>'DIY Grundmodell'!V491</f>
        <v>5455.7732800000003</v>
      </c>
      <c r="AK404" s="989"/>
      <c r="AL404" s="33">
        <f>'DIY Grundmodell'!X491</f>
        <v>5321.4120199999998</v>
      </c>
    </row>
    <row r="405" spans="32:38" ht="14.1" customHeight="1" x14ac:dyDescent="0.45">
      <c r="AF405" s="988">
        <f>'DIY Grundmodell'!R492</f>
        <v>45434</v>
      </c>
      <c r="AG405" s="89">
        <f>'DIY Grundmodell'!S492</f>
        <v>467.78</v>
      </c>
      <c r="AH405" s="54">
        <f>'DIY Grundmodell'!T492</f>
        <v>4714.5726500000001</v>
      </c>
      <c r="AI405" s="89">
        <f>'DIY Grundmodell'!U492</f>
        <v>467.78</v>
      </c>
      <c r="AJ405" s="89">
        <f>'DIY Grundmodell'!V492</f>
        <v>4714.5726500000001</v>
      </c>
      <c r="AK405" s="989"/>
      <c r="AL405" s="33">
        <f>'DIY Grundmodell'!X492</f>
        <v>5307.00522</v>
      </c>
    </row>
    <row r="406" spans="32:38" ht="14.1" customHeight="1" x14ac:dyDescent="0.45">
      <c r="AF406" s="988">
        <f>'DIY Grundmodell'!R493</f>
        <v>45435</v>
      </c>
      <c r="AG406" s="89">
        <f>'DIY Grundmodell'!S493</f>
        <v>465.78</v>
      </c>
      <c r="AH406" s="54">
        <f>'DIY Grundmodell'!T493</f>
        <v>5471.9429200000004</v>
      </c>
      <c r="AI406" s="89">
        <f>'DIY Grundmodell'!U493</f>
        <v>465.78</v>
      </c>
      <c r="AJ406" s="89">
        <f>'DIY Grundmodell'!V493</f>
        <v>5471.9429200000004</v>
      </c>
      <c r="AK406" s="989"/>
      <c r="AL406" s="33">
        <f>'DIY Grundmodell'!X493</f>
        <v>5267.8380699999998</v>
      </c>
    </row>
    <row r="407" spans="32:38" ht="14.1" customHeight="1" x14ac:dyDescent="0.45">
      <c r="AF407" s="988">
        <f>'DIY Grundmodell'!R494</f>
        <v>45436</v>
      </c>
      <c r="AG407" s="89">
        <f>'DIY Grundmodell'!S494</f>
        <v>478.22</v>
      </c>
      <c r="AH407" s="54">
        <f>'DIY Grundmodell'!T494</f>
        <v>5750.2387500000004</v>
      </c>
      <c r="AI407" s="89">
        <f>'DIY Grundmodell'!U494</f>
        <v>478.22</v>
      </c>
      <c r="AJ407" s="89">
        <f>'DIY Grundmodell'!V494</f>
        <v>5750.2387500000004</v>
      </c>
      <c r="AK407" s="989"/>
      <c r="AL407" s="33">
        <f>'DIY Grundmodell'!X494</f>
        <v>5304.7175999999999</v>
      </c>
    </row>
    <row r="408" spans="32:38" ht="14.1" customHeight="1" x14ac:dyDescent="0.45">
      <c r="AF408" s="988">
        <f>'DIY Grundmodell'!R495</f>
        <v>45437</v>
      </c>
      <c r="AG408" s="89" t="e">
        <f>'DIY Grundmodell'!S495</f>
        <v>#N/A</v>
      </c>
      <c r="AH408" s="54" t="e">
        <f>'DIY Grundmodell'!T495</f>
        <v>#N/A</v>
      </c>
      <c r="AI408" s="89">
        <f>'DIY Grundmodell'!U495</f>
        <v>478.22</v>
      </c>
      <c r="AJ408" s="89">
        <f>'DIY Grundmodell'!V495</f>
        <v>0</v>
      </c>
      <c r="AK408" s="989"/>
      <c r="AL408" s="33">
        <f>'DIY Grundmodell'!X495</f>
        <v>5304.7175999999999</v>
      </c>
    </row>
    <row r="409" spans="32:38" ht="14.1" customHeight="1" x14ac:dyDescent="0.45">
      <c r="AF409" s="988">
        <f>'DIY Grundmodell'!R496</f>
        <v>45438</v>
      </c>
      <c r="AG409" s="89" t="e">
        <f>'DIY Grundmodell'!S496</f>
        <v>#N/A</v>
      </c>
      <c r="AH409" s="54" t="e">
        <f>'DIY Grundmodell'!T496</f>
        <v>#N/A</v>
      </c>
      <c r="AI409" s="89">
        <f>'DIY Grundmodell'!U496</f>
        <v>478.22</v>
      </c>
      <c r="AJ409" s="89">
        <f>'DIY Grundmodell'!V496</f>
        <v>0</v>
      </c>
      <c r="AK409" s="989"/>
      <c r="AL409" s="33">
        <f>'DIY Grundmodell'!X496</f>
        <v>5304.7175999999999</v>
      </c>
    </row>
    <row r="410" spans="32:38" ht="14.1" customHeight="1" x14ac:dyDescent="0.45">
      <c r="AF410" s="988">
        <f>'DIY Grundmodell'!R497</f>
        <v>45439</v>
      </c>
      <c r="AG410" s="89" t="e">
        <f>'DIY Grundmodell'!S497</f>
        <v>#N/A</v>
      </c>
      <c r="AH410" s="54" t="e">
        <f>'DIY Grundmodell'!T497</f>
        <v>#N/A</v>
      </c>
      <c r="AI410" s="89">
        <f>'DIY Grundmodell'!U497</f>
        <v>478.22</v>
      </c>
      <c r="AJ410" s="89">
        <f>'DIY Grundmodell'!V497</f>
        <v>0</v>
      </c>
      <c r="AK410" s="989"/>
      <c r="AL410" s="33">
        <f>'DIY Grundmodell'!X497</f>
        <v>5304.7175999999999</v>
      </c>
    </row>
    <row r="411" spans="32:38" ht="14.1" customHeight="1" x14ac:dyDescent="0.45">
      <c r="AF411" s="988">
        <f>'DIY Grundmodell'!R498</f>
        <v>45440</v>
      </c>
      <c r="AG411" s="89">
        <f>'DIY Grundmodell'!S498</f>
        <v>479.92</v>
      </c>
      <c r="AH411" s="54">
        <f>'DIY Grundmodell'!T498</f>
        <v>4883.5555400000003</v>
      </c>
      <c r="AI411" s="89">
        <f>'DIY Grundmodell'!U498</f>
        <v>479.92</v>
      </c>
      <c r="AJ411" s="89">
        <f>'DIY Grundmodell'!V498</f>
        <v>4883.5555400000003</v>
      </c>
      <c r="AK411" s="989"/>
      <c r="AL411" s="33">
        <f>'DIY Grundmodell'!X498</f>
        <v>5306.0444699999998</v>
      </c>
    </row>
    <row r="412" spans="32:38" ht="14.1" customHeight="1" x14ac:dyDescent="0.45">
      <c r="AF412" s="988">
        <f>'DIY Grundmodell'!R499</f>
        <v>45441</v>
      </c>
      <c r="AG412" s="89">
        <f>'DIY Grundmodell'!S499</f>
        <v>474.36</v>
      </c>
      <c r="AH412" s="54">
        <f>'DIY Grundmodell'!T499</f>
        <v>4376.5487700000003</v>
      </c>
      <c r="AI412" s="89">
        <f>'DIY Grundmodell'!U499</f>
        <v>474.36</v>
      </c>
      <c r="AJ412" s="89">
        <f>'DIY Grundmodell'!V499</f>
        <v>4376.5487700000003</v>
      </c>
      <c r="AK412" s="989"/>
      <c r="AL412" s="33">
        <f>'DIY Grundmodell'!X499</f>
        <v>5266.9493599999996</v>
      </c>
    </row>
    <row r="413" spans="32:38" ht="14.1" customHeight="1" x14ac:dyDescent="0.45">
      <c r="AF413" s="988">
        <f>'DIY Grundmodell'!R500</f>
        <v>45442</v>
      </c>
      <c r="AG413" s="89">
        <f>'DIY Grundmodell'!S500</f>
        <v>467.05</v>
      </c>
      <c r="AH413" s="54">
        <f>'DIY Grundmodell'!T500</f>
        <v>5013.8873000000003</v>
      </c>
      <c r="AI413" s="89">
        <f>'DIY Grundmodell'!U500</f>
        <v>467.05</v>
      </c>
      <c r="AJ413" s="89">
        <f>'DIY Grundmodell'!V500</f>
        <v>5013.8873000000003</v>
      </c>
      <c r="AK413" s="989"/>
      <c r="AL413" s="33">
        <f>'DIY Grundmodell'!X500</f>
        <v>5235.4772599999997</v>
      </c>
    </row>
    <row r="414" spans="32:38" ht="14.1" customHeight="1" x14ac:dyDescent="0.45">
      <c r="AF414" s="988">
        <f>'DIY Grundmodell'!R501</f>
        <v>45443</v>
      </c>
      <c r="AG414" s="89">
        <f>'DIY Grundmodell'!S501</f>
        <v>466.83</v>
      </c>
      <c r="AH414" s="54">
        <f>'DIY Grundmodell'!T501</f>
        <v>7898.6725699999997</v>
      </c>
      <c r="AI414" s="89">
        <f>'DIY Grundmodell'!U501</f>
        <v>466.83</v>
      </c>
      <c r="AJ414" s="89">
        <f>'DIY Grundmodell'!V501</f>
        <v>7898.6725699999997</v>
      </c>
      <c r="AK414" s="989"/>
      <c r="AL414" s="33">
        <f>'DIY Grundmodell'!X501</f>
        <v>5277.5073499999999</v>
      </c>
    </row>
    <row r="415" spans="32:38" ht="14.1" customHeight="1" x14ac:dyDescent="0.45">
      <c r="AF415" s="988">
        <f>'DIY Grundmodell'!R502</f>
        <v>45444</v>
      </c>
      <c r="AG415" s="89" t="e">
        <f>'DIY Grundmodell'!S502</f>
        <v>#N/A</v>
      </c>
      <c r="AH415" s="54" t="e">
        <f>'DIY Grundmodell'!T502</f>
        <v>#N/A</v>
      </c>
      <c r="AI415" s="89">
        <f>'DIY Grundmodell'!U502</f>
        <v>466.83</v>
      </c>
      <c r="AJ415" s="89">
        <f>'DIY Grundmodell'!V502</f>
        <v>0</v>
      </c>
      <c r="AK415" s="989"/>
      <c r="AL415" s="33">
        <f>'DIY Grundmodell'!X502</f>
        <v>5277.5073499999999</v>
      </c>
    </row>
    <row r="416" spans="32:38" ht="14.1" customHeight="1" x14ac:dyDescent="0.45">
      <c r="AF416" s="988">
        <f>'DIY Grundmodell'!R503</f>
        <v>45445</v>
      </c>
      <c r="AG416" s="89" t="e">
        <f>'DIY Grundmodell'!S503</f>
        <v>#N/A</v>
      </c>
      <c r="AH416" s="54" t="e">
        <f>'DIY Grundmodell'!T503</f>
        <v>#N/A</v>
      </c>
      <c r="AI416" s="89">
        <f>'DIY Grundmodell'!U503</f>
        <v>466.83</v>
      </c>
      <c r="AJ416" s="89">
        <f>'DIY Grundmodell'!V503</f>
        <v>0</v>
      </c>
      <c r="AK416" s="989"/>
      <c r="AL416" s="33">
        <f>'DIY Grundmodell'!X503</f>
        <v>5277.5073499999999</v>
      </c>
    </row>
    <row r="417" spans="32:38" ht="14.1" customHeight="1" x14ac:dyDescent="0.45">
      <c r="AF417" s="988">
        <f>'DIY Grundmodell'!R504</f>
        <v>45446</v>
      </c>
      <c r="AG417" s="89">
        <f>'DIY Grundmodell'!S504</f>
        <v>477.49</v>
      </c>
      <c r="AH417" s="54">
        <f>'DIY Grundmodell'!T504</f>
        <v>5385.7959300000002</v>
      </c>
      <c r="AI417" s="89">
        <f>'DIY Grundmodell'!U504</f>
        <v>477.49</v>
      </c>
      <c r="AJ417" s="89">
        <f>'DIY Grundmodell'!V504</f>
        <v>5385.7959300000002</v>
      </c>
      <c r="AK417" s="989"/>
      <c r="AL417" s="33">
        <f>'DIY Grundmodell'!X504</f>
        <v>5283.3968699999996</v>
      </c>
    </row>
    <row r="418" spans="32:38" ht="14.1" customHeight="1" x14ac:dyDescent="0.45">
      <c r="AF418" s="988">
        <f>'DIY Grundmodell'!R505</f>
        <v>45447</v>
      </c>
      <c r="AG418" s="89">
        <f>'DIY Grundmodell'!S505</f>
        <v>476.99</v>
      </c>
      <c r="AH418" s="54">
        <f>'DIY Grundmodell'!T505</f>
        <v>3381.2476000000001</v>
      </c>
      <c r="AI418" s="89">
        <f>'DIY Grundmodell'!U505</f>
        <v>476.99</v>
      </c>
      <c r="AJ418" s="89">
        <f>'DIY Grundmodell'!V505</f>
        <v>3381.2476000000001</v>
      </c>
      <c r="AK418" s="989"/>
      <c r="AL418" s="33">
        <f>'DIY Grundmodell'!X505</f>
        <v>5291.3354099999997</v>
      </c>
    </row>
    <row r="419" spans="32:38" ht="14.1" customHeight="1" x14ac:dyDescent="0.45">
      <c r="AF419" s="988">
        <f>'DIY Grundmodell'!R506</f>
        <v>45448</v>
      </c>
      <c r="AG419" s="89">
        <f>'DIY Grundmodell'!S506</f>
        <v>495.06</v>
      </c>
      <c r="AH419" s="54">
        <f>'DIY Grundmodell'!T506</f>
        <v>7767.7310100000004</v>
      </c>
      <c r="AI419" s="89">
        <f>'DIY Grundmodell'!U506</f>
        <v>495.06</v>
      </c>
      <c r="AJ419" s="89">
        <f>'DIY Grundmodell'!V506</f>
        <v>7767.7310100000004</v>
      </c>
      <c r="AK419" s="989"/>
      <c r="AL419" s="33">
        <f>'DIY Grundmodell'!X506</f>
        <v>5354.0286500000002</v>
      </c>
    </row>
    <row r="420" spans="32:38" ht="14.1" customHeight="1" x14ac:dyDescent="0.45">
      <c r="AF420" s="988">
        <f>'DIY Grundmodell'!R507</f>
        <v>45449</v>
      </c>
      <c r="AG420" s="89">
        <f>'DIY Grundmodell'!S507</f>
        <v>493.76</v>
      </c>
      <c r="AH420" s="54">
        <f>'DIY Grundmodell'!T507</f>
        <v>5267.1053099999999</v>
      </c>
      <c r="AI420" s="89">
        <f>'DIY Grundmodell'!U507</f>
        <v>493.76</v>
      </c>
      <c r="AJ420" s="89">
        <f>'DIY Grundmodell'!V507</f>
        <v>5267.1053099999999</v>
      </c>
      <c r="AK420" s="989"/>
      <c r="AL420" s="33">
        <f>'DIY Grundmodell'!X507</f>
        <v>5352.9622399999998</v>
      </c>
    </row>
    <row r="421" spans="32:38" ht="14.1" customHeight="1" x14ac:dyDescent="0.45">
      <c r="AF421" s="988">
        <f>'DIY Grundmodell'!R508</f>
        <v>45450</v>
      </c>
      <c r="AG421" s="89">
        <f>'DIY Grundmodell'!S508</f>
        <v>492.96</v>
      </c>
      <c r="AH421" s="54">
        <f>'DIY Grundmodell'!T508</f>
        <v>4624.3320599999997</v>
      </c>
      <c r="AI421" s="89">
        <f>'DIY Grundmodell'!U508</f>
        <v>492.96</v>
      </c>
      <c r="AJ421" s="89">
        <f>'DIY Grundmodell'!V508</f>
        <v>4624.3320599999997</v>
      </c>
      <c r="AK421" s="989"/>
      <c r="AL421" s="33">
        <f>'DIY Grundmodell'!X508</f>
        <v>5346.9880700000003</v>
      </c>
    </row>
    <row r="422" spans="32:38" ht="14.1" customHeight="1" x14ac:dyDescent="0.45">
      <c r="AF422" s="988">
        <f>'DIY Grundmodell'!R509</f>
        <v>45451</v>
      </c>
      <c r="AG422" s="89" t="e">
        <f>'DIY Grundmodell'!S509</f>
        <v>#N/A</v>
      </c>
      <c r="AH422" s="54" t="e">
        <f>'DIY Grundmodell'!T509</f>
        <v>#N/A</v>
      </c>
      <c r="AI422" s="89">
        <f>'DIY Grundmodell'!U509</f>
        <v>492.96</v>
      </c>
      <c r="AJ422" s="89">
        <f>'DIY Grundmodell'!V509</f>
        <v>0</v>
      </c>
      <c r="AK422" s="989"/>
      <c r="AL422" s="33">
        <f>'DIY Grundmodell'!X509</f>
        <v>5346.9880700000003</v>
      </c>
    </row>
    <row r="423" spans="32:38" ht="14.1" customHeight="1" x14ac:dyDescent="0.45">
      <c r="AF423" s="988">
        <f>'DIY Grundmodell'!R510</f>
        <v>45452</v>
      </c>
      <c r="AG423" s="89" t="e">
        <f>'DIY Grundmodell'!S510</f>
        <v>#N/A</v>
      </c>
      <c r="AH423" s="54" t="e">
        <f>'DIY Grundmodell'!T510</f>
        <v>#N/A</v>
      </c>
      <c r="AI423" s="89">
        <f>'DIY Grundmodell'!U510</f>
        <v>492.96</v>
      </c>
      <c r="AJ423" s="89">
        <f>'DIY Grundmodell'!V510</f>
        <v>0</v>
      </c>
      <c r="AK423" s="989"/>
      <c r="AL423" s="33">
        <f>'DIY Grundmodell'!X510</f>
        <v>5346.9880700000003</v>
      </c>
    </row>
    <row r="424" spans="32:38" ht="14.1" customHeight="1" x14ac:dyDescent="0.45">
      <c r="AF424" s="988">
        <f>'DIY Grundmodell'!R511</f>
        <v>45453</v>
      </c>
      <c r="AG424" s="89">
        <f>'DIY Grundmodell'!S511</f>
        <v>502.6</v>
      </c>
      <c r="AH424" s="54">
        <f>'DIY Grundmodell'!T511</f>
        <v>5647.6754899999996</v>
      </c>
      <c r="AI424" s="89">
        <f>'DIY Grundmodell'!U511</f>
        <v>502.6</v>
      </c>
      <c r="AJ424" s="89">
        <f>'DIY Grundmodell'!V511</f>
        <v>5647.6754899999996</v>
      </c>
      <c r="AK424" s="989"/>
      <c r="AL424" s="33">
        <f>'DIY Grundmodell'!X511</f>
        <v>5360.7884899999999</v>
      </c>
    </row>
    <row r="425" spans="32:38" ht="14.1" customHeight="1" x14ac:dyDescent="0.45">
      <c r="AF425" s="988">
        <f>'DIY Grundmodell'!R512</f>
        <v>45454</v>
      </c>
      <c r="AG425" s="89">
        <f>'DIY Grundmodell'!S512</f>
        <v>507.47</v>
      </c>
      <c r="AH425" s="54">
        <f>'DIY Grundmodell'!T512</f>
        <v>4909.1201499999997</v>
      </c>
      <c r="AI425" s="89">
        <f>'DIY Grundmodell'!U512</f>
        <v>507.47</v>
      </c>
      <c r="AJ425" s="89">
        <f>'DIY Grundmodell'!V512</f>
        <v>4909.1201499999997</v>
      </c>
      <c r="AK425" s="989"/>
      <c r="AL425" s="33">
        <f>'DIY Grundmodell'!X512</f>
        <v>5375.3161799999998</v>
      </c>
    </row>
    <row r="426" spans="32:38" ht="14.1" customHeight="1" x14ac:dyDescent="0.45">
      <c r="AF426" s="988">
        <f>'DIY Grundmodell'!R513</f>
        <v>45455</v>
      </c>
      <c r="AG426" s="89">
        <f>'DIY Grundmodell'!S513</f>
        <v>508.84</v>
      </c>
      <c r="AH426" s="54">
        <f>'DIY Grundmodell'!T513</f>
        <v>6097.5452299999997</v>
      </c>
      <c r="AI426" s="89">
        <f>'DIY Grundmodell'!U513</f>
        <v>508.84</v>
      </c>
      <c r="AJ426" s="89">
        <f>'DIY Grundmodell'!V513</f>
        <v>6097.5452299999997</v>
      </c>
      <c r="AK426" s="989"/>
      <c r="AL426" s="33">
        <f>'DIY Grundmodell'!X513</f>
        <v>5421.02585</v>
      </c>
    </row>
    <row r="427" spans="32:38" ht="14.1" customHeight="1" x14ac:dyDescent="0.45">
      <c r="AF427" s="988">
        <f>'DIY Grundmodell'!R514</f>
        <v>45456</v>
      </c>
      <c r="AG427" s="89">
        <f>'DIY Grundmodell'!S514</f>
        <v>504.1</v>
      </c>
      <c r="AH427" s="54">
        <f>'DIY Grundmodell'!T514</f>
        <v>5018.1244500000003</v>
      </c>
      <c r="AI427" s="89">
        <f>'DIY Grundmodell'!U514</f>
        <v>504.1</v>
      </c>
      <c r="AJ427" s="89">
        <f>'DIY Grundmodell'!V514</f>
        <v>5018.1244500000003</v>
      </c>
      <c r="AK427" s="989"/>
      <c r="AL427" s="33">
        <f>'DIY Grundmodell'!X514</f>
        <v>5433.7431999999999</v>
      </c>
    </row>
    <row r="428" spans="32:38" ht="14.1" customHeight="1" x14ac:dyDescent="0.45">
      <c r="AF428" s="988">
        <f>'DIY Grundmodell'!R515</f>
        <v>45457</v>
      </c>
      <c r="AG428" s="89">
        <f>'DIY Grundmodell'!S515</f>
        <v>504.16</v>
      </c>
      <c r="AH428" s="54">
        <f>'DIY Grundmodell'!T515</f>
        <v>5164.2858200000001</v>
      </c>
      <c r="AI428" s="89">
        <f>'DIY Grundmodell'!U515</f>
        <v>504.16</v>
      </c>
      <c r="AJ428" s="89">
        <f>'DIY Grundmodell'!V515</f>
        <v>5164.2858200000001</v>
      </c>
      <c r="AK428" s="989"/>
      <c r="AL428" s="33">
        <f>'DIY Grundmodell'!X515</f>
        <v>5431.6016499999996</v>
      </c>
    </row>
    <row r="429" spans="32:38" ht="14.1" customHeight="1" x14ac:dyDescent="0.45">
      <c r="AF429" s="988">
        <f>'DIY Grundmodell'!R516</f>
        <v>45458</v>
      </c>
      <c r="AG429" s="89" t="e">
        <f>'DIY Grundmodell'!S516</f>
        <v>#N/A</v>
      </c>
      <c r="AH429" s="54" t="e">
        <f>'DIY Grundmodell'!T516</f>
        <v>#N/A</v>
      </c>
      <c r="AI429" s="89">
        <f>'DIY Grundmodell'!U516</f>
        <v>504.16</v>
      </c>
      <c r="AJ429" s="89">
        <f>'DIY Grundmodell'!V516</f>
        <v>0</v>
      </c>
      <c r="AK429" s="989"/>
      <c r="AL429" s="33">
        <f>'DIY Grundmodell'!X516</f>
        <v>5431.6016499999996</v>
      </c>
    </row>
    <row r="430" spans="32:38" ht="14.1" customHeight="1" x14ac:dyDescent="0.45">
      <c r="AF430" s="988">
        <f>'DIY Grundmodell'!R517</f>
        <v>45459</v>
      </c>
      <c r="AG430" s="89" t="e">
        <f>'DIY Grundmodell'!S517</f>
        <v>#N/A</v>
      </c>
      <c r="AH430" s="54" t="e">
        <f>'DIY Grundmodell'!T517</f>
        <v>#N/A</v>
      </c>
      <c r="AI430" s="89">
        <f>'DIY Grundmodell'!U517</f>
        <v>504.16</v>
      </c>
      <c r="AJ430" s="89">
        <f>'DIY Grundmodell'!V517</f>
        <v>0</v>
      </c>
      <c r="AK430" s="989"/>
      <c r="AL430" s="33">
        <f>'DIY Grundmodell'!X517</f>
        <v>5431.6016499999996</v>
      </c>
    </row>
    <row r="431" spans="32:38" ht="14.1" customHeight="1" x14ac:dyDescent="0.45">
      <c r="AF431" s="988">
        <f>'DIY Grundmodell'!R518</f>
        <v>45460</v>
      </c>
      <c r="AG431" s="89">
        <f>'DIY Grundmodell'!S518</f>
        <v>506.63</v>
      </c>
      <c r="AH431" s="54">
        <f>'DIY Grundmodell'!T518</f>
        <v>5707.9980699999996</v>
      </c>
      <c r="AI431" s="89">
        <f>'DIY Grundmodell'!U518</f>
        <v>506.63</v>
      </c>
      <c r="AJ431" s="89">
        <f>'DIY Grundmodell'!V518</f>
        <v>5707.9980699999996</v>
      </c>
      <c r="AK431" s="989"/>
      <c r="AL431" s="33">
        <f>'DIY Grundmodell'!X518</f>
        <v>5473.23315</v>
      </c>
    </row>
    <row r="432" spans="32:38" ht="14.1" customHeight="1" x14ac:dyDescent="0.45">
      <c r="AF432" s="988">
        <f>'DIY Grundmodell'!R519</f>
        <v>45461</v>
      </c>
      <c r="AG432" s="89">
        <f>'DIY Grundmodell'!S519</f>
        <v>499.49</v>
      </c>
      <c r="AH432" s="54">
        <f>'DIY Grundmodell'!T519</f>
        <v>6523.5516799999996</v>
      </c>
      <c r="AI432" s="89">
        <f>'DIY Grundmodell'!U519</f>
        <v>499.49</v>
      </c>
      <c r="AJ432" s="89">
        <f>'DIY Grundmodell'!V519</f>
        <v>6523.5516799999996</v>
      </c>
      <c r="AK432" s="989"/>
      <c r="AL432" s="33">
        <f>'DIY Grundmodell'!X519</f>
        <v>5487.0264900000002</v>
      </c>
    </row>
    <row r="433" spans="32:38" ht="14.1" customHeight="1" x14ac:dyDescent="0.45">
      <c r="AF433" s="988">
        <f>'DIY Grundmodell'!R520</f>
        <v>45462</v>
      </c>
      <c r="AG433" s="89" t="e">
        <f>'DIY Grundmodell'!S520</f>
        <v>#N/A</v>
      </c>
      <c r="AH433" s="54" t="e">
        <f>'DIY Grundmodell'!T520</f>
        <v>#N/A</v>
      </c>
      <c r="AI433" s="89">
        <f>'DIY Grundmodell'!U520</f>
        <v>499.49</v>
      </c>
      <c r="AJ433" s="89">
        <f>'DIY Grundmodell'!V520</f>
        <v>0</v>
      </c>
      <c r="AK433" s="989"/>
      <c r="AL433" s="33">
        <f>'DIY Grundmodell'!X520</f>
        <v>5487.0264900000002</v>
      </c>
    </row>
    <row r="434" spans="32:38" ht="14.1" customHeight="1" x14ac:dyDescent="0.45">
      <c r="AF434" s="988">
        <f>'DIY Grundmodell'!R521</f>
        <v>45463</v>
      </c>
      <c r="AG434" s="89">
        <f>'DIY Grundmodell'!S521</f>
        <v>501.7</v>
      </c>
      <c r="AH434" s="54">
        <f>'DIY Grundmodell'!T521</f>
        <v>5920.65301</v>
      </c>
      <c r="AI434" s="89">
        <f>'DIY Grundmodell'!U521</f>
        <v>501.7</v>
      </c>
      <c r="AJ434" s="89">
        <f>'DIY Grundmodell'!V521</f>
        <v>5920.65301</v>
      </c>
      <c r="AK434" s="989"/>
      <c r="AL434" s="33">
        <f>'DIY Grundmodell'!X521</f>
        <v>5473.1687899999997</v>
      </c>
    </row>
    <row r="435" spans="32:38" ht="14.1" customHeight="1" x14ac:dyDescent="0.45">
      <c r="AF435" s="988">
        <f>'DIY Grundmodell'!R522</f>
        <v>45464</v>
      </c>
      <c r="AG435" s="89">
        <f>'DIY Grundmodell'!S522</f>
        <v>494.78</v>
      </c>
      <c r="AH435" s="54">
        <f>'DIY Grundmodell'!T522</f>
        <v>11444.623579999999</v>
      </c>
      <c r="AI435" s="89">
        <f>'DIY Grundmodell'!U522</f>
        <v>494.78</v>
      </c>
      <c r="AJ435" s="89">
        <f>'DIY Grundmodell'!V522</f>
        <v>11444.623579999999</v>
      </c>
      <c r="AK435" s="989"/>
      <c r="AL435" s="33">
        <f>'DIY Grundmodell'!X522</f>
        <v>5464.6213399999997</v>
      </c>
    </row>
    <row r="436" spans="32:38" ht="14.1" customHeight="1" x14ac:dyDescent="0.45">
      <c r="AF436" s="988">
        <f>'DIY Grundmodell'!R523</f>
        <v>45465</v>
      </c>
      <c r="AG436" s="89" t="e">
        <f>'DIY Grundmodell'!S523</f>
        <v>#N/A</v>
      </c>
      <c r="AH436" s="54" t="e">
        <f>'DIY Grundmodell'!T523</f>
        <v>#N/A</v>
      </c>
      <c r="AI436" s="89">
        <f>'DIY Grundmodell'!U523</f>
        <v>494.78</v>
      </c>
      <c r="AJ436" s="89">
        <f>'DIY Grundmodell'!V523</f>
        <v>0</v>
      </c>
      <c r="AK436" s="989"/>
      <c r="AL436" s="33">
        <f>'DIY Grundmodell'!X523</f>
        <v>5464.6213399999997</v>
      </c>
    </row>
    <row r="437" spans="32:38" ht="14.1" customHeight="1" x14ac:dyDescent="0.45">
      <c r="AF437" s="988">
        <f>'DIY Grundmodell'!R524</f>
        <v>45466</v>
      </c>
      <c r="AG437" s="89" t="e">
        <f>'DIY Grundmodell'!S524</f>
        <v>#N/A</v>
      </c>
      <c r="AH437" s="54" t="e">
        <f>'DIY Grundmodell'!T524</f>
        <v>#N/A</v>
      </c>
      <c r="AI437" s="89">
        <f>'DIY Grundmodell'!U524</f>
        <v>494.78</v>
      </c>
      <c r="AJ437" s="89">
        <f>'DIY Grundmodell'!V524</f>
        <v>0</v>
      </c>
      <c r="AK437" s="989"/>
      <c r="AL437" s="33">
        <f>'DIY Grundmodell'!X524</f>
        <v>5464.6213399999997</v>
      </c>
    </row>
    <row r="438" spans="32:38" ht="14.1" customHeight="1" x14ac:dyDescent="0.45">
      <c r="AF438" s="988">
        <f>'DIY Grundmodell'!R525</f>
        <v>45467</v>
      </c>
      <c r="AG438" s="89">
        <f>'DIY Grundmodell'!S525</f>
        <v>498.91</v>
      </c>
      <c r="AH438" s="54">
        <f>'DIY Grundmodell'!T525</f>
        <v>6747.8964500000002</v>
      </c>
      <c r="AI438" s="89">
        <f>'DIY Grundmodell'!U525</f>
        <v>498.91</v>
      </c>
      <c r="AJ438" s="89">
        <f>'DIY Grundmodell'!V525</f>
        <v>6747.8964500000002</v>
      </c>
      <c r="AK438" s="989"/>
      <c r="AL438" s="33">
        <f>'DIY Grundmodell'!X525</f>
        <v>5447.8726500000002</v>
      </c>
    </row>
    <row r="439" spans="32:38" ht="14.1" customHeight="1" x14ac:dyDescent="0.45">
      <c r="AF439" s="988">
        <f>'DIY Grundmodell'!R526</f>
        <v>45468</v>
      </c>
      <c r="AG439" s="89">
        <f>'DIY Grundmodell'!S526</f>
        <v>510.6</v>
      </c>
      <c r="AH439" s="54">
        <f>'DIY Grundmodell'!T526</f>
        <v>6183.2480500000001</v>
      </c>
      <c r="AI439" s="89">
        <f>'DIY Grundmodell'!U526</f>
        <v>510.6</v>
      </c>
      <c r="AJ439" s="89">
        <f>'DIY Grundmodell'!V526</f>
        <v>6183.2480500000001</v>
      </c>
      <c r="AK439" s="989"/>
      <c r="AL439" s="33">
        <f>'DIY Grundmodell'!X526</f>
        <v>5469.2974299999996</v>
      </c>
    </row>
    <row r="440" spans="32:38" ht="14.1" customHeight="1" x14ac:dyDescent="0.45">
      <c r="AF440" s="988">
        <f>'DIY Grundmodell'!R527</f>
        <v>45469</v>
      </c>
      <c r="AG440" s="89">
        <f>'DIY Grundmodell'!S527</f>
        <v>513.12</v>
      </c>
      <c r="AH440" s="54">
        <f>'DIY Grundmodell'!T527</f>
        <v>4557.7047599999996</v>
      </c>
      <c r="AI440" s="89">
        <f>'DIY Grundmodell'!U527</f>
        <v>513.12</v>
      </c>
      <c r="AJ440" s="89">
        <f>'DIY Grundmodell'!V527</f>
        <v>4557.7047599999996</v>
      </c>
      <c r="AK440" s="989"/>
      <c r="AL440" s="33">
        <f>'DIY Grundmodell'!X527</f>
        <v>5477.90362</v>
      </c>
    </row>
    <row r="441" spans="32:38" ht="14.1" customHeight="1" x14ac:dyDescent="0.45">
      <c r="AF441" s="988">
        <f>'DIY Grundmodell'!R528</f>
        <v>45470</v>
      </c>
      <c r="AG441" s="89">
        <f>'DIY Grundmodell'!S528</f>
        <v>519.55999999999995</v>
      </c>
      <c r="AH441" s="54">
        <f>'DIY Grundmodell'!T528</f>
        <v>5258.5701499999996</v>
      </c>
      <c r="AI441" s="89">
        <f>'DIY Grundmodell'!U528</f>
        <v>519.55999999999995</v>
      </c>
      <c r="AJ441" s="89">
        <f>'DIY Grundmodell'!V528</f>
        <v>5258.5701499999996</v>
      </c>
      <c r="AK441" s="989"/>
      <c r="AL441" s="33">
        <f>'DIY Grundmodell'!X528</f>
        <v>5482.8717800000004</v>
      </c>
    </row>
    <row r="442" spans="32:38" ht="14.1" customHeight="1" x14ac:dyDescent="0.45">
      <c r="AF442" s="988">
        <f>'DIY Grundmodell'!R529</f>
        <v>45471</v>
      </c>
      <c r="AG442" s="89">
        <f>'DIY Grundmodell'!S529</f>
        <v>504.22</v>
      </c>
      <c r="AH442" s="54">
        <f>'DIY Grundmodell'!T529</f>
        <v>7994.4771799999999</v>
      </c>
      <c r="AI442" s="89">
        <f>'DIY Grundmodell'!U529</f>
        <v>504.22</v>
      </c>
      <c r="AJ442" s="89">
        <f>'DIY Grundmodell'!V529</f>
        <v>7994.4771799999999</v>
      </c>
      <c r="AK442" s="989"/>
      <c r="AL442" s="33">
        <f>'DIY Grundmodell'!X529</f>
        <v>5460.4826199999998</v>
      </c>
    </row>
    <row r="443" spans="32:38" ht="14.1" customHeight="1" x14ac:dyDescent="0.45">
      <c r="AF443" s="988">
        <f>'DIY Grundmodell'!R530</f>
        <v>45472</v>
      </c>
      <c r="AG443" s="89" t="e">
        <f>'DIY Grundmodell'!S530</f>
        <v>#N/A</v>
      </c>
      <c r="AH443" s="54" t="e">
        <f>'DIY Grundmodell'!T530</f>
        <v>#N/A</v>
      </c>
      <c r="AI443" s="89">
        <f>'DIY Grundmodell'!U530</f>
        <v>504.22</v>
      </c>
      <c r="AJ443" s="89">
        <f>'DIY Grundmodell'!V530</f>
        <v>0</v>
      </c>
      <c r="AK443" s="989"/>
      <c r="AL443" s="33">
        <f>'DIY Grundmodell'!X530</f>
        <v>5460.4826199999998</v>
      </c>
    </row>
    <row r="444" spans="32:38" ht="14.1" customHeight="1" x14ac:dyDescent="0.45">
      <c r="AF444" s="988">
        <f>'DIY Grundmodell'!R531</f>
        <v>45473</v>
      </c>
      <c r="AG444" s="89" t="e">
        <f>'DIY Grundmodell'!S531</f>
        <v>#N/A</v>
      </c>
      <c r="AH444" s="54" t="e">
        <f>'DIY Grundmodell'!T531</f>
        <v>#N/A</v>
      </c>
      <c r="AI444" s="89">
        <f>'DIY Grundmodell'!U531</f>
        <v>504.22</v>
      </c>
      <c r="AJ444" s="89">
        <f>'DIY Grundmodell'!V531</f>
        <v>0</v>
      </c>
      <c r="AK444" s="989"/>
      <c r="AL444" s="33">
        <f>'DIY Grundmodell'!X531</f>
        <v>5460.4826199999998</v>
      </c>
    </row>
    <row r="445" spans="32:38" ht="14.1" customHeight="1" x14ac:dyDescent="0.45">
      <c r="AF445" s="988">
        <f>'DIY Grundmodell'!R532</f>
        <v>45474</v>
      </c>
      <c r="AG445" s="89">
        <f>'DIY Grundmodell'!S532</f>
        <v>504.68</v>
      </c>
      <c r="AH445" s="54">
        <f>'DIY Grundmodell'!T532</f>
        <v>5212.4107400000003</v>
      </c>
      <c r="AI445" s="89">
        <f>'DIY Grundmodell'!U532</f>
        <v>504.68</v>
      </c>
      <c r="AJ445" s="89">
        <f>'DIY Grundmodell'!V532</f>
        <v>5212.4107400000003</v>
      </c>
      <c r="AK445" s="989"/>
      <c r="AL445" s="33">
        <f>'DIY Grundmodell'!X532</f>
        <v>5475.08835</v>
      </c>
    </row>
    <row r="446" spans="32:38" ht="14.1" customHeight="1" x14ac:dyDescent="0.45">
      <c r="AF446" s="988">
        <f>'DIY Grundmodell'!R533</f>
        <v>45475</v>
      </c>
      <c r="AG446" s="89">
        <f>'DIY Grundmodell'!S533</f>
        <v>509.5</v>
      </c>
      <c r="AH446" s="54">
        <f>'DIY Grundmodell'!T533</f>
        <v>3943.2645499999999</v>
      </c>
      <c r="AI446" s="89">
        <f>'DIY Grundmodell'!U533</f>
        <v>509.5</v>
      </c>
      <c r="AJ446" s="89">
        <f>'DIY Grundmodell'!V533</f>
        <v>3943.2645499999999</v>
      </c>
      <c r="AK446" s="989"/>
      <c r="AL446" s="33">
        <f>'DIY Grundmodell'!X533</f>
        <v>5509.0111100000004</v>
      </c>
    </row>
    <row r="447" spans="32:38" ht="14.1" customHeight="1" x14ac:dyDescent="0.45">
      <c r="AF447" s="988">
        <f>'DIY Grundmodell'!R534</f>
        <v>45476</v>
      </c>
      <c r="AG447" s="89">
        <f>'DIY Grundmodell'!S534</f>
        <v>509.96</v>
      </c>
      <c r="AH447" s="54">
        <f>'DIY Grundmodell'!T534</f>
        <v>3062.6234300000001</v>
      </c>
      <c r="AI447" s="89">
        <f>'DIY Grundmodell'!U534</f>
        <v>509.96</v>
      </c>
      <c r="AJ447" s="89">
        <f>'DIY Grundmodell'!V534</f>
        <v>3062.6234300000001</v>
      </c>
      <c r="AK447" s="989"/>
      <c r="AL447" s="33">
        <f>'DIY Grundmodell'!X534</f>
        <v>5537.0191299999997</v>
      </c>
    </row>
    <row r="448" spans="32:38" ht="14.1" customHeight="1" x14ac:dyDescent="0.45">
      <c r="AF448" s="988">
        <f>'DIY Grundmodell'!R535</f>
        <v>45477</v>
      </c>
      <c r="AG448" s="89" t="e">
        <f>'DIY Grundmodell'!S535</f>
        <v>#N/A</v>
      </c>
      <c r="AH448" s="54" t="e">
        <f>'DIY Grundmodell'!T535</f>
        <v>#N/A</v>
      </c>
      <c r="AI448" s="89">
        <f>'DIY Grundmodell'!U535</f>
        <v>509.96</v>
      </c>
      <c r="AJ448" s="89">
        <f>'DIY Grundmodell'!V535</f>
        <v>0</v>
      </c>
      <c r="AK448" s="989"/>
      <c r="AL448" s="33">
        <f>'DIY Grundmodell'!X535</f>
        <v>5537.0191299999997</v>
      </c>
    </row>
    <row r="449" spans="32:38" ht="14.1" customHeight="1" x14ac:dyDescent="0.45">
      <c r="AF449" s="988">
        <f>'DIY Grundmodell'!R536</f>
        <v>45478</v>
      </c>
      <c r="AG449" s="89">
        <f>'DIY Grundmodell'!S536</f>
        <v>539.91</v>
      </c>
      <c r="AH449" s="54">
        <f>'DIY Grundmodell'!T536</f>
        <v>11529.288350000001</v>
      </c>
      <c r="AI449" s="89">
        <f>'DIY Grundmodell'!U536</f>
        <v>539.91</v>
      </c>
      <c r="AJ449" s="89">
        <f>'DIY Grundmodell'!V536</f>
        <v>11529.288350000001</v>
      </c>
      <c r="AK449" s="989"/>
      <c r="AL449" s="33">
        <f>'DIY Grundmodell'!X536</f>
        <v>5567.1903899999998</v>
      </c>
    </row>
    <row r="450" spans="32:38" ht="14.1" customHeight="1" x14ac:dyDescent="0.45">
      <c r="AF450" s="988">
        <f>'DIY Grundmodell'!R537</f>
        <v>45479</v>
      </c>
      <c r="AG450" s="89" t="e">
        <f>'DIY Grundmodell'!S537</f>
        <v>#N/A</v>
      </c>
      <c r="AH450" s="54" t="e">
        <f>'DIY Grundmodell'!T537</f>
        <v>#N/A</v>
      </c>
      <c r="AI450" s="89">
        <f>'DIY Grundmodell'!U537</f>
        <v>539.91</v>
      </c>
      <c r="AJ450" s="89">
        <f>'DIY Grundmodell'!V537</f>
        <v>0</v>
      </c>
      <c r="AK450" s="989"/>
      <c r="AL450" s="33">
        <f>'DIY Grundmodell'!X537</f>
        <v>5567.1903899999998</v>
      </c>
    </row>
    <row r="451" spans="32:38" ht="14.1" customHeight="1" x14ac:dyDescent="0.45">
      <c r="AF451" s="988">
        <f>'DIY Grundmodell'!R538</f>
        <v>45480</v>
      </c>
      <c r="AG451" s="89" t="e">
        <f>'DIY Grundmodell'!S538</f>
        <v>#N/A</v>
      </c>
      <c r="AH451" s="54" t="e">
        <f>'DIY Grundmodell'!T538</f>
        <v>#N/A</v>
      </c>
      <c r="AI451" s="89">
        <f>'DIY Grundmodell'!U538</f>
        <v>539.91</v>
      </c>
      <c r="AJ451" s="89">
        <f>'DIY Grundmodell'!V538</f>
        <v>0</v>
      </c>
      <c r="AK451" s="989"/>
      <c r="AL451" s="33">
        <f>'DIY Grundmodell'!X538</f>
        <v>5567.1903899999998</v>
      </c>
    </row>
    <row r="452" spans="32:38" ht="14.1" customHeight="1" x14ac:dyDescent="0.45">
      <c r="AF452" s="988">
        <f>'DIY Grundmodell'!R539</f>
        <v>45481</v>
      </c>
      <c r="AG452" s="89">
        <f>'DIY Grundmodell'!S539</f>
        <v>529.32000000000005</v>
      </c>
      <c r="AH452" s="54">
        <f>'DIY Grundmodell'!T539</f>
        <v>7896.1284500000002</v>
      </c>
      <c r="AI452" s="89">
        <f>'DIY Grundmodell'!U539</f>
        <v>529.32000000000005</v>
      </c>
      <c r="AJ452" s="89">
        <f>'DIY Grundmodell'!V539</f>
        <v>7896.1284500000002</v>
      </c>
      <c r="AK452" s="989"/>
      <c r="AL452" s="33">
        <f>'DIY Grundmodell'!X539</f>
        <v>5572.8501999999999</v>
      </c>
    </row>
    <row r="453" spans="32:38" ht="14.1" customHeight="1" x14ac:dyDescent="0.45">
      <c r="AF453" s="988">
        <f>'DIY Grundmodell'!R540</f>
        <v>45482</v>
      </c>
      <c r="AG453" s="89">
        <f>'DIY Grundmodell'!S540</f>
        <v>530</v>
      </c>
      <c r="AH453" s="54">
        <f>'DIY Grundmodell'!T540</f>
        <v>4647.6166400000002</v>
      </c>
      <c r="AI453" s="89">
        <f>'DIY Grundmodell'!U540</f>
        <v>530</v>
      </c>
      <c r="AJ453" s="89">
        <f>'DIY Grundmodell'!V540</f>
        <v>4647.6166400000002</v>
      </c>
      <c r="AK453" s="989"/>
      <c r="AL453" s="33">
        <f>'DIY Grundmodell'!X540</f>
        <v>5576.9844999999996</v>
      </c>
    </row>
    <row r="454" spans="32:38" ht="14.1" customHeight="1" x14ac:dyDescent="0.45">
      <c r="AF454" s="988">
        <f>'DIY Grundmodell'!R541</f>
        <v>45483</v>
      </c>
      <c r="AG454" s="89">
        <f>'DIY Grundmodell'!S541</f>
        <v>534.69000000000005</v>
      </c>
      <c r="AH454" s="54">
        <f>'DIY Grundmodell'!T541</f>
        <v>5872.6478399999996</v>
      </c>
      <c r="AI454" s="89">
        <f>'DIY Grundmodell'!U541</f>
        <v>534.69000000000005</v>
      </c>
      <c r="AJ454" s="89">
        <f>'DIY Grundmodell'!V541</f>
        <v>5872.6478399999996</v>
      </c>
      <c r="AK454" s="989"/>
      <c r="AL454" s="33">
        <f>'DIY Grundmodell'!X541</f>
        <v>5633.9122100000004</v>
      </c>
    </row>
    <row r="455" spans="32:38" ht="14.1" customHeight="1" x14ac:dyDescent="0.45">
      <c r="AF455" s="988">
        <f>'DIY Grundmodell'!R542</f>
        <v>45484</v>
      </c>
      <c r="AG455" s="89">
        <f>'DIY Grundmodell'!S542</f>
        <v>512.70000000000005</v>
      </c>
      <c r="AH455" s="54">
        <f>'DIY Grundmodell'!T542</f>
        <v>8438.1463100000001</v>
      </c>
      <c r="AI455" s="89">
        <f>'DIY Grundmodell'!U542</f>
        <v>512.70000000000005</v>
      </c>
      <c r="AJ455" s="89">
        <f>'DIY Grundmodell'!V542</f>
        <v>8438.1463100000001</v>
      </c>
      <c r="AK455" s="989"/>
      <c r="AL455" s="33">
        <f>'DIY Grundmodell'!X542</f>
        <v>5584.5443299999997</v>
      </c>
    </row>
    <row r="456" spans="32:38" ht="14.1" customHeight="1" x14ac:dyDescent="0.45">
      <c r="AF456" s="988">
        <f>'DIY Grundmodell'!R543</f>
        <v>45485</v>
      </c>
      <c r="AG456" s="89">
        <f>'DIY Grundmodell'!S543</f>
        <v>498.87</v>
      </c>
      <c r="AH456" s="54">
        <f>'DIY Grundmodell'!T543</f>
        <v>9852.9538900000007</v>
      </c>
      <c r="AI456" s="89">
        <f>'DIY Grundmodell'!U543</f>
        <v>498.87</v>
      </c>
      <c r="AJ456" s="89">
        <f>'DIY Grundmodell'!V543</f>
        <v>9852.9538900000007</v>
      </c>
      <c r="AK456" s="989"/>
      <c r="AL456" s="33">
        <f>'DIY Grundmodell'!X543</f>
        <v>5615.3487599999999</v>
      </c>
    </row>
    <row r="457" spans="32:38" ht="14.1" customHeight="1" x14ac:dyDescent="0.45">
      <c r="AF457" s="988">
        <f>'DIY Grundmodell'!R544</f>
        <v>45486</v>
      </c>
      <c r="AG457" s="89" t="e">
        <f>'DIY Grundmodell'!S544</f>
        <v>#N/A</v>
      </c>
      <c r="AH457" s="54" t="e">
        <f>'DIY Grundmodell'!T544</f>
        <v>#N/A</v>
      </c>
      <c r="AI457" s="89">
        <f>'DIY Grundmodell'!U544</f>
        <v>498.87</v>
      </c>
      <c r="AJ457" s="89">
        <f>'DIY Grundmodell'!V544</f>
        <v>0</v>
      </c>
      <c r="AK457" s="989"/>
      <c r="AL457" s="33">
        <f>'DIY Grundmodell'!X544</f>
        <v>5615.3487599999999</v>
      </c>
    </row>
    <row r="458" spans="32:38" ht="14.1" customHeight="1" x14ac:dyDescent="0.45">
      <c r="AF458" s="988">
        <f>'DIY Grundmodell'!R545</f>
        <v>45487</v>
      </c>
      <c r="AG458" s="89" t="e">
        <f>'DIY Grundmodell'!S545</f>
        <v>#N/A</v>
      </c>
      <c r="AH458" s="54" t="e">
        <f>'DIY Grundmodell'!T545</f>
        <v>#N/A</v>
      </c>
      <c r="AI458" s="89">
        <f>'DIY Grundmodell'!U545</f>
        <v>498.87</v>
      </c>
      <c r="AJ458" s="89">
        <f>'DIY Grundmodell'!V545</f>
        <v>0</v>
      </c>
      <c r="AK458" s="989"/>
      <c r="AL458" s="33">
        <f>'DIY Grundmodell'!X545</f>
        <v>5615.3487599999999</v>
      </c>
    </row>
    <row r="459" spans="32:38" ht="14.1" customHeight="1" x14ac:dyDescent="0.45">
      <c r="AF459" s="988">
        <f>'DIY Grundmodell'!R546</f>
        <v>45488</v>
      </c>
      <c r="AG459" s="89">
        <f>'DIY Grundmodell'!S546</f>
        <v>496.16</v>
      </c>
      <c r="AH459" s="54">
        <f>'DIY Grundmodell'!T546</f>
        <v>6221.4311100000004</v>
      </c>
      <c r="AI459" s="89">
        <f>'DIY Grundmodell'!U546</f>
        <v>496.16</v>
      </c>
      <c r="AJ459" s="89">
        <f>'DIY Grundmodell'!V546</f>
        <v>6221.4311100000004</v>
      </c>
      <c r="AK459" s="989"/>
      <c r="AL459" s="33">
        <f>'DIY Grundmodell'!X546</f>
        <v>5631.2160400000002</v>
      </c>
    </row>
    <row r="460" spans="32:38" ht="14.1" customHeight="1" x14ac:dyDescent="0.45">
      <c r="AF460" s="988">
        <f>'DIY Grundmodell'!R547</f>
        <v>45489</v>
      </c>
      <c r="AG460" s="89">
        <f>'DIY Grundmodell'!S547</f>
        <v>489.79</v>
      </c>
      <c r="AH460" s="54">
        <f>'DIY Grundmodell'!T547</f>
        <v>6894.2022500000003</v>
      </c>
      <c r="AI460" s="89">
        <f>'DIY Grundmodell'!U547</f>
        <v>489.79</v>
      </c>
      <c r="AJ460" s="89">
        <f>'DIY Grundmodell'!V547</f>
        <v>6894.2022500000003</v>
      </c>
      <c r="AK460" s="989"/>
      <c r="AL460" s="33">
        <f>'DIY Grundmodell'!X547</f>
        <v>5667.19769</v>
      </c>
    </row>
    <row r="461" spans="32:38" ht="14.1" customHeight="1" x14ac:dyDescent="0.45">
      <c r="AF461" s="988">
        <f>'DIY Grundmodell'!R548</f>
        <v>45490</v>
      </c>
      <c r="AG461" s="89">
        <f>'DIY Grundmodell'!S548</f>
        <v>461.99</v>
      </c>
      <c r="AH461" s="54">
        <f>'DIY Grundmodell'!T548</f>
        <v>12971.10612</v>
      </c>
      <c r="AI461" s="89">
        <f>'DIY Grundmodell'!U548</f>
        <v>461.99</v>
      </c>
      <c r="AJ461" s="89">
        <f>'DIY Grundmodell'!V548</f>
        <v>12971.10612</v>
      </c>
      <c r="AK461" s="989"/>
      <c r="AL461" s="33">
        <f>'DIY Grundmodell'!X548</f>
        <v>5588.2716899999996</v>
      </c>
    </row>
    <row r="462" spans="32:38" ht="14.1" customHeight="1" x14ac:dyDescent="0.45">
      <c r="AF462" s="988">
        <f>'DIY Grundmodell'!R549</f>
        <v>45491</v>
      </c>
      <c r="AG462" s="89">
        <f>'DIY Grundmodell'!S549</f>
        <v>475.85</v>
      </c>
      <c r="AH462" s="54">
        <f>'DIY Grundmodell'!T549</f>
        <v>9168.2780899999998</v>
      </c>
      <c r="AI462" s="89">
        <f>'DIY Grundmodell'!U549</f>
        <v>475.85</v>
      </c>
      <c r="AJ462" s="89">
        <f>'DIY Grundmodell'!V549</f>
        <v>9168.2780899999998</v>
      </c>
      <c r="AK462" s="989"/>
      <c r="AL462" s="33">
        <f>'DIY Grundmodell'!X549</f>
        <v>5544.5932400000002</v>
      </c>
    </row>
    <row r="463" spans="32:38" ht="14.1" customHeight="1" x14ac:dyDescent="0.45">
      <c r="AF463" s="988">
        <f>'DIY Grundmodell'!R550</f>
        <v>45492</v>
      </c>
      <c r="AG463" s="89">
        <f>'DIY Grundmodell'!S550</f>
        <v>476.79</v>
      </c>
      <c r="AH463" s="54">
        <f>'DIY Grundmodell'!T550</f>
        <v>7223.0900600000004</v>
      </c>
      <c r="AI463" s="89">
        <f>'DIY Grundmodell'!U550</f>
        <v>476.79</v>
      </c>
      <c r="AJ463" s="89">
        <f>'DIY Grundmodell'!V550</f>
        <v>7223.0900600000004</v>
      </c>
      <c r="AK463" s="989"/>
      <c r="AL463" s="33">
        <f>'DIY Grundmodell'!X550</f>
        <v>5505.0030900000002</v>
      </c>
    </row>
    <row r="464" spans="32:38" ht="14.1" customHeight="1" x14ac:dyDescent="0.45">
      <c r="AF464" s="988">
        <f>'DIY Grundmodell'!R551</f>
        <v>45493</v>
      </c>
      <c r="AG464" s="89" t="e">
        <f>'DIY Grundmodell'!S551</f>
        <v>#N/A</v>
      </c>
      <c r="AH464" s="54" t="e">
        <f>'DIY Grundmodell'!T551</f>
        <v>#N/A</v>
      </c>
      <c r="AI464" s="89">
        <f>'DIY Grundmodell'!U551</f>
        <v>476.79</v>
      </c>
      <c r="AJ464" s="89">
        <f>'DIY Grundmodell'!V551</f>
        <v>0</v>
      </c>
      <c r="AK464" s="989"/>
      <c r="AL464" s="33">
        <f>'DIY Grundmodell'!X551</f>
        <v>5505.0030900000002</v>
      </c>
    </row>
    <row r="465" spans="32:38" ht="14.1" customHeight="1" x14ac:dyDescent="0.45">
      <c r="AF465" s="988">
        <f>'DIY Grundmodell'!R552</f>
        <v>45494</v>
      </c>
      <c r="AG465" s="89" t="e">
        <f>'DIY Grundmodell'!S552</f>
        <v>#N/A</v>
      </c>
      <c r="AH465" s="54" t="e">
        <f>'DIY Grundmodell'!T552</f>
        <v>#N/A</v>
      </c>
      <c r="AI465" s="89">
        <f>'DIY Grundmodell'!U552</f>
        <v>476.79</v>
      </c>
      <c r="AJ465" s="89">
        <f>'DIY Grundmodell'!V552</f>
        <v>0</v>
      </c>
      <c r="AK465" s="989"/>
      <c r="AL465" s="33">
        <f>'DIY Grundmodell'!X552</f>
        <v>5505.0030900000002</v>
      </c>
    </row>
    <row r="466" spans="32:38" ht="14.1" customHeight="1" x14ac:dyDescent="0.45">
      <c r="AF466" s="988">
        <f>'DIY Grundmodell'!R553</f>
        <v>45495</v>
      </c>
      <c r="AG466" s="89">
        <f>'DIY Grundmodell'!S553</f>
        <v>487.4</v>
      </c>
      <c r="AH466" s="54">
        <f>'DIY Grundmodell'!T553</f>
        <v>5860.0530900000003</v>
      </c>
      <c r="AI466" s="89">
        <f>'DIY Grundmodell'!U553</f>
        <v>487.4</v>
      </c>
      <c r="AJ466" s="89">
        <f>'DIY Grundmodell'!V553</f>
        <v>5860.0530900000003</v>
      </c>
      <c r="AK466" s="989"/>
      <c r="AL466" s="33">
        <f>'DIY Grundmodell'!X553</f>
        <v>5564.4128899999996</v>
      </c>
    </row>
    <row r="467" spans="32:38" ht="14.1" customHeight="1" x14ac:dyDescent="0.45">
      <c r="AF467" s="988">
        <f>'DIY Grundmodell'!R554</f>
        <v>45496</v>
      </c>
      <c r="AG467" s="89">
        <f>'DIY Grundmodell'!S554</f>
        <v>488.69</v>
      </c>
      <c r="AH467" s="54">
        <f>'DIY Grundmodell'!T554</f>
        <v>4620.8214900000003</v>
      </c>
      <c r="AI467" s="89">
        <f>'DIY Grundmodell'!U554</f>
        <v>488.69</v>
      </c>
      <c r="AJ467" s="89">
        <f>'DIY Grundmodell'!V554</f>
        <v>4620.8214900000003</v>
      </c>
      <c r="AK467" s="989"/>
      <c r="AL467" s="33">
        <f>'DIY Grundmodell'!X554</f>
        <v>5555.7436699999998</v>
      </c>
    </row>
    <row r="468" spans="32:38" ht="14.1" customHeight="1" x14ac:dyDescent="0.45">
      <c r="AF468" s="988">
        <f>'DIY Grundmodell'!R555</f>
        <v>45497</v>
      </c>
      <c r="AG468" s="89">
        <f>'DIY Grundmodell'!S555</f>
        <v>461.27</v>
      </c>
      <c r="AH468" s="54">
        <f>'DIY Grundmodell'!T555</f>
        <v>8141.2946499999998</v>
      </c>
      <c r="AI468" s="89">
        <f>'DIY Grundmodell'!U555</f>
        <v>461.27</v>
      </c>
      <c r="AJ468" s="89">
        <f>'DIY Grundmodell'!V555</f>
        <v>8141.2946499999998</v>
      </c>
      <c r="AK468" s="989"/>
      <c r="AL468" s="33">
        <f>'DIY Grundmodell'!X555</f>
        <v>5427.1276799999996</v>
      </c>
    </row>
    <row r="469" spans="32:38" ht="14.1" customHeight="1" x14ac:dyDescent="0.45">
      <c r="AF469" s="988">
        <f>'DIY Grundmodell'!R556</f>
        <v>45498</v>
      </c>
      <c r="AG469" s="89">
        <f>'DIY Grundmodell'!S556</f>
        <v>453.41</v>
      </c>
      <c r="AH469" s="54">
        <f>'DIY Grundmodell'!T556</f>
        <v>8270.4201200000007</v>
      </c>
      <c r="AI469" s="89">
        <f>'DIY Grundmodell'!U556</f>
        <v>453.41</v>
      </c>
      <c r="AJ469" s="89">
        <f>'DIY Grundmodell'!V556</f>
        <v>8270.4201200000007</v>
      </c>
      <c r="AK469" s="989"/>
      <c r="AL469" s="33">
        <f>'DIY Grundmodell'!X556</f>
        <v>5399.2224800000004</v>
      </c>
    </row>
    <row r="470" spans="32:38" ht="14.1" customHeight="1" x14ac:dyDescent="0.45">
      <c r="AF470" s="988">
        <f>'DIY Grundmodell'!R557</f>
        <v>45499</v>
      </c>
      <c r="AG470" s="89">
        <f>'DIY Grundmodell'!S557</f>
        <v>465.7</v>
      </c>
      <c r="AH470" s="54">
        <f>'DIY Grundmodell'!T557</f>
        <v>6623.3660900000004</v>
      </c>
      <c r="AI470" s="89">
        <f>'DIY Grundmodell'!U557</f>
        <v>465.7</v>
      </c>
      <c r="AJ470" s="89">
        <f>'DIY Grundmodell'!V557</f>
        <v>6623.3660900000004</v>
      </c>
      <c r="AK470" s="989"/>
      <c r="AL470" s="33">
        <f>'DIY Grundmodell'!X557</f>
        <v>5459.0973999999997</v>
      </c>
    </row>
    <row r="471" spans="32:38" ht="14.1" customHeight="1" x14ac:dyDescent="0.45">
      <c r="AF471" s="988">
        <f>'DIY Grundmodell'!R558</f>
        <v>45500</v>
      </c>
      <c r="AG471" s="89" t="e">
        <f>'DIY Grundmodell'!S558</f>
        <v>#N/A</v>
      </c>
      <c r="AH471" s="54" t="e">
        <f>'DIY Grundmodell'!T558</f>
        <v>#N/A</v>
      </c>
      <c r="AI471" s="89">
        <f>'DIY Grundmodell'!U558</f>
        <v>465.7</v>
      </c>
      <c r="AJ471" s="89">
        <f>'DIY Grundmodell'!V558</f>
        <v>0</v>
      </c>
      <c r="AK471" s="989"/>
      <c r="AL471" s="33">
        <f>'DIY Grundmodell'!X558</f>
        <v>5459.0973999999997</v>
      </c>
    </row>
    <row r="472" spans="32:38" ht="14.1" customHeight="1" x14ac:dyDescent="0.45">
      <c r="AF472" s="988">
        <f>'DIY Grundmodell'!R559</f>
        <v>45501</v>
      </c>
      <c r="AG472" s="89" t="e">
        <f>'DIY Grundmodell'!S559</f>
        <v>#N/A</v>
      </c>
      <c r="AH472" s="54" t="e">
        <f>'DIY Grundmodell'!T559</f>
        <v>#N/A</v>
      </c>
      <c r="AI472" s="89">
        <f>'DIY Grundmodell'!U559</f>
        <v>465.7</v>
      </c>
      <c r="AJ472" s="89">
        <f>'DIY Grundmodell'!V559</f>
        <v>0</v>
      </c>
      <c r="AK472" s="989"/>
      <c r="AL472" s="33">
        <f>'DIY Grundmodell'!X559</f>
        <v>5459.0973999999997</v>
      </c>
    </row>
    <row r="473" spans="32:38" ht="14.1" customHeight="1" x14ac:dyDescent="0.45">
      <c r="AF473" s="988">
        <f>'DIY Grundmodell'!R560</f>
        <v>45502</v>
      </c>
      <c r="AG473" s="89">
        <f>'DIY Grundmodell'!S560</f>
        <v>465.71</v>
      </c>
      <c r="AH473" s="54">
        <f>'DIY Grundmodell'!T560</f>
        <v>5280.9790899999998</v>
      </c>
      <c r="AI473" s="89">
        <f>'DIY Grundmodell'!U560</f>
        <v>465.71</v>
      </c>
      <c r="AJ473" s="89">
        <f>'DIY Grundmodell'!V560</f>
        <v>5280.9790899999998</v>
      </c>
      <c r="AK473" s="989"/>
      <c r="AL473" s="33">
        <f>'DIY Grundmodell'!X560</f>
        <v>5463.5384700000004</v>
      </c>
    </row>
    <row r="474" spans="32:38" ht="14.1" customHeight="1" x14ac:dyDescent="0.45">
      <c r="AF474" s="988">
        <f>'DIY Grundmodell'!R561</f>
        <v>45503</v>
      </c>
      <c r="AG474" s="89">
        <f>'DIY Grundmodell'!S561</f>
        <v>463.19</v>
      </c>
      <c r="AH474" s="54">
        <f>'DIY Grundmodell'!T561</f>
        <v>5275.9374399999997</v>
      </c>
      <c r="AI474" s="89">
        <f>'DIY Grundmodell'!U561</f>
        <v>463.19</v>
      </c>
      <c r="AJ474" s="89">
        <f>'DIY Grundmodell'!V561</f>
        <v>5275.9374399999997</v>
      </c>
      <c r="AK474" s="989"/>
      <c r="AL474" s="33">
        <f>'DIY Grundmodell'!X561</f>
        <v>5436.4440999999997</v>
      </c>
    </row>
    <row r="475" spans="32:38" ht="14.1" customHeight="1" x14ac:dyDescent="0.45">
      <c r="AF475" s="988">
        <f>'DIY Grundmodell'!R562</f>
        <v>45504</v>
      </c>
      <c r="AG475" s="89">
        <f>'DIY Grundmodell'!S562</f>
        <v>474.83</v>
      </c>
      <c r="AH475" s="54">
        <f>'DIY Grundmodell'!T562</f>
        <v>11531.61549</v>
      </c>
      <c r="AI475" s="89">
        <f>'DIY Grundmodell'!U562</f>
        <v>474.83</v>
      </c>
      <c r="AJ475" s="89">
        <f>'DIY Grundmodell'!V562</f>
        <v>11531.61549</v>
      </c>
      <c r="AK475" s="989"/>
      <c r="AL475" s="33">
        <f>'DIY Grundmodell'!X562</f>
        <v>5522.3018400000001</v>
      </c>
    </row>
    <row r="476" spans="32:38" ht="14.1" customHeight="1" x14ac:dyDescent="0.45">
      <c r="AF476" s="988">
        <f>'DIY Grundmodell'!R563</f>
        <v>45505</v>
      </c>
      <c r="AG476" s="89">
        <f>'DIY Grundmodell'!S563</f>
        <v>497.74</v>
      </c>
      <c r="AH476" s="54">
        <f>'DIY Grundmodell'!T563</f>
        <v>21444.17324</v>
      </c>
      <c r="AI476" s="89">
        <f>'DIY Grundmodell'!U563</f>
        <v>497.74</v>
      </c>
      <c r="AJ476" s="89">
        <f>'DIY Grundmodell'!V563</f>
        <v>21444.17324</v>
      </c>
      <c r="AK476" s="989"/>
      <c r="AL476" s="33">
        <f>'DIY Grundmodell'!X563</f>
        <v>5446.6843200000003</v>
      </c>
    </row>
    <row r="477" spans="32:38" ht="14.1" customHeight="1" x14ac:dyDescent="0.45">
      <c r="AF477" s="988">
        <f>'DIY Grundmodell'!R564</f>
        <v>45506</v>
      </c>
      <c r="AG477" s="89">
        <f>'DIY Grundmodell'!S564</f>
        <v>488.14</v>
      </c>
      <c r="AH477" s="54">
        <f>'DIY Grundmodell'!T564</f>
        <v>11737.15936</v>
      </c>
      <c r="AI477" s="89">
        <f>'DIY Grundmodell'!U564</f>
        <v>488.14</v>
      </c>
      <c r="AJ477" s="89">
        <f>'DIY Grundmodell'!V564</f>
        <v>11737.15936</v>
      </c>
      <c r="AK477" s="989"/>
      <c r="AL477" s="33">
        <f>'DIY Grundmodell'!X564</f>
        <v>5346.5632599999999</v>
      </c>
    </row>
    <row r="478" spans="32:38" ht="14.1" customHeight="1" x14ac:dyDescent="0.45">
      <c r="AF478" s="988">
        <f>'DIY Grundmodell'!R565</f>
        <v>45507</v>
      </c>
      <c r="AG478" s="89" t="e">
        <f>'DIY Grundmodell'!S565</f>
        <v>#N/A</v>
      </c>
      <c r="AH478" s="54" t="e">
        <f>'DIY Grundmodell'!T565</f>
        <v>#N/A</v>
      </c>
      <c r="AI478" s="89">
        <f>'DIY Grundmodell'!U565</f>
        <v>488.14</v>
      </c>
      <c r="AJ478" s="89">
        <f>'DIY Grundmodell'!V565</f>
        <v>0</v>
      </c>
      <c r="AK478" s="989"/>
      <c r="AL478" s="33">
        <f>'DIY Grundmodell'!X565</f>
        <v>5346.5632599999999</v>
      </c>
    </row>
    <row r="479" spans="32:38" ht="14.1" customHeight="1" x14ac:dyDescent="0.45">
      <c r="AF479" s="988">
        <f>'DIY Grundmodell'!R566</f>
        <v>45508</v>
      </c>
      <c r="AG479" s="89" t="e">
        <f>'DIY Grundmodell'!S566</f>
        <v>#N/A</v>
      </c>
      <c r="AH479" s="54" t="e">
        <f>'DIY Grundmodell'!T566</f>
        <v>#N/A</v>
      </c>
      <c r="AI479" s="89">
        <f>'DIY Grundmodell'!U566</f>
        <v>488.14</v>
      </c>
      <c r="AJ479" s="89">
        <f>'DIY Grundmodell'!V566</f>
        <v>0</v>
      </c>
      <c r="AK479" s="989"/>
      <c r="AL479" s="33">
        <f>'DIY Grundmodell'!X566</f>
        <v>5346.5632599999999</v>
      </c>
    </row>
    <row r="480" spans="32:38" ht="14.1" customHeight="1" x14ac:dyDescent="0.45">
      <c r="AF480" s="988">
        <f>'DIY Grundmodell'!R567</f>
        <v>45509</v>
      </c>
      <c r="AG480" s="89">
        <f>'DIY Grundmodell'!S567</f>
        <v>475.73</v>
      </c>
      <c r="AH480" s="54">
        <f>'DIY Grundmodell'!T567</f>
        <v>10178.809939999999</v>
      </c>
      <c r="AI480" s="89">
        <f>'DIY Grundmodell'!U567</f>
        <v>475.73</v>
      </c>
      <c r="AJ480" s="89">
        <f>'DIY Grundmodell'!V567</f>
        <v>10178.809939999999</v>
      </c>
      <c r="AK480" s="989"/>
      <c r="AL480" s="33">
        <f>'DIY Grundmodell'!X567</f>
        <v>5186.3304099999996</v>
      </c>
    </row>
    <row r="481" spans="32:38" ht="14.1" customHeight="1" x14ac:dyDescent="0.45">
      <c r="AF481" s="988">
        <f>'DIY Grundmodell'!R568</f>
        <v>45510</v>
      </c>
      <c r="AG481" s="89">
        <f>'DIY Grundmodell'!S568</f>
        <v>494.09</v>
      </c>
      <c r="AH481" s="54">
        <f>'DIY Grundmodell'!T568</f>
        <v>10353.635689999999</v>
      </c>
      <c r="AI481" s="89">
        <f>'DIY Grundmodell'!U568</f>
        <v>494.09</v>
      </c>
      <c r="AJ481" s="89">
        <f>'DIY Grundmodell'!V568</f>
        <v>10353.635689999999</v>
      </c>
      <c r="AK481" s="989"/>
      <c r="AL481" s="33">
        <f>'DIY Grundmodell'!X568</f>
        <v>5240.0261499999997</v>
      </c>
    </row>
    <row r="482" spans="32:38" ht="14.1" customHeight="1" x14ac:dyDescent="0.45">
      <c r="AF482" s="988">
        <f>'DIY Grundmodell'!R569</f>
        <v>45511</v>
      </c>
      <c r="AG482" s="89">
        <f>'DIY Grundmodell'!S569</f>
        <v>488.92</v>
      </c>
      <c r="AH482" s="54">
        <f>'DIY Grundmodell'!T569</f>
        <v>9829.8866999999991</v>
      </c>
      <c r="AI482" s="89">
        <f>'DIY Grundmodell'!U569</f>
        <v>488.92</v>
      </c>
      <c r="AJ482" s="89">
        <f>'DIY Grundmodell'!V569</f>
        <v>9829.8866999999991</v>
      </c>
      <c r="AK482" s="989"/>
      <c r="AL482" s="33">
        <f>'DIY Grundmodell'!X569</f>
        <v>5199.4999699999998</v>
      </c>
    </row>
    <row r="483" spans="32:38" ht="14.1" customHeight="1" x14ac:dyDescent="0.45">
      <c r="AF483" s="988">
        <f>'DIY Grundmodell'!R570</f>
        <v>45512</v>
      </c>
      <c r="AG483" s="89">
        <f>'DIY Grundmodell'!S570</f>
        <v>509.63</v>
      </c>
      <c r="AH483" s="54">
        <f>'DIY Grundmodell'!T570</f>
        <v>8234.0118999999995</v>
      </c>
      <c r="AI483" s="89">
        <f>'DIY Grundmodell'!U570</f>
        <v>509.63</v>
      </c>
      <c r="AJ483" s="89">
        <f>'DIY Grundmodell'!V570</f>
        <v>8234.0118999999995</v>
      </c>
      <c r="AK483" s="989"/>
      <c r="AL483" s="33">
        <f>'DIY Grundmodell'!X570</f>
        <v>5319.3081199999997</v>
      </c>
    </row>
    <row r="484" spans="32:38" ht="14.1" customHeight="1" x14ac:dyDescent="0.45">
      <c r="AF484" s="988">
        <f>'DIY Grundmodell'!R571</f>
        <v>45513</v>
      </c>
      <c r="AG484" s="89">
        <f>'DIY Grundmodell'!S571</f>
        <v>517.77</v>
      </c>
      <c r="AH484" s="54">
        <f>'DIY Grundmodell'!T571</f>
        <v>7091.7092899999998</v>
      </c>
      <c r="AI484" s="89">
        <f>'DIY Grundmodell'!U571</f>
        <v>517.77</v>
      </c>
      <c r="AJ484" s="89">
        <f>'DIY Grundmodell'!V571</f>
        <v>7091.7092899999998</v>
      </c>
      <c r="AK484" s="989"/>
      <c r="AL484" s="33">
        <f>'DIY Grundmodell'!X571</f>
        <v>5344.1643599999998</v>
      </c>
    </row>
    <row r="485" spans="32:38" ht="14.1" customHeight="1" x14ac:dyDescent="0.45">
      <c r="AF485" s="988">
        <f>'DIY Grundmodell'!R572</f>
        <v>45514</v>
      </c>
      <c r="AG485" s="89" t="e">
        <f>'DIY Grundmodell'!S572</f>
        <v>#N/A</v>
      </c>
      <c r="AH485" s="54" t="e">
        <f>'DIY Grundmodell'!T572</f>
        <v>#N/A</v>
      </c>
      <c r="AI485" s="89">
        <f>'DIY Grundmodell'!U572</f>
        <v>517.77</v>
      </c>
      <c r="AJ485" s="89">
        <f>'DIY Grundmodell'!V572</f>
        <v>0</v>
      </c>
      <c r="AK485" s="989"/>
      <c r="AL485" s="33">
        <f>'DIY Grundmodell'!X572</f>
        <v>5344.1643599999998</v>
      </c>
    </row>
    <row r="486" spans="32:38" ht="14.1" customHeight="1" x14ac:dyDescent="0.45">
      <c r="AF486" s="988">
        <f>'DIY Grundmodell'!R573</f>
        <v>45515</v>
      </c>
      <c r="AG486" s="89" t="e">
        <f>'DIY Grundmodell'!S573</f>
        <v>#N/A</v>
      </c>
      <c r="AH486" s="54" t="e">
        <f>'DIY Grundmodell'!T573</f>
        <v>#N/A</v>
      </c>
      <c r="AI486" s="89">
        <f>'DIY Grundmodell'!U573</f>
        <v>517.77</v>
      </c>
      <c r="AJ486" s="89">
        <f>'DIY Grundmodell'!V573</f>
        <v>0</v>
      </c>
      <c r="AK486" s="989"/>
      <c r="AL486" s="33">
        <f>'DIY Grundmodell'!X573</f>
        <v>5344.1643599999998</v>
      </c>
    </row>
    <row r="487" spans="32:38" ht="14.1" customHeight="1" x14ac:dyDescent="0.45">
      <c r="AF487" s="988">
        <f>'DIY Grundmodell'!R574</f>
        <v>45516</v>
      </c>
      <c r="AG487" s="89">
        <f>'DIY Grundmodell'!S574</f>
        <v>515.95000000000005</v>
      </c>
      <c r="AH487" s="54">
        <f>'DIY Grundmodell'!T574</f>
        <v>5039.5013799999997</v>
      </c>
      <c r="AI487" s="89">
        <f>'DIY Grundmodell'!U574</f>
        <v>515.95000000000005</v>
      </c>
      <c r="AJ487" s="89">
        <f>'DIY Grundmodell'!V574</f>
        <v>5039.5013799999997</v>
      </c>
      <c r="AK487" s="989"/>
      <c r="AL487" s="33">
        <f>'DIY Grundmodell'!X574</f>
        <v>5344.3851999999997</v>
      </c>
    </row>
    <row r="488" spans="32:38" ht="14.1" customHeight="1" x14ac:dyDescent="0.45">
      <c r="AF488" s="988">
        <f>'DIY Grundmodell'!R575</f>
        <v>45517</v>
      </c>
      <c r="AG488" s="89">
        <f>'DIY Grundmodell'!S575</f>
        <v>528.54</v>
      </c>
      <c r="AH488" s="54">
        <f>'DIY Grundmodell'!T575</f>
        <v>7264.16867</v>
      </c>
      <c r="AI488" s="89">
        <f>'DIY Grundmodell'!U575</f>
        <v>528.54</v>
      </c>
      <c r="AJ488" s="89">
        <f>'DIY Grundmodell'!V575</f>
        <v>7264.16867</v>
      </c>
      <c r="AK488" s="989"/>
      <c r="AL488" s="33">
        <f>'DIY Grundmodell'!X575</f>
        <v>5434.4328299999997</v>
      </c>
    </row>
    <row r="489" spans="32:38" ht="14.1" customHeight="1" x14ac:dyDescent="0.45">
      <c r="AF489" s="988">
        <f>'DIY Grundmodell'!R576</f>
        <v>45518</v>
      </c>
      <c r="AG489" s="89">
        <f>'DIY Grundmodell'!S576</f>
        <v>526.76</v>
      </c>
      <c r="AH489" s="54">
        <f>'DIY Grundmodell'!T576</f>
        <v>6028.3410000000003</v>
      </c>
      <c r="AI489" s="89">
        <f>'DIY Grundmodell'!U576</f>
        <v>526.76</v>
      </c>
      <c r="AJ489" s="89">
        <f>'DIY Grundmodell'!V576</f>
        <v>6028.3410000000003</v>
      </c>
      <c r="AK489" s="989"/>
      <c r="AL489" s="33">
        <f>'DIY Grundmodell'!X576</f>
        <v>5455.2120000000004</v>
      </c>
    </row>
    <row r="490" spans="32:38" ht="14.1" customHeight="1" x14ac:dyDescent="0.45">
      <c r="AF490" s="988">
        <f>'DIY Grundmodell'!R577</f>
        <v>45519</v>
      </c>
      <c r="AG490" s="89">
        <f>'DIY Grundmodell'!S577</f>
        <v>537.33000000000004</v>
      </c>
      <c r="AH490" s="54">
        <f>'DIY Grundmodell'!T577</f>
        <v>7244.3588200000004</v>
      </c>
      <c r="AI490" s="89">
        <f>'DIY Grundmodell'!U577</f>
        <v>537.33000000000004</v>
      </c>
      <c r="AJ490" s="89">
        <f>'DIY Grundmodell'!V577</f>
        <v>7244.3588200000004</v>
      </c>
      <c r="AK490" s="989"/>
      <c r="AL490" s="33">
        <f>'DIY Grundmodell'!X577</f>
        <v>5543.2182300000004</v>
      </c>
    </row>
    <row r="491" spans="32:38" ht="14.1" customHeight="1" x14ac:dyDescent="0.45">
      <c r="AF491" s="988">
        <f>'DIY Grundmodell'!R578</f>
        <v>45520</v>
      </c>
      <c r="AG491" s="89">
        <f>'DIY Grundmodell'!S578</f>
        <v>527.41999999999996</v>
      </c>
      <c r="AH491" s="54">
        <f>'DIY Grundmodell'!T578</f>
        <v>7793.5186800000001</v>
      </c>
      <c r="AI491" s="89">
        <f>'DIY Grundmodell'!U578</f>
        <v>527.41999999999996</v>
      </c>
      <c r="AJ491" s="89">
        <f>'DIY Grundmodell'!V578</f>
        <v>7793.5186800000001</v>
      </c>
      <c r="AK491" s="989"/>
      <c r="AL491" s="33">
        <f>'DIY Grundmodell'!X578</f>
        <v>5554.2510599999996</v>
      </c>
    </row>
    <row r="492" spans="32:38" ht="14.1" customHeight="1" x14ac:dyDescent="0.45">
      <c r="AF492" s="988">
        <f>'DIY Grundmodell'!R579</f>
        <v>45521</v>
      </c>
      <c r="AG492" s="89" t="e">
        <f>'DIY Grundmodell'!S579</f>
        <v>#N/A</v>
      </c>
      <c r="AH492" s="54" t="e">
        <f>'DIY Grundmodell'!T579</f>
        <v>#N/A</v>
      </c>
      <c r="AI492" s="89">
        <f>'DIY Grundmodell'!U579</f>
        <v>527.41999999999996</v>
      </c>
      <c r="AJ492" s="89">
        <f>'DIY Grundmodell'!V579</f>
        <v>0</v>
      </c>
      <c r="AK492" s="989"/>
      <c r="AL492" s="33">
        <f>'DIY Grundmodell'!X579</f>
        <v>5554.2510599999996</v>
      </c>
    </row>
    <row r="493" spans="32:38" ht="14.1" customHeight="1" x14ac:dyDescent="0.45">
      <c r="AF493" s="988">
        <f>'DIY Grundmodell'!R580</f>
        <v>45522</v>
      </c>
      <c r="AG493" s="89" t="e">
        <f>'DIY Grundmodell'!S580</f>
        <v>#N/A</v>
      </c>
      <c r="AH493" s="54" t="e">
        <f>'DIY Grundmodell'!T580</f>
        <v>#N/A</v>
      </c>
      <c r="AI493" s="89">
        <f>'DIY Grundmodell'!U580</f>
        <v>527.41999999999996</v>
      </c>
      <c r="AJ493" s="89">
        <f>'DIY Grundmodell'!V580</f>
        <v>0</v>
      </c>
      <c r="AK493" s="989"/>
      <c r="AL493" s="33">
        <f>'DIY Grundmodell'!X580</f>
        <v>5554.2510599999996</v>
      </c>
    </row>
    <row r="494" spans="32:38" ht="14.1" customHeight="1" x14ac:dyDescent="0.45">
      <c r="AF494" s="988">
        <f>'DIY Grundmodell'!R581</f>
        <v>45523</v>
      </c>
      <c r="AG494" s="89">
        <f>'DIY Grundmodell'!S581</f>
        <v>529.28</v>
      </c>
      <c r="AH494" s="54">
        <f>'DIY Grundmodell'!T581</f>
        <v>5229.1345000000001</v>
      </c>
      <c r="AI494" s="89">
        <f>'DIY Grundmodell'!U581</f>
        <v>529.28</v>
      </c>
      <c r="AJ494" s="89">
        <f>'DIY Grundmodell'!V581</f>
        <v>5229.1345000000001</v>
      </c>
      <c r="AK494" s="989"/>
      <c r="AL494" s="33">
        <f>'DIY Grundmodell'!X581</f>
        <v>5608.2472600000001</v>
      </c>
    </row>
    <row r="495" spans="32:38" ht="14.1" customHeight="1" x14ac:dyDescent="0.45">
      <c r="AF495" s="988">
        <f>'DIY Grundmodell'!R582</f>
        <v>45524</v>
      </c>
      <c r="AG495" s="89">
        <f>'DIY Grundmodell'!S582</f>
        <v>526.73</v>
      </c>
      <c r="AH495" s="54">
        <f>'DIY Grundmodell'!T582</f>
        <v>4184.54907</v>
      </c>
      <c r="AI495" s="89">
        <f>'DIY Grundmodell'!U582</f>
        <v>526.73</v>
      </c>
      <c r="AJ495" s="89">
        <f>'DIY Grundmodell'!V582</f>
        <v>4184.54907</v>
      </c>
      <c r="AK495" s="989"/>
      <c r="AL495" s="33">
        <f>'DIY Grundmodell'!X582</f>
        <v>5597.12482</v>
      </c>
    </row>
    <row r="496" spans="32:38" ht="14.1" customHeight="1" x14ac:dyDescent="0.45">
      <c r="AF496" s="988">
        <f>'DIY Grundmodell'!R583</f>
        <v>45525</v>
      </c>
      <c r="AG496" s="89">
        <f>'DIY Grundmodell'!S583</f>
        <v>535.16</v>
      </c>
      <c r="AH496" s="54">
        <f>'DIY Grundmodell'!T583</f>
        <v>7183.6089499999998</v>
      </c>
      <c r="AI496" s="89">
        <f>'DIY Grundmodell'!U583</f>
        <v>535.16</v>
      </c>
      <c r="AJ496" s="89">
        <f>'DIY Grundmodell'!V583</f>
        <v>7183.6089499999998</v>
      </c>
      <c r="AK496" s="989"/>
      <c r="AL496" s="33">
        <f>'DIY Grundmodell'!X583</f>
        <v>5620.8527199999999</v>
      </c>
    </row>
    <row r="497" spans="32:38" ht="14.1" customHeight="1" x14ac:dyDescent="0.45">
      <c r="AF497" s="988">
        <f>'DIY Grundmodell'!R584</f>
        <v>45526</v>
      </c>
      <c r="AG497" s="89">
        <f>'DIY Grundmodell'!S584</f>
        <v>531.92999999999995</v>
      </c>
      <c r="AH497" s="54">
        <f>'DIY Grundmodell'!T584</f>
        <v>8355.7117600000001</v>
      </c>
      <c r="AI497" s="89">
        <f>'DIY Grundmodell'!U584</f>
        <v>531.92999999999995</v>
      </c>
      <c r="AJ497" s="89">
        <f>'DIY Grundmodell'!V584</f>
        <v>8355.7117600000001</v>
      </c>
      <c r="AK497" s="989"/>
      <c r="AL497" s="33">
        <f>'DIY Grundmodell'!X584</f>
        <v>5570.6445700000004</v>
      </c>
    </row>
    <row r="498" spans="32:38" ht="14.1" customHeight="1" x14ac:dyDescent="0.45">
      <c r="AF498" s="988">
        <f>'DIY Grundmodell'!R585</f>
        <v>45527</v>
      </c>
      <c r="AG498" s="89">
        <f>'DIY Grundmodell'!S585</f>
        <v>528</v>
      </c>
      <c r="AH498" s="54">
        <f>'DIY Grundmodell'!T585</f>
        <v>5979.0382099999997</v>
      </c>
      <c r="AI498" s="89">
        <f>'DIY Grundmodell'!U585</f>
        <v>528</v>
      </c>
      <c r="AJ498" s="89">
        <f>'DIY Grundmodell'!V585</f>
        <v>5979.0382099999997</v>
      </c>
      <c r="AK498" s="989"/>
      <c r="AL498" s="33">
        <f>'DIY Grundmodell'!X585</f>
        <v>5634.6058499999999</v>
      </c>
    </row>
    <row r="499" spans="32:38" ht="14.1" customHeight="1" x14ac:dyDescent="0.45">
      <c r="AF499" s="988">
        <f>'DIY Grundmodell'!R586</f>
        <v>45528</v>
      </c>
      <c r="AG499" s="89" t="e">
        <f>'DIY Grundmodell'!S586</f>
        <v>#N/A</v>
      </c>
      <c r="AH499" s="54" t="e">
        <f>'DIY Grundmodell'!T586</f>
        <v>#N/A</v>
      </c>
      <c r="AI499" s="89">
        <f>'DIY Grundmodell'!U586</f>
        <v>528</v>
      </c>
      <c r="AJ499" s="89">
        <f>'DIY Grundmodell'!V586</f>
        <v>0</v>
      </c>
      <c r="AK499" s="989"/>
      <c r="AL499" s="33">
        <f>'DIY Grundmodell'!X586</f>
        <v>5634.6058499999999</v>
      </c>
    </row>
    <row r="500" spans="32:38" ht="14.1" customHeight="1" x14ac:dyDescent="0.45">
      <c r="AF500" s="988">
        <f>'DIY Grundmodell'!R587</f>
        <v>45529</v>
      </c>
      <c r="AG500" s="89" t="e">
        <f>'DIY Grundmodell'!S587</f>
        <v>#N/A</v>
      </c>
      <c r="AH500" s="54" t="e">
        <f>'DIY Grundmodell'!T587</f>
        <v>#N/A</v>
      </c>
      <c r="AI500" s="89">
        <f>'DIY Grundmodell'!U587</f>
        <v>528</v>
      </c>
      <c r="AJ500" s="89">
        <f>'DIY Grundmodell'!V587</f>
        <v>0</v>
      </c>
      <c r="AK500" s="989"/>
      <c r="AL500" s="33">
        <f>'DIY Grundmodell'!X587</f>
        <v>5634.6058499999999</v>
      </c>
    </row>
    <row r="501" spans="32:38" ht="14.1" customHeight="1" x14ac:dyDescent="0.45">
      <c r="AF501" s="988">
        <f>'DIY Grundmodell'!R588</f>
        <v>45530</v>
      </c>
      <c r="AG501" s="89">
        <f>'DIY Grundmodell'!S588</f>
        <v>521.12</v>
      </c>
      <c r="AH501" s="54">
        <f>'DIY Grundmodell'!T588</f>
        <v>4994.4151199999997</v>
      </c>
      <c r="AI501" s="89">
        <f>'DIY Grundmodell'!U588</f>
        <v>521.12</v>
      </c>
      <c r="AJ501" s="89">
        <f>'DIY Grundmodell'!V588</f>
        <v>4994.4151199999997</v>
      </c>
      <c r="AK501" s="989"/>
      <c r="AL501" s="33">
        <f>'DIY Grundmodell'!X588</f>
        <v>5616.8358500000004</v>
      </c>
    </row>
    <row r="502" spans="32:38" ht="14.1" customHeight="1" x14ac:dyDescent="0.45">
      <c r="AF502" s="988">
        <f>'DIY Grundmodell'!R589</f>
        <v>45531</v>
      </c>
      <c r="AG502" s="89">
        <f>'DIY Grundmodell'!S589</f>
        <v>519.1</v>
      </c>
      <c r="AH502" s="54">
        <f>'DIY Grundmodell'!T589</f>
        <v>3261.35995</v>
      </c>
      <c r="AI502" s="89">
        <f>'DIY Grundmodell'!U589</f>
        <v>519.1</v>
      </c>
      <c r="AJ502" s="89">
        <f>'DIY Grundmodell'!V589</f>
        <v>3261.35995</v>
      </c>
      <c r="AK502" s="989"/>
      <c r="AL502" s="33">
        <f>'DIY Grundmodell'!X589</f>
        <v>5625.8019599999998</v>
      </c>
    </row>
    <row r="503" spans="32:38" ht="14.1" customHeight="1" x14ac:dyDescent="0.45">
      <c r="AF503" s="988">
        <f>'DIY Grundmodell'!R590</f>
        <v>45532</v>
      </c>
      <c r="AG503" s="89">
        <f>'DIY Grundmodell'!S590</f>
        <v>516.78</v>
      </c>
      <c r="AH503" s="54">
        <f>'DIY Grundmodell'!T590</f>
        <v>4705.8384699999997</v>
      </c>
      <c r="AI503" s="89">
        <f>'DIY Grundmodell'!U590</f>
        <v>516.78</v>
      </c>
      <c r="AJ503" s="89">
        <f>'DIY Grundmodell'!V590</f>
        <v>4705.8384699999997</v>
      </c>
      <c r="AK503" s="989"/>
      <c r="AL503" s="33">
        <f>'DIY Grundmodell'!X590</f>
        <v>5592.1772099999998</v>
      </c>
    </row>
    <row r="504" spans="32:38" ht="14.1" customHeight="1" x14ac:dyDescent="0.45">
      <c r="AF504" s="988">
        <f>'DIY Grundmodell'!R591</f>
        <v>45533</v>
      </c>
      <c r="AG504" s="89">
        <f>'DIY Grundmodell'!S591</f>
        <v>518.22</v>
      </c>
      <c r="AH504" s="54">
        <f>'DIY Grundmodell'!T591</f>
        <v>4310.2554700000001</v>
      </c>
      <c r="AI504" s="89">
        <f>'DIY Grundmodell'!U591</f>
        <v>518.22</v>
      </c>
      <c r="AJ504" s="89">
        <f>'DIY Grundmodell'!V591</f>
        <v>4310.2554700000001</v>
      </c>
      <c r="AK504" s="989"/>
      <c r="AL504" s="33">
        <f>'DIY Grundmodell'!X591</f>
        <v>5591.9637199999997</v>
      </c>
    </row>
    <row r="505" spans="32:38" ht="14.1" customHeight="1" x14ac:dyDescent="0.45">
      <c r="AF505" s="988">
        <f>'DIY Grundmodell'!R592</f>
        <v>45534</v>
      </c>
      <c r="AG505" s="89">
        <f>'DIY Grundmodell'!S592</f>
        <v>521.30999999999995</v>
      </c>
      <c r="AH505" s="54">
        <f>'DIY Grundmodell'!T592</f>
        <v>4773.9177</v>
      </c>
      <c r="AI505" s="89">
        <f>'DIY Grundmodell'!U592</f>
        <v>521.30999999999995</v>
      </c>
      <c r="AJ505" s="89">
        <f>'DIY Grundmodell'!V592</f>
        <v>4773.9177</v>
      </c>
      <c r="AK505" s="989"/>
      <c r="AL505" s="33">
        <f>'DIY Grundmodell'!X592</f>
        <v>5648.3972400000002</v>
      </c>
    </row>
    <row r="506" spans="32:38" ht="14.1" customHeight="1" x14ac:dyDescent="0.45">
      <c r="AF506" s="988">
        <f>'DIY Grundmodell'!R593</f>
        <v>45535</v>
      </c>
      <c r="AG506" s="89" t="e">
        <f>'DIY Grundmodell'!S593</f>
        <v>#N/A</v>
      </c>
      <c r="AH506" s="54" t="e">
        <f>'DIY Grundmodell'!T593</f>
        <v>#N/A</v>
      </c>
      <c r="AI506" s="89">
        <f>'DIY Grundmodell'!U593</f>
        <v>521.30999999999995</v>
      </c>
      <c r="AJ506" s="89">
        <f>'DIY Grundmodell'!V593</f>
        <v>0</v>
      </c>
      <c r="AK506" s="989"/>
      <c r="AL506" s="33">
        <f>'DIY Grundmodell'!X593</f>
        <v>5648.3972400000002</v>
      </c>
    </row>
    <row r="507" spans="32:38" ht="14.1" customHeight="1" x14ac:dyDescent="0.45">
      <c r="AF507" s="988">
        <f>'DIY Grundmodell'!R594</f>
        <v>45536</v>
      </c>
      <c r="AG507" s="89" t="e">
        <f>'DIY Grundmodell'!S594</f>
        <v>#N/A</v>
      </c>
      <c r="AH507" s="54" t="e">
        <f>'DIY Grundmodell'!T594</f>
        <v>#N/A</v>
      </c>
      <c r="AI507" s="89">
        <f>'DIY Grundmodell'!U594</f>
        <v>521.30999999999995</v>
      </c>
      <c r="AJ507" s="89">
        <f>'DIY Grundmodell'!V594</f>
        <v>0</v>
      </c>
      <c r="AK507" s="989"/>
      <c r="AL507" s="33">
        <f>'DIY Grundmodell'!X594</f>
        <v>5648.3972400000002</v>
      </c>
    </row>
    <row r="508" spans="32:38" ht="14.1" customHeight="1" x14ac:dyDescent="0.45">
      <c r="AF508" s="988">
        <f>'DIY Grundmodell'!R595</f>
        <v>45537</v>
      </c>
      <c r="AG508" s="89" t="e">
        <f>'DIY Grundmodell'!S595</f>
        <v>#N/A</v>
      </c>
      <c r="AH508" s="54" t="e">
        <f>'DIY Grundmodell'!T595</f>
        <v>#N/A</v>
      </c>
      <c r="AI508" s="89">
        <f>'DIY Grundmodell'!U595</f>
        <v>521.30999999999995</v>
      </c>
      <c r="AJ508" s="89">
        <f>'DIY Grundmodell'!V595</f>
        <v>0</v>
      </c>
      <c r="AK508" s="989"/>
      <c r="AL508" s="33">
        <f>'DIY Grundmodell'!X595</f>
        <v>5648.3972400000002</v>
      </c>
    </row>
    <row r="509" spans="32:38" ht="14.1" customHeight="1" x14ac:dyDescent="0.45">
      <c r="AF509" s="988">
        <f>'DIY Grundmodell'!R596</f>
        <v>45538</v>
      </c>
      <c r="AG509" s="89">
        <f>'DIY Grundmodell'!S596</f>
        <v>511.76</v>
      </c>
      <c r="AH509" s="54">
        <f>'DIY Grundmodell'!T596</f>
        <v>6376.0756700000002</v>
      </c>
      <c r="AI509" s="89">
        <f>'DIY Grundmodell'!U596</f>
        <v>511.76</v>
      </c>
      <c r="AJ509" s="89">
        <f>'DIY Grundmodell'!V596</f>
        <v>6376.0756700000002</v>
      </c>
      <c r="AK509" s="989"/>
      <c r="AL509" s="33">
        <f>'DIY Grundmodell'!X596</f>
        <v>5528.9333999999999</v>
      </c>
    </row>
    <row r="510" spans="32:38" ht="14.1" customHeight="1" x14ac:dyDescent="0.45">
      <c r="AF510" s="988">
        <f>'DIY Grundmodell'!R597</f>
        <v>45539</v>
      </c>
      <c r="AG510" s="89">
        <f>'DIY Grundmodell'!S597</f>
        <v>512.74</v>
      </c>
      <c r="AH510" s="54">
        <f>'DIY Grundmodell'!T597</f>
        <v>4273.7940399999998</v>
      </c>
      <c r="AI510" s="89">
        <f>'DIY Grundmodell'!U597</f>
        <v>512.74</v>
      </c>
      <c r="AJ510" s="89">
        <f>'DIY Grundmodell'!V597</f>
        <v>4273.7940399999998</v>
      </c>
      <c r="AK510" s="989"/>
      <c r="AL510" s="33">
        <f>'DIY Grundmodell'!X597</f>
        <v>5520.0678200000002</v>
      </c>
    </row>
    <row r="511" spans="32:38" ht="14.1" customHeight="1" x14ac:dyDescent="0.45">
      <c r="AF511" s="988">
        <f>'DIY Grundmodell'!R598</f>
        <v>45540</v>
      </c>
      <c r="AG511" s="89">
        <f>'DIY Grundmodell'!S598</f>
        <v>516.86</v>
      </c>
      <c r="AH511" s="54">
        <f>'DIY Grundmodell'!T598</f>
        <v>4466.1293699999997</v>
      </c>
      <c r="AI511" s="89">
        <f>'DIY Grundmodell'!U598</f>
        <v>516.86</v>
      </c>
      <c r="AJ511" s="89">
        <f>'DIY Grundmodell'!V598</f>
        <v>4466.1293699999997</v>
      </c>
      <c r="AK511" s="989"/>
      <c r="AL511" s="33">
        <f>'DIY Grundmodell'!X598</f>
        <v>5503.4085699999996</v>
      </c>
    </row>
    <row r="512" spans="32:38" ht="14.1" customHeight="1" x14ac:dyDescent="0.45">
      <c r="AF512" s="988">
        <f>'DIY Grundmodell'!R599</f>
        <v>45541</v>
      </c>
      <c r="AG512" s="89">
        <f>'DIY Grundmodell'!S599</f>
        <v>500.27</v>
      </c>
      <c r="AH512" s="54">
        <f>'DIY Grundmodell'!T599</f>
        <v>7376.2415199999996</v>
      </c>
      <c r="AI512" s="89">
        <f>'DIY Grundmodell'!U599</f>
        <v>500.27</v>
      </c>
      <c r="AJ512" s="89">
        <f>'DIY Grundmodell'!V599</f>
        <v>7376.2415199999996</v>
      </c>
      <c r="AK512" s="989"/>
      <c r="AL512" s="33">
        <f>'DIY Grundmodell'!X599</f>
        <v>5408.4221399999997</v>
      </c>
    </row>
    <row r="513" spans="32:38" ht="14.1" customHeight="1" x14ac:dyDescent="0.45">
      <c r="AF513" s="988">
        <f>'DIY Grundmodell'!R600</f>
        <v>45542</v>
      </c>
      <c r="AG513" s="89" t="e">
        <f>'DIY Grundmodell'!S600</f>
        <v>#N/A</v>
      </c>
      <c r="AH513" s="54" t="e">
        <f>'DIY Grundmodell'!T600</f>
        <v>#N/A</v>
      </c>
      <c r="AI513" s="89">
        <f>'DIY Grundmodell'!U600</f>
        <v>500.27</v>
      </c>
      <c r="AJ513" s="89">
        <f>'DIY Grundmodell'!V600</f>
        <v>0</v>
      </c>
      <c r="AK513" s="989"/>
      <c r="AL513" s="33">
        <f>'DIY Grundmodell'!X600</f>
        <v>5408.4221399999997</v>
      </c>
    </row>
    <row r="514" spans="32:38" ht="14.1" customHeight="1" x14ac:dyDescent="0.45">
      <c r="AF514" s="988">
        <f>'DIY Grundmodell'!R601</f>
        <v>45543</v>
      </c>
      <c r="AG514" s="89" t="e">
        <f>'DIY Grundmodell'!S601</f>
        <v>#N/A</v>
      </c>
      <c r="AH514" s="54" t="e">
        <f>'DIY Grundmodell'!T601</f>
        <v>#N/A</v>
      </c>
      <c r="AI514" s="89">
        <f>'DIY Grundmodell'!U601</f>
        <v>500.27</v>
      </c>
      <c r="AJ514" s="89">
        <f>'DIY Grundmodell'!V601</f>
        <v>0</v>
      </c>
      <c r="AK514" s="989"/>
      <c r="AL514" s="33">
        <f>'DIY Grundmodell'!X601</f>
        <v>5408.4221399999997</v>
      </c>
    </row>
    <row r="515" spans="32:38" ht="14.1" customHeight="1" x14ac:dyDescent="0.45">
      <c r="AF515" s="988">
        <f>'DIY Grundmodell'!R602</f>
        <v>45544</v>
      </c>
      <c r="AG515" s="89">
        <f>'DIY Grundmodell'!S602</f>
        <v>504.79</v>
      </c>
      <c r="AH515" s="54">
        <f>'DIY Grundmodell'!T602</f>
        <v>5576.8330999999998</v>
      </c>
      <c r="AI515" s="89">
        <f>'DIY Grundmodell'!U602</f>
        <v>504.79</v>
      </c>
      <c r="AJ515" s="89">
        <f>'DIY Grundmodell'!V602</f>
        <v>5576.8330999999998</v>
      </c>
      <c r="AK515" s="989"/>
      <c r="AL515" s="33">
        <f>'DIY Grundmodell'!X602</f>
        <v>5471.0514499999999</v>
      </c>
    </row>
    <row r="516" spans="32:38" ht="14.1" customHeight="1" x14ac:dyDescent="0.45">
      <c r="AF516" s="988">
        <f>'DIY Grundmodell'!R603</f>
        <v>45545</v>
      </c>
      <c r="AG516" s="89" t="e">
        <f>'DIY Grundmodell'!S603</f>
        <v>#N/A</v>
      </c>
      <c r="AH516" s="54" t="e">
        <f>'DIY Grundmodell'!T603</f>
        <v>#N/A</v>
      </c>
      <c r="AI516" s="89">
        <f>'DIY Grundmodell'!U603</f>
        <v>504.79</v>
      </c>
      <c r="AJ516" s="89">
        <f>'DIY Grundmodell'!V603</f>
        <v>4996.9273199999998</v>
      </c>
      <c r="AK516" s="989"/>
      <c r="AL516" s="33">
        <f>'DIY Grundmodell'!X603</f>
        <v>5495.5194099999999</v>
      </c>
    </row>
    <row r="517" spans="32:38" ht="14.1" customHeight="1" x14ac:dyDescent="0.45">
      <c r="AF517" s="988">
        <f>'DIY Grundmodell'!R604</f>
        <v>45546</v>
      </c>
      <c r="AG517" s="89">
        <f>'DIY Grundmodell'!S604</f>
        <v>511.83</v>
      </c>
      <c r="AH517" s="54">
        <f>'DIY Grundmodell'!T604</f>
        <v>5518.8233499999997</v>
      </c>
      <c r="AI517" s="89">
        <f>'DIY Grundmodell'!U604</f>
        <v>511.83</v>
      </c>
      <c r="AJ517" s="89">
        <f>'DIY Grundmodell'!V604</f>
        <v>5518.8233499999997</v>
      </c>
      <c r="AK517" s="989"/>
      <c r="AL517" s="33">
        <f>'DIY Grundmodell'!X604</f>
        <v>5554.1324199999999</v>
      </c>
    </row>
    <row r="518" spans="32:38" ht="14.1" customHeight="1" x14ac:dyDescent="0.45">
      <c r="AF518" s="988">
        <f>'DIY Grundmodell'!R605</f>
        <v>45547</v>
      </c>
      <c r="AG518" s="89">
        <f>'DIY Grundmodell'!S605</f>
        <v>525.6</v>
      </c>
      <c r="AH518" s="54">
        <f>'DIY Grundmodell'!T605</f>
        <v>6303.7005600000002</v>
      </c>
      <c r="AI518" s="89">
        <f>'DIY Grundmodell'!U605</f>
        <v>525.6</v>
      </c>
      <c r="AJ518" s="89">
        <f>'DIY Grundmodell'!V605</f>
        <v>6303.7005600000002</v>
      </c>
      <c r="AK518" s="989"/>
      <c r="AL518" s="33">
        <f>'DIY Grundmodell'!X605</f>
        <v>5595.7634900000003</v>
      </c>
    </row>
    <row r="519" spans="32:38" ht="14.1" customHeight="1" x14ac:dyDescent="0.45">
      <c r="AF519" s="988">
        <f>'DIY Grundmodell'!R606</f>
        <v>45548</v>
      </c>
      <c r="AG519" s="89">
        <f>'DIY Grundmodell'!S606</f>
        <v>524.62</v>
      </c>
      <c r="AH519" s="54">
        <f>'DIY Grundmodell'!T606</f>
        <v>5414.8244100000002</v>
      </c>
      <c r="AI519" s="89">
        <f>'DIY Grundmodell'!U606</f>
        <v>524.62</v>
      </c>
      <c r="AJ519" s="89">
        <f>'DIY Grundmodell'!V606</f>
        <v>5414.8244100000002</v>
      </c>
      <c r="AK519" s="989"/>
      <c r="AL519" s="33">
        <f>'DIY Grundmodell'!X606</f>
        <v>5626.0186000000003</v>
      </c>
    </row>
    <row r="520" spans="32:38" ht="14.1" customHeight="1" x14ac:dyDescent="0.45">
      <c r="AF520" s="988">
        <f>'DIY Grundmodell'!R607</f>
        <v>45549</v>
      </c>
      <c r="AG520" s="89" t="e">
        <f>'DIY Grundmodell'!S607</f>
        <v>#N/A</v>
      </c>
      <c r="AH520" s="54" t="e">
        <f>'DIY Grundmodell'!T607</f>
        <v>#N/A</v>
      </c>
      <c r="AI520" s="89">
        <f>'DIY Grundmodell'!U607</f>
        <v>524.62</v>
      </c>
      <c r="AJ520" s="89">
        <f>'DIY Grundmodell'!V607</f>
        <v>0</v>
      </c>
      <c r="AK520" s="989"/>
      <c r="AL520" s="33">
        <f>'DIY Grundmodell'!X607</f>
        <v>5626.0186000000003</v>
      </c>
    </row>
    <row r="521" spans="32:38" ht="14.1" customHeight="1" x14ac:dyDescent="0.45">
      <c r="AF521" s="988">
        <f>'DIY Grundmodell'!R608</f>
        <v>45550</v>
      </c>
      <c r="AG521" s="89" t="e">
        <f>'DIY Grundmodell'!S608</f>
        <v>#N/A</v>
      </c>
      <c r="AH521" s="54" t="e">
        <f>'DIY Grundmodell'!T608</f>
        <v>#N/A</v>
      </c>
      <c r="AI521" s="89">
        <f>'DIY Grundmodell'!U608</f>
        <v>524.62</v>
      </c>
      <c r="AJ521" s="89">
        <f>'DIY Grundmodell'!V608</f>
        <v>0</v>
      </c>
      <c r="AK521" s="989"/>
      <c r="AL521" s="33">
        <f>'DIY Grundmodell'!X608</f>
        <v>5626.0186000000003</v>
      </c>
    </row>
    <row r="522" spans="32:38" ht="14.1" customHeight="1" x14ac:dyDescent="0.45">
      <c r="AF522" s="988">
        <f>'DIY Grundmodell'!R609</f>
        <v>45551</v>
      </c>
      <c r="AG522" s="89">
        <f>'DIY Grundmodell'!S609</f>
        <v>533.28</v>
      </c>
      <c r="AH522" s="54">
        <f>'DIY Grundmodell'!T609</f>
        <v>5080.9030599999996</v>
      </c>
      <c r="AI522" s="89">
        <f>'DIY Grundmodell'!U609</f>
        <v>533.28</v>
      </c>
      <c r="AJ522" s="89">
        <f>'DIY Grundmodell'!V609</f>
        <v>5080.9030599999996</v>
      </c>
      <c r="AK522" s="989"/>
      <c r="AL522" s="33">
        <f>'DIY Grundmodell'!X609</f>
        <v>5633.0877799999998</v>
      </c>
    </row>
    <row r="523" spans="32:38" ht="14.1" customHeight="1" x14ac:dyDescent="0.45">
      <c r="AF523" s="988">
        <f>'DIY Grundmodell'!R610</f>
        <v>45552</v>
      </c>
      <c r="AG523" s="89">
        <f>'DIY Grundmodell'!S610</f>
        <v>536.31500000000005</v>
      </c>
      <c r="AH523" s="54">
        <f>'DIY Grundmodell'!T610</f>
        <v>6269.9401399999997</v>
      </c>
      <c r="AI523" s="89">
        <f>'DIY Grundmodell'!U610</f>
        <v>536.31500000000005</v>
      </c>
      <c r="AJ523" s="89">
        <f>'DIY Grundmodell'!V610</f>
        <v>6269.9401399999997</v>
      </c>
      <c r="AK523" s="989"/>
      <c r="AL523" s="33">
        <f>'DIY Grundmodell'!X610</f>
        <v>5634.5804399999997</v>
      </c>
    </row>
    <row r="524" spans="32:38" ht="14.1" customHeight="1" x14ac:dyDescent="0.45">
      <c r="AF524" s="988">
        <f>'DIY Grundmodell'!R611</f>
        <v>45553</v>
      </c>
      <c r="AG524" s="89">
        <f>'DIY Grundmodell'!S611</f>
        <v>537.95000000000005</v>
      </c>
      <c r="AH524" s="54">
        <f>'DIY Grundmodell'!T611</f>
        <v>5553.54673</v>
      </c>
      <c r="AI524" s="89">
        <f>'DIY Grundmodell'!U611</f>
        <v>537.95000000000005</v>
      </c>
      <c r="AJ524" s="89">
        <f>'DIY Grundmodell'!V611</f>
        <v>5553.54673</v>
      </c>
      <c r="AK524" s="989"/>
      <c r="AL524" s="33">
        <f>'DIY Grundmodell'!X611</f>
        <v>5618.2590300000002</v>
      </c>
    </row>
    <row r="525" spans="32:38" ht="14.1" customHeight="1" x14ac:dyDescent="0.45">
      <c r="AF525" s="988">
        <f>'DIY Grundmodell'!R612</f>
        <v>45554</v>
      </c>
      <c r="AG525" s="89">
        <f>'DIY Grundmodell'!S612</f>
        <v>559.1</v>
      </c>
      <c r="AH525" s="54">
        <f>'DIY Grundmodell'!T612</f>
        <v>8748.2103000000006</v>
      </c>
      <c r="AI525" s="89">
        <f>'DIY Grundmodell'!U612</f>
        <v>559.1</v>
      </c>
      <c r="AJ525" s="89">
        <f>'DIY Grundmodell'!V612</f>
        <v>8748.2103000000006</v>
      </c>
      <c r="AK525" s="989"/>
      <c r="AL525" s="33">
        <f>'DIY Grundmodell'!X612</f>
        <v>5713.6410900000001</v>
      </c>
    </row>
    <row r="526" spans="32:38" ht="14.1" customHeight="1" x14ac:dyDescent="0.45">
      <c r="AF526" s="988">
        <f>'DIY Grundmodell'!R613</f>
        <v>45555</v>
      </c>
      <c r="AG526" s="89">
        <f>'DIY Grundmodell'!S613</f>
        <v>561.35</v>
      </c>
      <c r="AH526" s="54">
        <f>'DIY Grundmodell'!T613</f>
        <v>12387.20772</v>
      </c>
      <c r="AI526" s="89">
        <f>'DIY Grundmodell'!U613</f>
        <v>561.35</v>
      </c>
      <c r="AJ526" s="89">
        <f>'DIY Grundmodell'!V613</f>
        <v>12387.20772</v>
      </c>
      <c r="AK526" s="989"/>
      <c r="AL526" s="33">
        <f>'DIY Grundmodell'!X613</f>
        <v>5702.5476200000003</v>
      </c>
    </row>
    <row r="527" spans="32:38" ht="14.1" customHeight="1" x14ac:dyDescent="0.45">
      <c r="AF527" s="988">
        <f>'DIY Grundmodell'!R614</f>
        <v>45556</v>
      </c>
      <c r="AG527" s="89" t="e">
        <f>'DIY Grundmodell'!S614</f>
        <v>#N/A</v>
      </c>
      <c r="AH527" s="54" t="e">
        <f>'DIY Grundmodell'!T614</f>
        <v>#N/A</v>
      </c>
      <c r="AI527" s="89">
        <f>'DIY Grundmodell'!U614</f>
        <v>561.35</v>
      </c>
      <c r="AJ527" s="89">
        <f>'DIY Grundmodell'!V614</f>
        <v>0</v>
      </c>
      <c r="AK527" s="989"/>
      <c r="AL527" s="33">
        <f>'DIY Grundmodell'!X614</f>
        <v>5702.5476200000003</v>
      </c>
    </row>
    <row r="528" spans="32:38" ht="14.1" customHeight="1" x14ac:dyDescent="0.45">
      <c r="AF528" s="988">
        <f>'DIY Grundmodell'!R615</f>
        <v>45557</v>
      </c>
      <c r="AG528" s="89" t="e">
        <f>'DIY Grundmodell'!S615</f>
        <v>#N/A</v>
      </c>
      <c r="AH528" s="54" t="e">
        <f>'DIY Grundmodell'!T615</f>
        <v>#N/A</v>
      </c>
      <c r="AI528" s="89">
        <f>'DIY Grundmodell'!U615</f>
        <v>561.35</v>
      </c>
      <c r="AJ528" s="89">
        <f>'DIY Grundmodell'!V615</f>
        <v>0</v>
      </c>
      <c r="AK528" s="989"/>
      <c r="AL528" s="33">
        <f>'DIY Grundmodell'!X615</f>
        <v>5702.5476200000003</v>
      </c>
    </row>
    <row r="529" spans="32:38" ht="14.1" customHeight="1" x14ac:dyDescent="0.45">
      <c r="AF529" s="988">
        <f>'DIY Grundmodell'!R616</f>
        <v>45558</v>
      </c>
      <c r="AG529" s="89">
        <f>'DIY Grundmodell'!S616</f>
        <v>564.41</v>
      </c>
      <c r="AH529" s="54">
        <f>'DIY Grundmodell'!T616</f>
        <v>7241.7578899999999</v>
      </c>
      <c r="AI529" s="89">
        <f>'DIY Grundmodell'!U616</f>
        <v>564.41</v>
      </c>
      <c r="AJ529" s="89">
        <f>'DIY Grundmodell'!V616</f>
        <v>7241.7578899999999</v>
      </c>
      <c r="AK529" s="989"/>
      <c r="AL529" s="33">
        <f>'DIY Grundmodell'!X616</f>
        <v>5718.5664900000002</v>
      </c>
    </row>
    <row r="530" spans="32:38" ht="14.1" customHeight="1" x14ac:dyDescent="0.45">
      <c r="AF530" s="988">
        <f>'DIY Grundmodell'!R617</f>
        <v>45559</v>
      </c>
      <c r="AG530" s="89">
        <f>'DIY Grundmodell'!S617</f>
        <v>563.33000000000004</v>
      </c>
      <c r="AH530" s="54">
        <f>'DIY Grundmodell'!T617</f>
        <v>7319.3218999999999</v>
      </c>
      <c r="AI530" s="89">
        <f>'DIY Grundmodell'!U617</f>
        <v>563.33000000000004</v>
      </c>
      <c r="AJ530" s="89">
        <f>'DIY Grundmodell'!V617</f>
        <v>7319.3218999999999</v>
      </c>
      <c r="AK530" s="989"/>
      <c r="AL530" s="33">
        <f>'DIY Grundmodell'!X617</f>
        <v>5732.9273499999999</v>
      </c>
    </row>
    <row r="531" spans="32:38" ht="14.1" customHeight="1" x14ac:dyDescent="0.45">
      <c r="AF531" s="988">
        <f>'DIY Grundmodell'!R618</f>
        <v>45560</v>
      </c>
      <c r="AG531" s="89">
        <f>'DIY Grundmodell'!S618</f>
        <v>568.30999999999995</v>
      </c>
      <c r="AH531" s="54">
        <f>'DIY Grundmodell'!T618</f>
        <v>9401.7512399999996</v>
      </c>
      <c r="AI531" s="89">
        <f>'DIY Grundmodell'!U618</f>
        <v>568.30999999999995</v>
      </c>
      <c r="AJ531" s="89">
        <f>'DIY Grundmodell'!V618</f>
        <v>9401.7512399999996</v>
      </c>
      <c r="AK531" s="989"/>
      <c r="AL531" s="33">
        <f>'DIY Grundmodell'!X618</f>
        <v>5722.2605999999996</v>
      </c>
    </row>
    <row r="532" spans="32:38" ht="14.1" customHeight="1" x14ac:dyDescent="0.45">
      <c r="AF532" s="988">
        <f>'DIY Grundmodell'!R619</f>
        <v>45561</v>
      </c>
      <c r="AG532" s="89">
        <f>'DIY Grundmodell'!S619</f>
        <v>567.84</v>
      </c>
      <c r="AH532" s="54">
        <f>'DIY Grundmodell'!T619</f>
        <v>8177.3428899999999</v>
      </c>
      <c r="AI532" s="89">
        <f>'DIY Grundmodell'!U619</f>
        <v>567.84</v>
      </c>
      <c r="AJ532" s="89">
        <f>'DIY Grundmodell'!V619</f>
        <v>8177.3428899999999</v>
      </c>
      <c r="AK532" s="989"/>
      <c r="AL532" s="33">
        <f>'DIY Grundmodell'!X619</f>
        <v>5745.3660900000004</v>
      </c>
    </row>
    <row r="533" spans="32:38" ht="14.1" customHeight="1" x14ac:dyDescent="0.45">
      <c r="AF533" s="988">
        <f>'DIY Grundmodell'!R620</f>
        <v>45562</v>
      </c>
      <c r="AG533" s="89">
        <f>'DIY Grundmodell'!S620</f>
        <v>567.36</v>
      </c>
      <c r="AH533" s="54">
        <f>'DIY Grundmodell'!T620</f>
        <v>5332.2574999999997</v>
      </c>
      <c r="AI533" s="89">
        <f>'DIY Grundmodell'!U620</f>
        <v>567.36</v>
      </c>
      <c r="AJ533" s="89">
        <f>'DIY Grundmodell'!V620</f>
        <v>5332.2574999999997</v>
      </c>
      <c r="AK533" s="989"/>
      <c r="AL533" s="33">
        <f>'DIY Grundmodell'!X620</f>
        <v>5738.1717799999997</v>
      </c>
    </row>
    <row r="534" spans="32:38" ht="14.1" customHeight="1" x14ac:dyDescent="0.45">
      <c r="AF534" s="988">
        <f>'DIY Grundmodell'!R621</f>
        <v>45563</v>
      </c>
      <c r="AG534" s="89" t="e">
        <f>'DIY Grundmodell'!S621</f>
        <v>#N/A</v>
      </c>
      <c r="AH534" s="54" t="e">
        <f>'DIY Grundmodell'!T621</f>
        <v>#N/A</v>
      </c>
      <c r="AI534" s="89">
        <f>'DIY Grundmodell'!U621</f>
        <v>567.36</v>
      </c>
      <c r="AJ534" s="89">
        <f>'DIY Grundmodell'!V621</f>
        <v>0</v>
      </c>
      <c r="AK534" s="989"/>
      <c r="AL534" s="33">
        <f>'DIY Grundmodell'!X621</f>
        <v>5738.1717799999997</v>
      </c>
    </row>
    <row r="535" spans="32:38" ht="14.1" customHeight="1" x14ac:dyDescent="0.45">
      <c r="AF535" s="988">
        <f>'DIY Grundmodell'!R622</f>
        <v>45564</v>
      </c>
      <c r="AG535" s="89" t="e">
        <f>'DIY Grundmodell'!S622</f>
        <v>#N/A</v>
      </c>
      <c r="AH535" s="54" t="e">
        <f>'DIY Grundmodell'!T622</f>
        <v>#N/A</v>
      </c>
      <c r="AI535" s="89">
        <f>'DIY Grundmodell'!U622</f>
        <v>567.36</v>
      </c>
      <c r="AJ535" s="89">
        <f>'DIY Grundmodell'!V622</f>
        <v>0</v>
      </c>
      <c r="AK535" s="989"/>
      <c r="AL535" s="33">
        <f>'DIY Grundmodell'!X622</f>
        <v>5738.1717799999997</v>
      </c>
    </row>
    <row r="536" spans="32:38" ht="14.1" customHeight="1" x14ac:dyDescent="0.45">
      <c r="AF536" s="988">
        <f>'DIY Grundmodell'!R623</f>
        <v>45565</v>
      </c>
      <c r="AG536" s="89">
        <f>'DIY Grundmodell'!S623</f>
        <v>572.44000000000005</v>
      </c>
      <c r="AH536" s="54">
        <f>'DIY Grundmodell'!T623</f>
        <v>7331.357</v>
      </c>
      <c r="AI536" s="89">
        <f>'DIY Grundmodell'!U623</f>
        <v>572.44000000000005</v>
      </c>
      <c r="AJ536" s="89">
        <f>'DIY Grundmodell'!V623</f>
        <v>7331.357</v>
      </c>
      <c r="AK536" s="989"/>
      <c r="AL536" s="33">
        <f>'DIY Grundmodell'!X623</f>
        <v>5762.48488</v>
      </c>
    </row>
    <row r="537" spans="32:38" ht="14.1" customHeight="1" x14ac:dyDescent="0.45">
      <c r="AF537" s="988">
        <f>'DIY Grundmodell'!R624</f>
        <v>45566</v>
      </c>
      <c r="AG537" s="89">
        <f>'DIY Grundmodell'!S624</f>
        <v>576.47</v>
      </c>
      <c r="AH537" s="54">
        <f>'DIY Grundmodell'!T624</f>
        <v>8796.51368</v>
      </c>
      <c r="AI537" s="89">
        <f>'DIY Grundmodell'!U624</f>
        <v>576.47</v>
      </c>
      <c r="AJ537" s="89">
        <f>'DIY Grundmodell'!V624</f>
        <v>8796.51368</v>
      </c>
      <c r="AK537" s="989"/>
      <c r="AL537" s="33">
        <f>'DIY Grundmodell'!X624</f>
        <v>5708.7514799999999</v>
      </c>
    </row>
    <row r="538" spans="32:38" ht="14.1" customHeight="1" x14ac:dyDescent="0.45">
      <c r="AF538" s="988">
        <f>'DIY Grundmodell'!R625</f>
        <v>45567</v>
      </c>
      <c r="AG538" s="89">
        <f>'DIY Grundmodell'!S625</f>
        <v>572.80999999999995</v>
      </c>
      <c r="AH538" s="54">
        <f>'DIY Grundmodell'!T625</f>
        <v>3737.3847700000001</v>
      </c>
      <c r="AI538" s="89">
        <f>'DIY Grundmodell'!U625</f>
        <v>572.80999999999995</v>
      </c>
      <c r="AJ538" s="89">
        <f>'DIY Grundmodell'!V625</f>
        <v>3737.3847700000001</v>
      </c>
      <c r="AK538" s="989"/>
      <c r="AL538" s="33">
        <f>'DIY Grundmodell'!X625</f>
        <v>5709.5394399999996</v>
      </c>
    </row>
    <row r="539" spans="32:38" ht="14.1" customHeight="1" x14ac:dyDescent="0.45">
      <c r="AF539" s="988">
        <f>'DIY Grundmodell'!R626</f>
        <v>45568</v>
      </c>
      <c r="AG539" s="89">
        <f>'DIY Grundmodell'!S626</f>
        <v>582.77</v>
      </c>
      <c r="AH539" s="54">
        <f>'DIY Grundmodell'!T626</f>
        <v>6749.0477199999996</v>
      </c>
      <c r="AI539" s="89">
        <f>'DIY Grundmodell'!U626</f>
        <v>582.77</v>
      </c>
      <c r="AJ539" s="89">
        <f>'DIY Grundmodell'!V626</f>
        <v>6749.0477199999996</v>
      </c>
      <c r="AK539" s="989"/>
      <c r="AL539" s="33">
        <f>'DIY Grundmodell'!X626</f>
        <v>5699.94175</v>
      </c>
    </row>
    <row r="540" spans="32:38" ht="14.1" customHeight="1" x14ac:dyDescent="0.45">
      <c r="AF540" s="988">
        <f>'DIY Grundmodell'!R627</f>
        <v>45569</v>
      </c>
      <c r="AG540" s="89">
        <f>'DIY Grundmodell'!S627</f>
        <v>595.94000000000005</v>
      </c>
      <c r="AH540" s="54">
        <f>'DIY Grundmodell'!T627</f>
        <v>8462.2216599999992</v>
      </c>
      <c r="AI540" s="89">
        <f>'DIY Grundmodell'!U627</f>
        <v>595.94000000000005</v>
      </c>
      <c r="AJ540" s="89">
        <f>'DIY Grundmodell'!V627</f>
        <v>8462.2216599999992</v>
      </c>
      <c r="AK540" s="989"/>
      <c r="AL540" s="33">
        <f>'DIY Grundmodell'!X627</f>
        <v>5751.0681999999997</v>
      </c>
    </row>
    <row r="541" spans="32:38" ht="14.1" customHeight="1" x14ac:dyDescent="0.45">
      <c r="AF541" s="988">
        <f>'DIY Grundmodell'!R628</f>
        <v>45570</v>
      </c>
      <c r="AG541" s="89" t="e">
        <f>'DIY Grundmodell'!S628</f>
        <v>#N/A</v>
      </c>
      <c r="AH541" s="54" t="e">
        <f>'DIY Grundmodell'!T628</f>
        <v>#N/A</v>
      </c>
      <c r="AI541" s="89">
        <f>'DIY Grundmodell'!U628</f>
        <v>595.94000000000005</v>
      </c>
      <c r="AJ541" s="89">
        <f>'DIY Grundmodell'!V628</f>
        <v>0</v>
      </c>
      <c r="AK541" s="989"/>
      <c r="AL541" s="33">
        <f>'DIY Grundmodell'!X628</f>
        <v>5751.0681999999997</v>
      </c>
    </row>
    <row r="542" spans="32:38" ht="14.1" customHeight="1" x14ac:dyDescent="0.45">
      <c r="AF542" s="988">
        <f>'DIY Grundmodell'!R629</f>
        <v>45571</v>
      </c>
      <c r="AG542" s="89" t="e">
        <f>'DIY Grundmodell'!S629</f>
        <v>#N/A</v>
      </c>
      <c r="AH542" s="54" t="e">
        <f>'DIY Grundmodell'!T629</f>
        <v>#N/A</v>
      </c>
      <c r="AI542" s="89">
        <f>'DIY Grundmodell'!U629</f>
        <v>595.94000000000005</v>
      </c>
      <c r="AJ542" s="89">
        <f>'DIY Grundmodell'!V629</f>
        <v>0</v>
      </c>
      <c r="AK542" s="989"/>
      <c r="AL542" s="33">
        <f>'DIY Grundmodell'!X629</f>
        <v>5751.0681999999997</v>
      </c>
    </row>
    <row r="543" spans="32:38" ht="14.1" customHeight="1" x14ac:dyDescent="0.45">
      <c r="AF543" s="988">
        <f>'DIY Grundmodell'!R630</f>
        <v>45572</v>
      </c>
      <c r="AG543" s="89">
        <f>'DIY Grundmodell'!S630</f>
        <v>584.78</v>
      </c>
      <c r="AH543" s="54">
        <f>'DIY Grundmodell'!T630</f>
        <v>7025.6627099999996</v>
      </c>
      <c r="AI543" s="89">
        <f>'DIY Grundmodell'!U630</f>
        <v>584.78</v>
      </c>
      <c r="AJ543" s="89">
        <f>'DIY Grundmodell'!V630</f>
        <v>7025.6627099999996</v>
      </c>
      <c r="AK543" s="989"/>
      <c r="AL543" s="33">
        <f>'DIY Grundmodell'!X630</f>
        <v>5695.9434199999996</v>
      </c>
    </row>
    <row r="544" spans="32:38" ht="14.1" customHeight="1" x14ac:dyDescent="0.45">
      <c r="AF544" s="988">
        <f>'DIY Grundmodell'!R631</f>
        <v>45573</v>
      </c>
      <c r="AG544" s="89">
        <f>'DIY Grundmodell'!S631</f>
        <v>592.89</v>
      </c>
      <c r="AH544" s="54">
        <f>'DIY Grundmodell'!T631</f>
        <v>4658.5602500000005</v>
      </c>
      <c r="AI544" s="89">
        <f>'DIY Grundmodell'!U631</f>
        <v>592.89</v>
      </c>
      <c r="AJ544" s="89">
        <f>'DIY Grundmodell'!V631</f>
        <v>4658.5602500000005</v>
      </c>
      <c r="AK544" s="989"/>
      <c r="AL544" s="33">
        <f>'DIY Grundmodell'!X631</f>
        <v>5751.1328899999999</v>
      </c>
    </row>
    <row r="545" spans="32:38" ht="14.1" customHeight="1" x14ac:dyDescent="0.45">
      <c r="AF545" s="988">
        <f>'DIY Grundmodell'!R632</f>
        <v>45574</v>
      </c>
      <c r="AG545" s="89">
        <f>'DIY Grundmodell'!S632</f>
        <v>590.51</v>
      </c>
      <c r="AH545" s="54">
        <f>'DIY Grundmodell'!T632</f>
        <v>5627.3872799999999</v>
      </c>
      <c r="AI545" s="89">
        <f>'DIY Grundmodell'!U632</f>
        <v>590.51</v>
      </c>
      <c r="AJ545" s="89">
        <f>'DIY Grundmodell'!V632</f>
        <v>5627.3872799999999</v>
      </c>
      <c r="AK545" s="989"/>
      <c r="AL545" s="33">
        <f>'DIY Grundmodell'!X632</f>
        <v>5792.0414799999999</v>
      </c>
    </row>
    <row r="546" spans="32:38" ht="14.1" customHeight="1" x14ac:dyDescent="0.45">
      <c r="AF546" s="988">
        <f>'DIY Grundmodell'!R633</f>
        <v>45575</v>
      </c>
      <c r="AG546" s="89">
        <f>'DIY Grundmodell'!S633</f>
        <v>583.83000000000004</v>
      </c>
      <c r="AH546" s="54">
        <f>'DIY Grundmodell'!T633</f>
        <v>4519.1063400000003</v>
      </c>
      <c r="AI546" s="89">
        <f>'DIY Grundmodell'!U633</f>
        <v>583.83000000000004</v>
      </c>
      <c r="AJ546" s="89">
        <f>'DIY Grundmodell'!V633</f>
        <v>4519.1063400000003</v>
      </c>
      <c r="AK546" s="989"/>
      <c r="AL546" s="33">
        <f>'DIY Grundmodell'!X633</f>
        <v>5780.0512900000003</v>
      </c>
    </row>
    <row r="547" spans="32:38" ht="14.1" customHeight="1" x14ac:dyDescent="0.45">
      <c r="AF547" s="988">
        <f>'DIY Grundmodell'!R634</f>
        <v>45576</v>
      </c>
      <c r="AG547" s="89">
        <f>'DIY Grundmodell'!S634</f>
        <v>589.95000000000005</v>
      </c>
      <c r="AH547" s="54">
        <f>'DIY Grundmodell'!T634</f>
        <v>5065.9307399999998</v>
      </c>
      <c r="AI547" s="89">
        <f>'DIY Grundmodell'!U634</f>
        <v>589.95000000000005</v>
      </c>
      <c r="AJ547" s="89">
        <f>'DIY Grundmodell'!V634</f>
        <v>5065.9307399999998</v>
      </c>
      <c r="AK547" s="989"/>
      <c r="AL547" s="33">
        <f>'DIY Grundmodell'!X634</f>
        <v>5815.03341</v>
      </c>
    </row>
    <row r="548" spans="32:38" ht="14.1" customHeight="1" x14ac:dyDescent="0.45">
      <c r="AF548" s="988">
        <f>'DIY Grundmodell'!R635</f>
        <v>45577</v>
      </c>
      <c r="AG548" s="89" t="e">
        <f>'DIY Grundmodell'!S635</f>
        <v>#N/A</v>
      </c>
      <c r="AH548" s="54" t="e">
        <f>'DIY Grundmodell'!T635</f>
        <v>#N/A</v>
      </c>
      <c r="AI548" s="89">
        <f>'DIY Grundmodell'!U635</f>
        <v>589.95000000000005</v>
      </c>
      <c r="AJ548" s="89">
        <f>'DIY Grundmodell'!V635</f>
        <v>0</v>
      </c>
      <c r="AK548" s="989"/>
      <c r="AL548" s="33">
        <f>'DIY Grundmodell'!X635</f>
        <v>5815.03341</v>
      </c>
    </row>
    <row r="549" spans="32:38" ht="14.1" customHeight="1" x14ac:dyDescent="0.45">
      <c r="AF549" s="988">
        <f>'DIY Grundmodell'!R636</f>
        <v>45578</v>
      </c>
      <c r="AG549" s="89" t="e">
        <f>'DIY Grundmodell'!S636</f>
        <v>#N/A</v>
      </c>
      <c r="AH549" s="54" t="e">
        <f>'DIY Grundmodell'!T636</f>
        <v>#N/A</v>
      </c>
      <c r="AI549" s="89">
        <f>'DIY Grundmodell'!U636</f>
        <v>589.95000000000005</v>
      </c>
      <c r="AJ549" s="89">
        <f>'DIY Grundmodell'!V636</f>
        <v>0</v>
      </c>
      <c r="AK549" s="989"/>
      <c r="AL549" s="33">
        <f>'DIY Grundmodell'!X636</f>
        <v>5815.03341</v>
      </c>
    </row>
    <row r="550" spans="32:38" ht="14.1" customHeight="1" x14ac:dyDescent="0.45">
      <c r="AF550" s="988">
        <f>'DIY Grundmodell'!R637</f>
        <v>45579</v>
      </c>
      <c r="AG550" s="89">
        <f>'DIY Grundmodell'!S637</f>
        <v>590.41999999999996</v>
      </c>
      <c r="AH550" s="54">
        <f>'DIY Grundmodell'!T637</f>
        <v>4872.1287199999997</v>
      </c>
      <c r="AI550" s="89">
        <f>'DIY Grundmodell'!U637</f>
        <v>590.41999999999996</v>
      </c>
      <c r="AJ550" s="89">
        <f>'DIY Grundmodell'!V637</f>
        <v>4872.1287199999997</v>
      </c>
      <c r="AK550" s="989"/>
      <c r="AL550" s="33">
        <f>'DIY Grundmodell'!X637</f>
        <v>5859.8501500000002</v>
      </c>
    </row>
    <row r="551" spans="32:38" ht="14.1" customHeight="1" x14ac:dyDescent="0.45">
      <c r="AF551" s="988">
        <f>'DIY Grundmodell'!R638</f>
        <v>45580</v>
      </c>
      <c r="AG551" s="89">
        <f>'DIY Grundmodell'!S638</f>
        <v>586.27</v>
      </c>
      <c r="AH551" s="54">
        <f>'DIY Grundmodell'!T638</f>
        <v>5607.2246400000004</v>
      </c>
      <c r="AI551" s="89">
        <f>'DIY Grundmodell'!U638</f>
        <v>586.27</v>
      </c>
      <c r="AJ551" s="89">
        <f>'DIY Grundmodell'!V638</f>
        <v>5607.2246400000004</v>
      </c>
      <c r="AK551" s="989"/>
      <c r="AL551" s="33">
        <f>'DIY Grundmodell'!X638</f>
        <v>5815.2599399999999</v>
      </c>
    </row>
    <row r="552" spans="32:38" ht="14.1" customHeight="1" x14ac:dyDescent="0.45">
      <c r="AF552" s="988">
        <f>'DIY Grundmodell'!R639</f>
        <v>45581</v>
      </c>
      <c r="AG552" s="89">
        <f>'DIY Grundmodell'!S639</f>
        <v>576.79</v>
      </c>
      <c r="AH552" s="54">
        <f>'DIY Grundmodell'!T639</f>
        <v>6499.4912100000001</v>
      </c>
      <c r="AI552" s="89">
        <f>'DIY Grundmodell'!U639</f>
        <v>576.79</v>
      </c>
      <c r="AJ552" s="89">
        <f>'DIY Grundmodell'!V639</f>
        <v>6499.4912100000001</v>
      </c>
      <c r="AK552" s="989"/>
      <c r="AL552" s="33">
        <f>'DIY Grundmodell'!X639</f>
        <v>5842.4745199999998</v>
      </c>
    </row>
    <row r="553" spans="32:38" ht="14.1" customHeight="1" x14ac:dyDescent="0.45">
      <c r="AF553" s="988">
        <f>'DIY Grundmodell'!R640</f>
        <v>45582</v>
      </c>
      <c r="AG553" s="89">
        <f>'DIY Grundmodell'!S640</f>
        <v>576.92999999999995</v>
      </c>
      <c r="AH553" s="54">
        <f>'DIY Grundmodell'!T640</f>
        <v>5019.9590900000003</v>
      </c>
      <c r="AI553" s="89">
        <f>'DIY Grundmodell'!U640</f>
        <v>576.92999999999995</v>
      </c>
      <c r="AJ553" s="89">
        <f>'DIY Grundmodell'!V640</f>
        <v>5019.9590900000003</v>
      </c>
      <c r="AK553" s="989"/>
      <c r="AL553" s="33">
        <f>'DIY Grundmodell'!X640</f>
        <v>5841.4724100000003</v>
      </c>
    </row>
    <row r="554" spans="32:38" ht="14.1" customHeight="1" x14ac:dyDescent="0.45">
      <c r="AF554" s="988">
        <f>'DIY Grundmodell'!R641</f>
        <v>45583</v>
      </c>
      <c r="AG554" s="89">
        <f>'DIY Grundmodell'!S641</f>
        <v>576.47</v>
      </c>
      <c r="AH554" s="54">
        <f>'DIY Grundmodell'!T641</f>
        <v>4435.5181300000004</v>
      </c>
      <c r="AI554" s="89">
        <f>'DIY Grundmodell'!U641</f>
        <v>576.47</v>
      </c>
      <c r="AJ554" s="89">
        <f>'DIY Grundmodell'!V641</f>
        <v>4435.5181300000004</v>
      </c>
      <c r="AK554" s="989"/>
      <c r="AL554" s="33">
        <f>'DIY Grundmodell'!X641</f>
        <v>5864.6679100000001</v>
      </c>
    </row>
    <row r="555" spans="32:38" ht="14.1" customHeight="1" x14ac:dyDescent="0.45">
      <c r="AF555" s="988">
        <f>'DIY Grundmodell'!R642</f>
        <v>45584</v>
      </c>
      <c r="AG555" s="89" t="e">
        <f>'DIY Grundmodell'!S642</f>
        <v>#N/A</v>
      </c>
      <c r="AH555" s="54" t="e">
        <f>'DIY Grundmodell'!T642</f>
        <v>#N/A</v>
      </c>
      <c r="AI555" s="89">
        <f>'DIY Grundmodell'!U642</f>
        <v>576.47</v>
      </c>
      <c r="AJ555" s="89">
        <f>'DIY Grundmodell'!V642</f>
        <v>0</v>
      </c>
      <c r="AK555" s="989"/>
      <c r="AL555" s="33">
        <f>'DIY Grundmodell'!X642</f>
        <v>5864.6679100000001</v>
      </c>
    </row>
    <row r="556" spans="32:38" ht="14.1" customHeight="1" x14ac:dyDescent="0.45">
      <c r="AF556" s="988">
        <f>'DIY Grundmodell'!R643</f>
        <v>45585</v>
      </c>
      <c r="AG556" s="89" t="e">
        <f>'DIY Grundmodell'!S643</f>
        <v>#N/A</v>
      </c>
      <c r="AH556" s="54" t="e">
        <f>'DIY Grundmodell'!T643</f>
        <v>#N/A</v>
      </c>
      <c r="AI556" s="89">
        <f>'DIY Grundmodell'!U643</f>
        <v>576.47</v>
      </c>
      <c r="AJ556" s="89">
        <f>'DIY Grundmodell'!V643</f>
        <v>0</v>
      </c>
      <c r="AK556" s="989"/>
      <c r="AL556" s="33">
        <f>'DIY Grundmodell'!X643</f>
        <v>5864.6679100000001</v>
      </c>
    </row>
    <row r="557" spans="32:38" ht="14.1" customHeight="1" x14ac:dyDescent="0.45">
      <c r="AF557" s="988">
        <f>'DIY Grundmodell'!R644</f>
        <v>45586</v>
      </c>
      <c r="AG557" s="89">
        <f>'DIY Grundmodell'!S644</f>
        <v>575.16</v>
      </c>
      <c r="AH557" s="54">
        <f>'DIY Grundmodell'!T644</f>
        <v>4700.1379299999999</v>
      </c>
      <c r="AI557" s="89">
        <f>'DIY Grundmodell'!U644</f>
        <v>575.16</v>
      </c>
      <c r="AJ557" s="89">
        <f>'DIY Grundmodell'!V644</f>
        <v>4700.1379299999999</v>
      </c>
      <c r="AK557" s="989"/>
      <c r="AL557" s="33">
        <f>'DIY Grundmodell'!X644</f>
        <v>5853.9822299999996</v>
      </c>
    </row>
    <row r="558" spans="32:38" ht="14.1" customHeight="1" x14ac:dyDescent="0.45">
      <c r="AF558" s="988">
        <f>'DIY Grundmodell'!R645</f>
        <v>45587</v>
      </c>
      <c r="AG558" s="89">
        <f>'DIY Grundmodell'!S645</f>
        <v>582.01</v>
      </c>
      <c r="AH558" s="54">
        <f>'DIY Grundmodell'!T645</f>
        <v>4972.9629100000002</v>
      </c>
      <c r="AI558" s="89">
        <f>'DIY Grundmodell'!U645</f>
        <v>582.01</v>
      </c>
      <c r="AJ558" s="89">
        <f>'DIY Grundmodell'!V645</f>
        <v>4972.9629100000002</v>
      </c>
      <c r="AK558" s="989"/>
      <c r="AL558" s="33">
        <f>'DIY Grundmodell'!X645</f>
        <v>5851.2023600000002</v>
      </c>
    </row>
    <row r="559" spans="32:38" ht="14.1" customHeight="1" x14ac:dyDescent="0.45">
      <c r="AF559" s="988">
        <f>'DIY Grundmodell'!R646</f>
        <v>45588</v>
      </c>
      <c r="AG559" s="89">
        <f>'DIY Grundmodell'!S646</f>
        <v>563.69000000000005</v>
      </c>
      <c r="AH559" s="54">
        <f>'DIY Grundmodell'!T646</f>
        <v>8031.6913100000002</v>
      </c>
      <c r="AI559" s="89">
        <f>'DIY Grundmodell'!U646</f>
        <v>563.69000000000005</v>
      </c>
      <c r="AJ559" s="89">
        <f>'DIY Grundmodell'!V646</f>
        <v>8031.6913100000002</v>
      </c>
      <c r="AK559" s="989"/>
      <c r="AL559" s="33">
        <f>'DIY Grundmodell'!X646</f>
        <v>5797.4225900000001</v>
      </c>
    </row>
    <row r="560" spans="32:38" ht="14.1" customHeight="1" x14ac:dyDescent="0.45">
      <c r="AF560" s="988">
        <f>'DIY Grundmodell'!R647</f>
        <v>45589</v>
      </c>
      <c r="AG560" s="89">
        <f>'DIY Grundmodell'!S647</f>
        <v>567.78</v>
      </c>
      <c r="AH560" s="54">
        <f>'DIY Grundmodell'!T647</f>
        <v>4079.3011499999998</v>
      </c>
      <c r="AI560" s="89">
        <f>'DIY Grundmodell'!U647</f>
        <v>567.78</v>
      </c>
      <c r="AJ560" s="89">
        <f>'DIY Grundmodell'!V647</f>
        <v>4079.3011499999998</v>
      </c>
      <c r="AK560" s="989"/>
      <c r="AL560" s="33">
        <f>'DIY Grundmodell'!X647</f>
        <v>5809.8592200000003</v>
      </c>
    </row>
    <row r="561" spans="32:38" ht="14.1" customHeight="1" x14ac:dyDescent="0.45">
      <c r="AF561" s="988">
        <f>'DIY Grundmodell'!R648</f>
        <v>45590</v>
      </c>
      <c r="AG561" s="89">
        <f>'DIY Grundmodell'!S648</f>
        <v>573.25</v>
      </c>
      <c r="AH561" s="54">
        <f>'DIY Grundmodell'!T648</f>
        <v>6499.4362700000001</v>
      </c>
      <c r="AI561" s="89">
        <f>'DIY Grundmodell'!U648</f>
        <v>573.25</v>
      </c>
      <c r="AJ561" s="89">
        <f>'DIY Grundmodell'!V648</f>
        <v>6499.4362700000001</v>
      </c>
      <c r="AK561" s="989"/>
      <c r="AL561" s="33">
        <f>'DIY Grundmodell'!X648</f>
        <v>5808.1170099999999</v>
      </c>
    </row>
    <row r="562" spans="32:38" ht="14.1" customHeight="1" x14ac:dyDescent="0.45">
      <c r="AF562" s="988">
        <f>'DIY Grundmodell'!R649</f>
        <v>45591</v>
      </c>
      <c r="AG562" s="89" t="e">
        <f>'DIY Grundmodell'!S649</f>
        <v>#N/A</v>
      </c>
      <c r="AH562" s="54" t="e">
        <f>'DIY Grundmodell'!T649</f>
        <v>#N/A</v>
      </c>
      <c r="AI562" s="89">
        <f>'DIY Grundmodell'!U649</f>
        <v>573.25</v>
      </c>
      <c r="AJ562" s="89">
        <f>'DIY Grundmodell'!V649</f>
        <v>0</v>
      </c>
      <c r="AK562" s="989"/>
      <c r="AL562" s="33">
        <f>'DIY Grundmodell'!X649</f>
        <v>5808.1170099999999</v>
      </c>
    </row>
    <row r="563" spans="32:38" ht="14.1" customHeight="1" x14ac:dyDescent="0.45">
      <c r="AF563" s="988">
        <f>'DIY Grundmodell'!R650</f>
        <v>45592</v>
      </c>
      <c r="AG563" s="89" t="e">
        <f>'DIY Grundmodell'!S650</f>
        <v>#N/A</v>
      </c>
      <c r="AH563" s="54" t="e">
        <f>'DIY Grundmodell'!T650</f>
        <v>#N/A</v>
      </c>
      <c r="AI563" s="89">
        <f>'DIY Grundmodell'!U650</f>
        <v>573.25</v>
      </c>
      <c r="AJ563" s="89">
        <f>'DIY Grundmodell'!V650</f>
        <v>0</v>
      </c>
      <c r="AK563" s="989"/>
      <c r="AL563" s="33">
        <f>'DIY Grundmodell'!X650</f>
        <v>5808.1170099999999</v>
      </c>
    </row>
    <row r="564" spans="32:38" ht="14.1" customHeight="1" x14ac:dyDescent="0.45">
      <c r="AF564" s="988">
        <f>'DIY Grundmodell'!R651</f>
        <v>45593</v>
      </c>
      <c r="AG564" s="89">
        <f>'DIY Grundmodell'!S651</f>
        <v>578.16</v>
      </c>
      <c r="AH564" s="54">
        <f>'DIY Grundmodell'!T651</f>
        <v>6316.4737400000004</v>
      </c>
      <c r="AI564" s="89">
        <f>'DIY Grundmodell'!U651</f>
        <v>578.16</v>
      </c>
      <c r="AJ564" s="89">
        <f>'DIY Grundmodell'!V651</f>
        <v>6316.4737400000004</v>
      </c>
      <c r="AK564" s="989"/>
      <c r="AL564" s="33">
        <f>'DIY Grundmodell'!X651</f>
        <v>5823.51775</v>
      </c>
    </row>
    <row r="565" spans="32:38" ht="14.1" customHeight="1" x14ac:dyDescent="0.45">
      <c r="AF565" s="988">
        <f>'DIY Grundmodell'!R652</f>
        <v>45594</v>
      </c>
      <c r="AG565" s="89">
        <f>'DIY Grundmodell'!S652</f>
        <v>593.28</v>
      </c>
      <c r="AH565" s="54">
        <f>'DIY Grundmodell'!T652</f>
        <v>7723.9669000000004</v>
      </c>
      <c r="AI565" s="89">
        <f>'DIY Grundmodell'!U652</f>
        <v>593.28</v>
      </c>
      <c r="AJ565" s="89">
        <f>'DIY Grundmodell'!V652</f>
        <v>7723.9669000000004</v>
      </c>
      <c r="AK565" s="989"/>
      <c r="AL565" s="33">
        <f>'DIY Grundmodell'!X652</f>
        <v>5832.91705</v>
      </c>
    </row>
    <row r="566" spans="32:38" ht="14.1" customHeight="1" x14ac:dyDescent="0.45">
      <c r="AF566" s="988">
        <f>'DIY Grundmodell'!R653</f>
        <v>45595</v>
      </c>
      <c r="AG566" s="89">
        <f>'DIY Grundmodell'!S653</f>
        <v>591.79999999999995</v>
      </c>
      <c r="AH566" s="54">
        <f>'DIY Grundmodell'!T653</f>
        <v>15898.662619999999</v>
      </c>
      <c r="AI566" s="89">
        <f>'DIY Grundmodell'!U653</f>
        <v>591.79999999999995</v>
      </c>
      <c r="AJ566" s="89">
        <f>'DIY Grundmodell'!V653</f>
        <v>15898.662619999999</v>
      </c>
      <c r="AK566" s="989"/>
      <c r="AL566" s="33">
        <f>'DIY Grundmodell'!X653</f>
        <v>5813.6697000000004</v>
      </c>
    </row>
    <row r="567" spans="32:38" ht="14.1" customHeight="1" x14ac:dyDescent="0.45">
      <c r="AF567" s="988">
        <f>'DIY Grundmodell'!R654</f>
        <v>45596</v>
      </c>
      <c r="AG567" s="89">
        <f>'DIY Grundmodell'!S654</f>
        <v>567.58000000000004</v>
      </c>
      <c r="AH567" s="54">
        <f>'DIY Grundmodell'!T654</f>
        <v>15232.936229999999</v>
      </c>
      <c r="AI567" s="89">
        <f>'DIY Grundmodell'!U654</f>
        <v>567.58000000000004</v>
      </c>
      <c r="AJ567" s="89">
        <f>'DIY Grundmodell'!V654</f>
        <v>15232.936229999999</v>
      </c>
      <c r="AK567" s="989"/>
      <c r="AL567" s="33">
        <f>'DIY Grundmodell'!X654</f>
        <v>5705.4479199999996</v>
      </c>
    </row>
    <row r="568" spans="32:38" ht="14.1" customHeight="1" x14ac:dyDescent="0.45">
      <c r="AF568" s="988">
        <f>'DIY Grundmodell'!R655</f>
        <v>45597</v>
      </c>
      <c r="AG568" s="89">
        <f>'DIY Grundmodell'!S655</f>
        <v>567.16</v>
      </c>
      <c r="AH568" s="54">
        <f>'DIY Grundmodell'!T655</f>
        <v>8679.3827600000004</v>
      </c>
      <c r="AI568" s="89">
        <f>'DIY Grundmodell'!U655</f>
        <v>567.16</v>
      </c>
      <c r="AJ568" s="89">
        <f>'DIY Grundmodell'!V655</f>
        <v>8679.3827600000004</v>
      </c>
      <c r="AK568" s="989"/>
      <c r="AL568" s="33">
        <f>'DIY Grundmodell'!X655</f>
        <v>5728.8013600000004</v>
      </c>
    </row>
    <row r="569" spans="32:38" ht="14.1" customHeight="1" x14ac:dyDescent="0.45">
      <c r="AF569" s="988">
        <f>'DIY Grundmodell'!R656</f>
        <v>45598</v>
      </c>
      <c r="AG569" s="89" t="e">
        <f>'DIY Grundmodell'!S656</f>
        <v>#N/A</v>
      </c>
      <c r="AH569" s="54" t="e">
        <f>'DIY Grundmodell'!T656</f>
        <v>#N/A</v>
      </c>
      <c r="AI569" s="89">
        <f>'DIY Grundmodell'!U656</f>
        <v>567.16</v>
      </c>
      <c r="AJ569" s="89">
        <f>'DIY Grundmodell'!V656</f>
        <v>0</v>
      </c>
      <c r="AK569" s="989"/>
      <c r="AL569" s="33">
        <f>'DIY Grundmodell'!X656</f>
        <v>5728.8013600000004</v>
      </c>
    </row>
    <row r="570" spans="32:38" ht="14.1" customHeight="1" x14ac:dyDescent="0.45">
      <c r="AF570" s="988">
        <f>'DIY Grundmodell'!R657</f>
        <v>45599</v>
      </c>
      <c r="AG570" s="89" t="e">
        <f>'DIY Grundmodell'!S657</f>
        <v>#N/A</v>
      </c>
      <c r="AH570" s="54" t="e">
        <f>'DIY Grundmodell'!T657</f>
        <v>#N/A</v>
      </c>
      <c r="AI570" s="89">
        <f>'DIY Grundmodell'!U657</f>
        <v>567.16</v>
      </c>
      <c r="AJ570" s="89">
        <f>'DIY Grundmodell'!V657</f>
        <v>0</v>
      </c>
      <c r="AK570" s="989"/>
      <c r="AL570" s="33">
        <f>'DIY Grundmodell'!X657</f>
        <v>5728.8013600000004</v>
      </c>
    </row>
    <row r="571" spans="32:38" ht="14.1" customHeight="1" x14ac:dyDescent="0.45">
      <c r="AF571" s="988">
        <f>'DIY Grundmodell'!R658</f>
        <v>45600</v>
      </c>
      <c r="AG571" s="89">
        <f>'DIY Grundmodell'!S658</f>
        <v>560.67999999999995</v>
      </c>
      <c r="AH571" s="54">
        <f>'DIY Grundmodell'!T658</f>
        <v>6764.3804899999996</v>
      </c>
      <c r="AI571" s="89">
        <f>'DIY Grundmodell'!U658</f>
        <v>560.67999999999995</v>
      </c>
      <c r="AJ571" s="89">
        <f>'DIY Grundmodell'!V658</f>
        <v>6764.3804899999996</v>
      </c>
      <c r="AK571" s="989"/>
      <c r="AL571" s="33">
        <f>'DIY Grundmodell'!X658</f>
        <v>5712.6883399999997</v>
      </c>
    </row>
    <row r="572" spans="32:38" ht="14.1" customHeight="1" x14ac:dyDescent="0.45">
      <c r="AF572" s="988">
        <f>'DIY Grundmodell'!R659</f>
        <v>45601</v>
      </c>
      <c r="AG572" s="89">
        <f>'DIY Grundmodell'!S659</f>
        <v>572.42999999999995</v>
      </c>
      <c r="AH572" s="54">
        <f>'DIY Grundmodell'!T659</f>
        <v>5595.7201999999997</v>
      </c>
      <c r="AI572" s="89">
        <f>'DIY Grundmodell'!U659</f>
        <v>572.42999999999995</v>
      </c>
      <c r="AJ572" s="89">
        <f>'DIY Grundmodell'!V659</f>
        <v>5595.7201999999997</v>
      </c>
      <c r="AK572" s="989"/>
      <c r="AL572" s="33">
        <f>'DIY Grundmodell'!X659</f>
        <v>5782.7558099999997</v>
      </c>
    </row>
    <row r="573" spans="32:38" ht="14.1" customHeight="1" x14ac:dyDescent="0.45">
      <c r="AF573" s="988">
        <f>'DIY Grundmodell'!R660</f>
        <v>45602</v>
      </c>
      <c r="AG573" s="89">
        <f>'DIY Grundmodell'!S660</f>
        <v>572.04999999999995</v>
      </c>
      <c r="AH573" s="54">
        <f>'DIY Grundmodell'!T660</f>
        <v>10471.62066</v>
      </c>
      <c r="AI573" s="89">
        <f>'DIY Grundmodell'!U660</f>
        <v>572.04999999999995</v>
      </c>
      <c r="AJ573" s="89">
        <f>'DIY Grundmodell'!V660</f>
        <v>10471.62066</v>
      </c>
      <c r="AK573" s="989"/>
      <c r="AL573" s="33">
        <f>'DIY Grundmodell'!X660</f>
        <v>5929.0442400000002</v>
      </c>
    </row>
    <row r="574" spans="32:38" ht="14.1" customHeight="1" x14ac:dyDescent="0.45">
      <c r="AF574" s="988">
        <f>'DIY Grundmodell'!R661</f>
        <v>45603</v>
      </c>
      <c r="AG574" s="89">
        <f>'DIY Grundmodell'!S661</f>
        <v>591.70000000000005</v>
      </c>
      <c r="AH574" s="54">
        <f>'DIY Grundmodell'!T661</f>
        <v>8670.5990199999997</v>
      </c>
      <c r="AI574" s="89">
        <f>'DIY Grundmodell'!U661</f>
        <v>591.70000000000005</v>
      </c>
      <c r="AJ574" s="89">
        <f>'DIY Grundmodell'!V661</f>
        <v>8670.5990199999997</v>
      </c>
      <c r="AK574" s="989"/>
      <c r="AL574" s="33">
        <f>'DIY Grundmodell'!X661</f>
        <v>5973.1031599999997</v>
      </c>
    </row>
    <row r="575" spans="32:38" ht="14.1" customHeight="1" x14ac:dyDescent="0.45">
      <c r="AF575" s="988">
        <f>'DIY Grundmodell'!R662</f>
        <v>45604</v>
      </c>
      <c r="AG575" s="89">
        <f>'DIY Grundmodell'!S662</f>
        <v>589.34</v>
      </c>
      <c r="AH575" s="54">
        <f>'DIY Grundmodell'!T662</f>
        <v>5549.0480500000003</v>
      </c>
      <c r="AI575" s="89">
        <f>'DIY Grundmodell'!U662</f>
        <v>589.34</v>
      </c>
      <c r="AJ575" s="89">
        <f>'DIY Grundmodell'!V662</f>
        <v>5549.0480500000003</v>
      </c>
      <c r="AK575" s="989"/>
      <c r="AL575" s="33">
        <f>'DIY Grundmodell'!X662</f>
        <v>5995.5373399999999</v>
      </c>
    </row>
    <row r="576" spans="32:38" ht="14.1" customHeight="1" x14ac:dyDescent="0.45">
      <c r="AF576" s="988">
        <f>'DIY Grundmodell'!R663</f>
        <v>45605</v>
      </c>
      <c r="AG576" s="89" t="e">
        <f>'DIY Grundmodell'!S663</f>
        <v>#N/A</v>
      </c>
      <c r="AH576" s="54" t="e">
        <f>'DIY Grundmodell'!T663</f>
        <v>#N/A</v>
      </c>
      <c r="AI576" s="89">
        <f>'DIY Grundmodell'!U663</f>
        <v>589.34</v>
      </c>
      <c r="AJ576" s="89">
        <f>'DIY Grundmodell'!V663</f>
        <v>0</v>
      </c>
      <c r="AK576" s="989"/>
      <c r="AL576" s="33">
        <f>'DIY Grundmodell'!X663</f>
        <v>5995.5373399999999</v>
      </c>
    </row>
    <row r="577" spans="32:38" ht="14.1" customHeight="1" x14ac:dyDescent="0.45">
      <c r="AF577" s="988">
        <f>'DIY Grundmodell'!R664</f>
        <v>45606</v>
      </c>
      <c r="AG577" s="89" t="e">
        <f>'DIY Grundmodell'!S664</f>
        <v>#N/A</v>
      </c>
      <c r="AH577" s="54" t="e">
        <f>'DIY Grundmodell'!T664</f>
        <v>#N/A</v>
      </c>
      <c r="AI577" s="89">
        <f>'DIY Grundmodell'!U664</f>
        <v>589.34</v>
      </c>
      <c r="AJ577" s="89">
        <f>'DIY Grundmodell'!V664</f>
        <v>0</v>
      </c>
      <c r="AK577" s="989"/>
      <c r="AL577" s="33">
        <f>'DIY Grundmodell'!X664</f>
        <v>5995.5373399999999</v>
      </c>
    </row>
    <row r="578" spans="32:38" ht="14.1" customHeight="1" x14ac:dyDescent="0.45">
      <c r="AF578" s="988">
        <f>'DIY Grundmodell'!R665</f>
        <v>45607</v>
      </c>
      <c r="AG578" s="89">
        <f>'DIY Grundmodell'!S665</f>
        <v>583.16999999999996</v>
      </c>
      <c r="AH578" s="54">
        <f>'DIY Grundmodell'!T665</f>
        <v>5953.6122699999996</v>
      </c>
      <c r="AI578" s="89">
        <f>'DIY Grundmodell'!U665</f>
        <v>583.16999999999996</v>
      </c>
      <c r="AJ578" s="89">
        <f>'DIY Grundmodell'!V665</f>
        <v>5953.6122699999996</v>
      </c>
      <c r="AK578" s="989"/>
      <c r="AL578" s="33">
        <f>'DIY Grundmodell'!X665</f>
        <v>6001.34699</v>
      </c>
    </row>
    <row r="579" spans="32:38" ht="14.1" customHeight="1" x14ac:dyDescent="0.45">
      <c r="AF579" s="988">
        <f>'DIY Grundmodell'!R666</f>
        <v>45608</v>
      </c>
      <c r="AG579" s="89">
        <f>'DIY Grundmodell'!S666</f>
        <v>584.82000000000005</v>
      </c>
      <c r="AH579" s="54">
        <f>'DIY Grundmodell'!T666</f>
        <v>9525.3867499999997</v>
      </c>
      <c r="AI579" s="89">
        <f>'DIY Grundmodell'!U666</f>
        <v>584.82000000000005</v>
      </c>
      <c r="AJ579" s="89">
        <f>'DIY Grundmodell'!V666</f>
        <v>9525.3867499999997</v>
      </c>
      <c r="AK579" s="989"/>
      <c r="AL579" s="33">
        <f>'DIY Grundmodell'!X666</f>
        <v>5983.9898599999997</v>
      </c>
    </row>
    <row r="580" spans="32:38" ht="14.1" customHeight="1" x14ac:dyDescent="0.45">
      <c r="AF580" s="988">
        <f>'DIY Grundmodell'!R667</f>
        <v>45609</v>
      </c>
      <c r="AG580" s="89">
        <f>'DIY Grundmodell'!S667</f>
        <v>580</v>
      </c>
      <c r="AH580" s="54">
        <f>'DIY Grundmodell'!T667</f>
        <v>6239.3981400000002</v>
      </c>
      <c r="AI580" s="89">
        <f>'DIY Grundmodell'!U667</f>
        <v>580</v>
      </c>
      <c r="AJ580" s="89">
        <f>'DIY Grundmodell'!V667</f>
        <v>6239.3981400000002</v>
      </c>
      <c r="AK580" s="989"/>
      <c r="AL580" s="33">
        <f>'DIY Grundmodell'!X667</f>
        <v>5985.3780100000004</v>
      </c>
    </row>
    <row r="581" spans="32:38" ht="14.1" customHeight="1" x14ac:dyDescent="0.45">
      <c r="AF581" s="988">
        <f>'DIY Grundmodell'!R668</f>
        <v>45610</v>
      </c>
      <c r="AG581" s="89">
        <f>'DIY Grundmodell'!S668</f>
        <v>577.16</v>
      </c>
      <c r="AH581" s="54">
        <f>'DIY Grundmodell'!T668</f>
        <v>6379.7783099999997</v>
      </c>
      <c r="AI581" s="89">
        <f>'DIY Grundmodell'!U668</f>
        <v>577.16</v>
      </c>
      <c r="AJ581" s="89">
        <f>'DIY Grundmodell'!V668</f>
        <v>6379.7783099999997</v>
      </c>
      <c r="AK581" s="989"/>
      <c r="AL581" s="33">
        <f>'DIY Grundmodell'!X668</f>
        <v>5949.1709199999996</v>
      </c>
    </row>
    <row r="582" spans="32:38" ht="14.1" customHeight="1" x14ac:dyDescent="0.45">
      <c r="AF582" s="988">
        <f>'DIY Grundmodell'!R669</f>
        <v>45611</v>
      </c>
      <c r="AG582" s="89">
        <f>'DIY Grundmodell'!S669</f>
        <v>554.08000000000004</v>
      </c>
      <c r="AH582" s="54">
        <f>'DIY Grundmodell'!T669</f>
        <v>9814.3436899999997</v>
      </c>
      <c r="AI582" s="89">
        <f>'DIY Grundmodell'!U669</f>
        <v>554.08000000000004</v>
      </c>
      <c r="AJ582" s="89">
        <f>'DIY Grundmodell'!V669</f>
        <v>9814.3436899999997</v>
      </c>
      <c r="AK582" s="989"/>
      <c r="AL582" s="33">
        <f>'DIY Grundmodell'!X669</f>
        <v>5870.6164099999996</v>
      </c>
    </row>
    <row r="583" spans="32:38" ht="14.1" customHeight="1" x14ac:dyDescent="0.45">
      <c r="AF583" s="988">
        <f>'DIY Grundmodell'!R670</f>
        <v>45612</v>
      </c>
      <c r="AG583" s="89" t="e">
        <f>'DIY Grundmodell'!S670</f>
        <v>#N/A</v>
      </c>
      <c r="AH583" s="54" t="e">
        <f>'DIY Grundmodell'!T670</f>
        <v>#N/A</v>
      </c>
      <c r="AI583" s="89">
        <f>'DIY Grundmodell'!U670</f>
        <v>554.08000000000004</v>
      </c>
      <c r="AJ583" s="89">
        <f>'DIY Grundmodell'!V670</f>
        <v>0</v>
      </c>
      <c r="AK583" s="989"/>
      <c r="AL583" s="33">
        <f>'DIY Grundmodell'!X670</f>
        <v>5870.6164099999996</v>
      </c>
    </row>
    <row r="584" spans="32:38" ht="14.1" customHeight="1" x14ac:dyDescent="0.45">
      <c r="AF584" s="988">
        <f>'DIY Grundmodell'!R671</f>
        <v>45613</v>
      </c>
      <c r="AG584" s="89" t="e">
        <f>'DIY Grundmodell'!S671</f>
        <v>#N/A</v>
      </c>
      <c r="AH584" s="54" t="e">
        <f>'DIY Grundmodell'!T671</f>
        <v>#N/A</v>
      </c>
      <c r="AI584" s="89">
        <f>'DIY Grundmodell'!U671</f>
        <v>554.08000000000004</v>
      </c>
      <c r="AJ584" s="89">
        <f>'DIY Grundmodell'!V671</f>
        <v>0</v>
      </c>
      <c r="AK584" s="989"/>
      <c r="AL584" s="33">
        <f>'DIY Grundmodell'!X671</f>
        <v>5870.6164099999996</v>
      </c>
    </row>
    <row r="585" spans="32:38" ht="14.1" customHeight="1" x14ac:dyDescent="0.45">
      <c r="AF585" s="988">
        <f>'DIY Grundmodell'!R672</f>
        <v>45614</v>
      </c>
      <c r="AG585" s="89">
        <f>'DIY Grundmodell'!S672</f>
        <v>554.4</v>
      </c>
      <c r="AH585" s="54">
        <f>'DIY Grundmodell'!T672</f>
        <v>7953.8188</v>
      </c>
      <c r="AI585" s="89">
        <f>'DIY Grundmodell'!U672</f>
        <v>554.4</v>
      </c>
      <c r="AJ585" s="89">
        <f>'DIY Grundmodell'!V672</f>
        <v>7953.8188</v>
      </c>
      <c r="AK585" s="989"/>
      <c r="AL585" s="33">
        <f>'DIY Grundmodell'!X672</f>
        <v>5893.62345</v>
      </c>
    </row>
    <row r="586" spans="32:38" ht="14.1" customHeight="1" x14ac:dyDescent="0.45">
      <c r="AF586" s="988">
        <f>'DIY Grundmodell'!R673</f>
        <v>45615</v>
      </c>
      <c r="AG586" s="89">
        <f>'DIY Grundmodell'!S673</f>
        <v>561.09</v>
      </c>
      <c r="AH586" s="54">
        <f>'DIY Grundmodell'!T673</f>
        <v>5342.9486699999998</v>
      </c>
      <c r="AI586" s="89">
        <f>'DIY Grundmodell'!U673</f>
        <v>561.09</v>
      </c>
      <c r="AJ586" s="89">
        <f>'DIY Grundmodell'!V673</f>
        <v>5342.9486699999998</v>
      </c>
      <c r="AK586" s="989"/>
      <c r="AL586" s="33">
        <f>'DIY Grundmodell'!X673</f>
        <v>5916.9773500000001</v>
      </c>
    </row>
    <row r="587" spans="32:38" ht="14.1" customHeight="1" x14ac:dyDescent="0.45">
      <c r="AF587" s="988">
        <f>'DIY Grundmodell'!R674</f>
        <v>45616</v>
      </c>
      <c r="AG587" s="89">
        <f>'DIY Grundmodell'!S674</f>
        <v>565.52</v>
      </c>
      <c r="AH587" s="54">
        <f>'DIY Grundmodell'!T674</f>
        <v>5540.5911500000002</v>
      </c>
      <c r="AI587" s="89">
        <f>'DIY Grundmodell'!U674</f>
        <v>565.52</v>
      </c>
      <c r="AJ587" s="89">
        <f>'DIY Grundmodell'!V674</f>
        <v>5540.5911500000002</v>
      </c>
      <c r="AK587" s="989"/>
      <c r="AL587" s="33">
        <f>'DIY Grundmodell'!X674</f>
        <v>5917.1110500000004</v>
      </c>
    </row>
    <row r="588" spans="32:38" ht="14.1" customHeight="1" x14ac:dyDescent="0.45">
      <c r="AF588" s="988">
        <f>'DIY Grundmodell'!R675</f>
        <v>45617</v>
      </c>
      <c r="AG588" s="89">
        <f>'DIY Grundmodell'!S675</f>
        <v>563.09</v>
      </c>
      <c r="AH588" s="54">
        <f>'DIY Grundmodell'!T675</f>
        <v>6281.1276099999995</v>
      </c>
      <c r="AI588" s="89">
        <f>'DIY Grundmodell'!U675</f>
        <v>563.09</v>
      </c>
      <c r="AJ588" s="89">
        <f>'DIY Grundmodell'!V675</f>
        <v>6281.1276099999995</v>
      </c>
      <c r="AK588" s="989"/>
      <c r="AL588" s="33">
        <f>'DIY Grundmodell'!X675</f>
        <v>5948.7072200000002</v>
      </c>
    </row>
    <row r="589" spans="32:38" ht="14.1" customHeight="1" x14ac:dyDescent="0.45">
      <c r="AF589" s="988">
        <f>'DIY Grundmodell'!R676</f>
        <v>45618</v>
      </c>
      <c r="AG589" s="89">
        <f>'DIY Grundmodell'!S676</f>
        <v>559.14</v>
      </c>
      <c r="AH589" s="54">
        <f>'DIY Grundmodell'!T676</f>
        <v>5123.9611999999997</v>
      </c>
      <c r="AI589" s="89">
        <f>'DIY Grundmodell'!U676</f>
        <v>559.14</v>
      </c>
      <c r="AJ589" s="89">
        <f>'DIY Grundmodell'!V676</f>
        <v>5123.9611999999997</v>
      </c>
      <c r="AK589" s="989"/>
      <c r="AL589" s="33">
        <f>'DIY Grundmodell'!X676</f>
        <v>5969.3430799999996</v>
      </c>
    </row>
    <row r="590" spans="32:38" ht="14.1" customHeight="1" x14ac:dyDescent="0.45">
      <c r="AF590" s="988">
        <f>'DIY Grundmodell'!R677</f>
        <v>45619</v>
      </c>
      <c r="AG590" s="89" t="e">
        <f>'DIY Grundmodell'!S677</f>
        <v>#N/A</v>
      </c>
      <c r="AH590" s="54" t="e">
        <f>'DIY Grundmodell'!T677</f>
        <v>#N/A</v>
      </c>
      <c r="AI590" s="89">
        <f>'DIY Grundmodell'!U677</f>
        <v>559.14</v>
      </c>
      <c r="AJ590" s="89">
        <f>'DIY Grundmodell'!V677</f>
        <v>0</v>
      </c>
      <c r="AK590" s="989"/>
      <c r="AL590" s="33">
        <f>'DIY Grundmodell'!X677</f>
        <v>5969.3430799999996</v>
      </c>
    </row>
    <row r="591" spans="32:38" ht="14.1" customHeight="1" x14ac:dyDescent="0.45">
      <c r="AF591" s="988">
        <f>'DIY Grundmodell'!R678</f>
        <v>45620</v>
      </c>
      <c r="AG591" s="89" t="e">
        <f>'DIY Grundmodell'!S678</f>
        <v>#N/A</v>
      </c>
      <c r="AH591" s="54" t="e">
        <f>'DIY Grundmodell'!T678</f>
        <v>#N/A</v>
      </c>
      <c r="AI591" s="89">
        <f>'DIY Grundmodell'!U678</f>
        <v>559.14</v>
      </c>
      <c r="AJ591" s="89">
        <f>'DIY Grundmodell'!V678</f>
        <v>0</v>
      </c>
      <c r="AK591" s="989"/>
      <c r="AL591" s="33">
        <f>'DIY Grundmodell'!X678</f>
        <v>5969.3430799999996</v>
      </c>
    </row>
    <row r="592" spans="32:38" ht="14.1" customHeight="1" x14ac:dyDescent="0.45">
      <c r="AF592" s="988">
        <f>'DIY Grundmodell'!R679</f>
        <v>45621</v>
      </c>
      <c r="AG592" s="89">
        <f>'DIY Grundmodell'!S679</f>
        <v>565.11</v>
      </c>
      <c r="AH592" s="54">
        <f>'DIY Grundmodell'!T679</f>
        <v>7685.3999299999996</v>
      </c>
      <c r="AI592" s="89">
        <f>'DIY Grundmodell'!U679</f>
        <v>565.11</v>
      </c>
      <c r="AJ592" s="89">
        <f>'DIY Grundmodell'!V679</f>
        <v>7685.3999299999996</v>
      </c>
      <c r="AK592" s="989"/>
      <c r="AL592" s="33">
        <f>'DIY Grundmodell'!X679</f>
        <v>5987.3663500000002</v>
      </c>
    </row>
    <row r="593" spans="32:38" ht="14.1" customHeight="1" x14ac:dyDescent="0.45">
      <c r="AF593" s="988">
        <f>'DIY Grundmodell'!R680</f>
        <v>45622</v>
      </c>
      <c r="AG593" s="89">
        <f>'DIY Grundmodell'!S680</f>
        <v>573.54</v>
      </c>
      <c r="AH593" s="54">
        <f>'DIY Grundmodell'!T680</f>
        <v>5939.8956900000003</v>
      </c>
      <c r="AI593" s="89">
        <f>'DIY Grundmodell'!U680</f>
        <v>573.54</v>
      </c>
      <c r="AJ593" s="89">
        <f>'DIY Grundmodell'!V680</f>
        <v>5939.8956900000003</v>
      </c>
      <c r="AK593" s="989"/>
      <c r="AL593" s="33">
        <f>'DIY Grundmodell'!X680</f>
        <v>6021.6325900000002</v>
      </c>
    </row>
    <row r="594" spans="32:38" ht="14.1" customHeight="1" x14ac:dyDescent="0.45">
      <c r="AF594" s="988">
        <f>'DIY Grundmodell'!R681</f>
        <v>45623</v>
      </c>
      <c r="AG594" s="89">
        <f>'DIY Grundmodell'!S681</f>
        <v>569.20000000000005</v>
      </c>
      <c r="AH594" s="54">
        <f>'DIY Grundmodell'!T681</f>
        <v>4098.36978</v>
      </c>
      <c r="AI594" s="89">
        <f>'DIY Grundmodell'!U681</f>
        <v>569.20000000000005</v>
      </c>
      <c r="AJ594" s="89">
        <f>'DIY Grundmodell'!V681</f>
        <v>4098.36978</v>
      </c>
      <c r="AK594" s="989"/>
      <c r="AL594" s="33">
        <f>'DIY Grundmodell'!X681</f>
        <v>5998.7380499999999</v>
      </c>
    </row>
    <row r="595" spans="32:38" ht="14.1" customHeight="1" x14ac:dyDescent="0.45">
      <c r="AF595" s="988">
        <f>'DIY Grundmodell'!R682</f>
        <v>45624</v>
      </c>
      <c r="AG595" s="89" t="e">
        <f>'DIY Grundmodell'!S682</f>
        <v>#N/A</v>
      </c>
      <c r="AH595" s="54" t="e">
        <f>'DIY Grundmodell'!T682</f>
        <v>#N/A</v>
      </c>
      <c r="AI595" s="89">
        <f>'DIY Grundmodell'!U682</f>
        <v>569.20000000000005</v>
      </c>
      <c r="AJ595" s="89">
        <f>'DIY Grundmodell'!V682</f>
        <v>0</v>
      </c>
      <c r="AK595" s="989"/>
      <c r="AL595" s="33">
        <f>'DIY Grundmodell'!X682</f>
        <v>5998.7380499999999</v>
      </c>
    </row>
    <row r="596" spans="32:38" ht="14.1" customHeight="1" x14ac:dyDescent="0.45">
      <c r="AF596" s="988">
        <f>'DIY Grundmodell'!R683</f>
        <v>45625</v>
      </c>
      <c r="AG596" s="89">
        <f>'DIY Grundmodell'!S683</f>
        <v>574.32000000000005</v>
      </c>
      <c r="AH596" s="54">
        <f>'DIY Grundmodell'!T683</f>
        <v>4095.19967</v>
      </c>
      <c r="AI596" s="89">
        <f>'DIY Grundmodell'!U683</f>
        <v>574.32000000000005</v>
      </c>
      <c r="AJ596" s="89">
        <f>'DIY Grundmodell'!V683</f>
        <v>4095.19967</v>
      </c>
      <c r="AK596" s="989"/>
      <c r="AL596" s="33">
        <f>'DIY Grundmodell'!X683</f>
        <v>6032.3844099999997</v>
      </c>
    </row>
    <row r="597" spans="32:38" ht="14.1" customHeight="1" x14ac:dyDescent="0.45">
      <c r="AF597" s="988">
        <f>'DIY Grundmodell'!R684</f>
        <v>45626</v>
      </c>
      <c r="AG597" s="89" t="e">
        <f>'DIY Grundmodell'!S684</f>
        <v>#N/A</v>
      </c>
      <c r="AH597" s="54" t="e">
        <f>'DIY Grundmodell'!T684</f>
        <v>#N/A</v>
      </c>
      <c r="AI597" s="89">
        <f>'DIY Grundmodell'!U684</f>
        <v>574.32000000000005</v>
      </c>
      <c r="AJ597" s="89">
        <f>'DIY Grundmodell'!V684</f>
        <v>0</v>
      </c>
      <c r="AK597" s="989"/>
      <c r="AL597" s="33">
        <f>'DIY Grundmodell'!X684</f>
        <v>6032.3844099999997</v>
      </c>
    </row>
    <row r="598" spans="32:38" ht="14.1" customHeight="1" x14ac:dyDescent="0.45">
      <c r="AF598" s="988">
        <f>'DIY Grundmodell'!R685</f>
        <v>45627</v>
      </c>
      <c r="AG598" s="89" t="e">
        <f>'DIY Grundmodell'!S685</f>
        <v>#N/A</v>
      </c>
      <c r="AH598" s="54" t="e">
        <f>'DIY Grundmodell'!T685</f>
        <v>#N/A</v>
      </c>
      <c r="AI598" s="89">
        <f>'DIY Grundmodell'!U685</f>
        <v>574.32000000000005</v>
      </c>
      <c r="AJ598" s="89">
        <f>'DIY Grundmodell'!V685</f>
        <v>0</v>
      </c>
      <c r="AK598" s="989"/>
      <c r="AL598" s="33">
        <f>'DIY Grundmodell'!X685</f>
        <v>6032.3844099999997</v>
      </c>
    </row>
    <row r="599" spans="32:38" ht="14.1" customHeight="1" x14ac:dyDescent="0.45">
      <c r="AF599" s="988">
        <f>'DIY Grundmodell'!R686</f>
        <v>45628</v>
      </c>
      <c r="AG599" s="89">
        <f>'DIY Grundmodell'!S686</f>
        <v>592.83000000000004</v>
      </c>
      <c r="AH599" s="54">
        <f>'DIY Grundmodell'!T686</f>
        <v>7423.6372000000001</v>
      </c>
      <c r="AI599" s="89">
        <f>'DIY Grundmodell'!U686</f>
        <v>592.83000000000004</v>
      </c>
      <c r="AJ599" s="89">
        <f>'DIY Grundmodell'!V686</f>
        <v>7423.6372000000001</v>
      </c>
      <c r="AK599" s="989"/>
      <c r="AL599" s="33">
        <f>'DIY Grundmodell'!X686</f>
        <v>6047.1458400000001</v>
      </c>
    </row>
    <row r="600" spans="32:38" ht="14.1" customHeight="1" x14ac:dyDescent="0.45">
      <c r="AF600" s="988">
        <f>'DIY Grundmodell'!R687</f>
        <v>45629</v>
      </c>
      <c r="AG600" s="89">
        <f>'DIY Grundmodell'!S687</f>
        <v>613.65</v>
      </c>
      <c r="AH600" s="54">
        <f>'DIY Grundmodell'!T687</f>
        <v>9147.7811899999997</v>
      </c>
      <c r="AI600" s="89">
        <f>'DIY Grundmodell'!U687</f>
        <v>613.65</v>
      </c>
      <c r="AJ600" s="89">
        <f>'DIY Grundmodell'!V687</f>
        <v>9147.7811899999997</v>
      </c>
      <c r="AK600" s="989"/>
      <c r="AL600" s="33">
        <f>'DIY Grundmodell'!X687</f>
        <v>6049.8817499999996</v>
      </c>
    </row>
    <row r="601" spans="32:38" ht="14.1" customHeight="1" x14ac:dyDescent="0.45">
      <c r="AF601" s="988">
        <f>'DIY Grundmodell'!R688</f>
        <v>45630</v>
      </c>
      <c r="AG601" s="89">
        <f>'DIY Grundmodell'!S688</f>
        <v>613.78</v>
      </c>
      <c r="AH601" s="54">
        <f>'DIY Grundmodell'!T688</f>
        <v>9020.7283399999997</v>
      </c>
      <c r="AI601" s="89">
        <f>'DIY Grundmodell'!U688</f>
        <v>613.78</v>
      </c>
      <c r="AJ601" s="89">
        <f>'DIY Grundmodell'!V688</f>
        <v>9020.7283399999997</v>
      </c>
      <c r="AK601" s="989"/>
      <c r="AL601" s="33">
        <f>'DIY Grundmodell'!X688</f>
        <v>6086.4872599999999</v>
      </c>
    </row>
    <row r="602" spans="32:38" ht="14.1" customHeight="1" x14ac:dyDescent="0.45">
      <c r="AF602" s="988">
        <f>'DIY Grundmodell'!R689</f>
        <v>45631</v>
      </c>
      <c r="AG602" s="89">
        <f>'DIY Grundmodell'!S689</f>
        <v>608.92999999999995</v>
      </c>
      <c r="AH602" s="54">
        <f>'DIY Grundmodell'!T689</f>
        <v>4920.8924200000001</v>
      </c>
      <c r="AI602" s="89">
        <f>'DIY Grundmodell'!U689</f>
        <v>608.92999999999995</v>
      </c>
      <c r="AJ602" s="89">
        <f>'DIY Grundmodell'!V689</f>
        <v>4920.8924200000001</v>
      </c>
      <c r="AK602" s="989"/>
      <c r="AL602" s="33">
        <f>'DIY Grundmodell'!X689</f>
        <v>6075.10707</v>
      </c>
    </row>
    <row r="603" spans="32:38" ht="14.1" customHeight="1" x14ac:dyDescent="0.45">
      <c r="AF603" s="988">
        <f>'DIY Grundmodell'!R690</f>
        <v>45632</v>
      </c>
      <c r="AG603" s="89">
        <f>'DIY Grundmodell'!S690</f>
        <v>623.77</v>
      </c>
      <c r="AH603" s="54">
        <f>'DIY Grundmodell'!T690</f>
        <v>10563.85871</v>
      </c>
      <c r="AI603" s="89">
        <f>'DIY Grundmodell'!U690</f>
        <v>623.77</v>
      </c>
      <c r="AJ603" s="89">
        <f>'DIY Grundmodell'!V690</f>
        <v>10563.85871</v>
      </c>
      <c r="AK603" s="989"/>
      <c r="AL603" s="33">
        <f>'DIY Grundmodell'!X690</f>
        <v>6090.2704700000004</v>
      </c>
    </row>
    <row r="604" spans="32:38" ht="14.1" customHeight="1" x14ac:dyDescent="0.45">
      <c r="AF604" s="988">
        <f>'DIY Grundmodell'!R691</f>
        <v>45633</v>
      </c>
      <c r="AG604" s="89" t="e">
        <f>'DIY Grundmodell'!S691</f>
        <v>#N/A</v>
      </c>
      <c r="AH604" s="54" t="e">
        <f>'DIY Grundmodell'!T691</f>
        <v>#N/A</v>
      </c>
      <c r="AI604" s="89">
        <f>'DIY Grundmodell'!U691</f>
        <v>623.77</v>
      </c>
      <c r="AJ604" s="89">
        <f>'DIY Grundmodell'!V691</f>
        <v>0</v>
      </c>
      <c r="AK604" s="989"/>
      <c r="AL604" s="33">
        <f>'DIY Grundmodell'!X691</f>
        <v>6090.2704700000004</v>
      </c>
    </row>
    <row r="605" spans="32:38" ht="14.1" customHeight="1" x14ac:dyDescent="0.45">
      <c r="AF605" s="988">
        <f>'DIY Grundmodell'!R692</f>
        <v>45634</v>
      </c>
      <c r="AG605" s="89" t="e">
        <f>'DIY Grundmodell'!S692</f>
        <v>#N/A</v>
      </c>
      <c r="AH605" s="54" t="e">
        <f>'DIY Grundmodell'!T692</f>
        <v>#N/A</v>
      </c>
      <c r="AI605" s="89">
        <f>'DIY Grundmodell'!U692</f>
        <v>623.77</v>
      </c>
      <c r="AJ605" s="89">
        <f>'DIY Grundmodell'!V692</f>
        <v>0</v>
      </c>
      <c r="AK605" s="989"/>
      <c r="AL605" s="33">
        <f>'DIY Grundmodell'!X692</f>
        <v>6090.2704700000004</v>
      </c>
    </row>
    <row r="606" spans="32:38" ht="14.1" customHeight="1" x14ac:dyDescent="0.45">
      <c r="AF606" s="988">
        <f>'DIY Grundmodell'!R693</f>
        <v>45635</v>
      </c>
      <c r="AG606" s="89">
        <f>'DIY Grundmodell'!S693</f>
        <v>613.57000000000005</v>
      </c>
      <c r="AH606" s="54">
        <f>'DIY Grundmodell'!T693</f>
        <v>7010.6600200000003</v>
      </c>
      <c r="AI606" s="89">
        <f>'DIY Grundmodell'!U693</f>
        <v>613.57000000000005</v>
      </c>
      <c r="AJ606" s="89">
        <f>'DIY Grundmodell'!V693</f>
        <v>7010.6600200000003</v>
      </c>
      <c r="AK606" s="989"/>
      <c r="AL606" s="33">
        <f>'DIY Grundmodell'!X693</f>
        <v>6052.8485600000004</v>
      </c>
    </row>
    <row r="607" spans="32:38" ht="14.1" customHeight="1" x14ac:dyDescent="0.45">
      <c r="AF607" s="988">
        <f>'DIY Grundmodell'!R694</f>
        <v>45636</v>
      </c>
      <c r="AG607" s="89">
        <f>'DIY Grundmodell'!S694</f>
        <v>619.32000000000005</v>
      </c>
      <c r="AH607" s="54">
        <f>'DIY Grundmodell'!T694</f>
        <v>6774.6510600000001</v>
      </c>
      <c r="AI607" s="89">
        <f>'DIY Grundmodell'!U694</f>
        <v>619.32000000000005</v>
      </c>
      <c r="AJ607" s="89">
        <f>'DIY Grundmodell'!V694</f>
        <v>6774.6510600000001</v>
      </c>
      <c r="AK607" s="989"/>
      <c r="AL607" s="33">
        <f>'DIY Grundmodell'!X694</f>
        <v>6034.9122799999996</v>
      </c>
    </row>
    <row r="608" spans="32:38" ht="14.1" customHeight="1" x14ac:dyDescent="0.45">
      <c r="AF608" s="988">
        <f>'DIY Grundmodell'!R695</f>
        <v>45637</v>
      </c>
      <c r="AG608" s="89">
        <f>'DIY Grundmodell'!S695</f>
        <v>632.67999999999995</v>
      </c>
      <c r="AH608" s="54">
        <f>'DIY Grundmodell'!T695</f>
        <v>6856.4974099999999</v>
      </c>
      <c r="AI608" s="89">
        <f>'DIY Grundmodell'!U695</f>
        <v>632.67999999999995</v>
      </c>
      <c r="AJ608" s="89">
        <f>'DIY Grundmodell'!V695</f>
        <v>6856.4974099999999</v>
      </c>
      <c r="AK608" s="989"/>
      <c r="AL608" s="33">
        <f>'DIY Grundmodell'!X695</f>
        <v>6084.1894899999998</v>
      </c>
    </row>
    <row r="609" spans="32:38" ht="14.1" customHeight="1" x14ac:dyDescent="0.45">
      <c r="AF609" s="988">
        <f>'DIY Grundmodell'!R696</f>
        <v>45638</v>
      </c>
      <c r="AG609" s="89">
        <f>'DIY Grundmodell'!S696</f>
        <v>630.79</v>
      </c>
      <c r="AH609" s="54">
        <f>'DIY Grundmodell'!T696</f>
        <v>4714.9767400000001</v>
      </c>
      <c r="AI609" s="89">
        <f>'DIY Grundmodell'!U696</f>
        <v>630.79</v>
      </c>
      <c r="AJ609" s="89">
        <f>'DIY Grundmodell'!V696</f>
        <v>4714.9767400000001</v>
      </c>
      <c r="AK609" s="989"/>
      <c r="AL609" s="33">
        <f>'DIY Grundmodell'!X696</f>
        <v>6051.2473</v>
      </c>
    </row>
    <row r="610" spans="32:38" ht="14.1" customHeight="1" x14ac:dyDescent="0.45">
      <c r="AF610" s="988">
        <f>'DIY Grundmodell'!R697</f>
        <v>45639</v>
      </c>
      <c r="AG610" s="89">
        <f>'DIY Grundmodell'!S697</f>
        <v>620.35</v>
      </c>
      <c r="AH610" s="54">
        <f>'DIY Grundmodell'!T697</f>
        <v>5244.0350500000004</v>
      </c>
      <c r="AI610" s="89">
        <f>'DIY Grundmodell'!U697</f>
        <v>620.35</v>
      </c>
      <c r="AJ610" s="89">
        <f>'DIY Grundmodell'!V697</f>
        <v>5244.0350500000004</v>
      </c>
      <c r="AK610" s="989"/>
      <c r="AL610" s="33">
        <f>'DIY Grundmodell'!X697</f>
        <v>6051.09202</v>
      </c>
    </row>
    <row r="611" spans="32:38" ht="14.1" customHeight="1" x14ac:dyDescent="0.45">
      <c r="AF611" s="988">
        <f>'DIY Grundmodell'!R698</f>
        <v>45640</v>
      </c>
      <c r="AG611" s="89" t="e">
        <f>'DIY Grundmodell'!S698</f>
        <v>#N/A</v>
      </c>
      <c r="AH611" s="54" t="e">
        <f>'DIY Grundmodell'!T698</f>
        <v>#N/A</v>
      </c>
      <c r="AI611" s="89">
        <f>'DIY Grundmodell'!U698</f>
        <v>620.35</v>
      </c>
      <c r="AJ611" s="89">
        <f>'DIY Grundmodell'!V698</f>
        <v>0</v>
      </c>
      <c r="AK611" s="989"/>
      <c r="AL611" s="33">
        <f>'DIY Grundmodell'!X698</f>
        <v>6051.09202</v>
      </c>
    </row>
    <row r="612" spans="32:38" ht="14.1" customHeight="1" x14ac:dyDescent="0.45">
      <c r="AF612" s="988">
        <f>'DIY Grundmodell'!R699</f>
        <v>45641</v>
      </c>
      <c r="AG612" s="89" t="e">
        <f>'DIY Grundmodell'!S699</f>
        <v>#N/A</v>
      </c>
      <c r="AH612" s="54" t="e">
        <f>'DIY Grundmodell'!T699</f>
        <v>#N/A</v>
      </c>
      <c r="AI612" s="89">
        <f>'DIY Grundmodell'!U699</f>
        <v>620.35</v>
      </c>
      <c r="AJ612" s="89">
        <f>'DIY Grundmodell'!V699</f>
        <v>0</v>
      </c>
      <c r="AK612" s="989"/>
      <c r="AL612" s="33">
        <f>'DIY Grundmodell'!X699</f>
        <v>6051.09202</v>
      </c>
    </row>
    <row r="613" spans="32:38" ht="14.1" customHeight="1" x14ac:dyDescent="0.45">
      <c r="AF613" s="988">
        <f>'DIY Grundmodell'!R700</f>
        <v>45642</v>
      </c>
      <c r="AG613" s="89">
        <f>'DIY Grundmodell'!S700</f>
        <v>624.24</v>
      </c>
      <c r="AH613" s="54">
        <f>'DIY Grundmodell'!T700</f>
        <v>6795.2425499999999</v>
      </c>
      <c r="AI613" s="89">
        <f>'DIY Grundmodell'!U700</f>
        <v>624.24</v>
      </c>
      <c r="AJ613" s="89">
        <f>'DIY Grundmodell'!V700</f>
        <v>6795.2425499999999</v>
      </c>
      <c r="AK613" s="989"/>
      <c r="AL613" s="33">
        <f>'DIY Grundmodell'!X700</f>
        <v>6074.0834699999996</v>
      </c>
    </row>
    <row r="614" spans="32:38" ht="14.1" customHeight="1" x14ac:dyDescent="0.45">
      <c r="AF614" s="988">
        <f>'DIY Grundmodell'!R701</f>
        <v>45643</v>
      </c>
      <c r="AG614" s="89">
        <f>'DIY Grundmodell'!S701</f>
        <v>619.44000000000005</v>
      </c>
      <c r="AH614" s="54">
        <f>'DIY Grundmodell'!T701</f>
        <v>7989.4392500000004</v>
      </c>
      <c r="AI614" s="89">
        <f>'DIY Grundmodell'!U701</f>
        <v>619.44000000000005</v>
      </c>
      <c r="AJ614" s="89">
        <f>'DIY Grundmodell'!V701</f>
        <v>7989.4392500000004</v>
      </c>
      <c r="AK614" s="989"/>
      <c r="AL614" s="33">
        <f>'DIY Grundmodell'!X701</f>
        <v>6050.6105399999997</v>
      </c>
    </row>
    <row r="615" spans="32:38" ht="14.1" customHeight="1" x14ac:dyDescent="0.45">
      <c r="AF615" s="988">
        <f>'DIY Grundmodell'!R702</f>
        <v>45644</v>
      </c>
      <c r="AG615" s="89">
        <f>'DIY Grundmodell'!S702</f>
        <v>597.19000000000005</v>
      </c>
      <c r="AH615" s="54">
        <f>'DIY Grundmodell'!T702</f>
        <v>10197.305899999999</v>
      </c>
      <c r="AI615" s="89">
        <f>'DIY Grundmodell'!U702</f>
        <v>597.19000000000005</v>
      </c>
      <c r="AJ615" s="89">
        <f>'DIY Grundmodell'!V702</f>
        <v>10197.305899999999</v>
      </c>
      <c r="AK615" s="989"/>
      <c r="AL615" s="33">
        <f>'DIY Grundmodell'!X702</f>
        <v>5872.15985</v>
      </c>
    </row>
    <row r="616" spans="32:38" ht="14.1" customHeight="1" x14ac:dyDescent="0.45">
      <c r="AF616" s="988">
        <f>'DIY Grundmodell'!R703</f>
        <v>45645</v>
      </c>
      <c r="AG616" s="89">
        <f>'DIY Grundmodell'!S703</f>
        <v>595.57000000000005</v>
      </c>
      <c r="AH616" s="54">
        <f>'DIY Grundmodell'!T703</f>
        <v>8908.5848999999998</v>
      </c>
      <c r="AI616" s="89">
        <f>'DIY Grundmodell'!U703</f>
        <v>595.57000000000005</v>
      </c>
      <c r="AJ616" s="89">
        <f>'DIY Grundmodell'!V703</f>
        <v>8908.5848999999998</v>
      </c>
      <c r="AK616" s="989"/>
      <c r="AL616" s="33">
        <f>'DIY Grundmodell'!X703</f>
        <v>5867.0769899999996</v>
      </c>
    </row>
    <row r="617" spans="32:38" ht="14.1" customHeight="1" x14ac:dyDescent="0.45">
      <c r="AF617" s="988">
        <f>'DIY Grundmodell'!R704</f>
        <v>45646</v>
      </c>
      <c r="AG617" s="89">
        <f>'DIY Grundmodell'!S704</f>
        <v>585.25</v>
      </c>
      <c r="AH617" s="54">
        <f>'DIY Grundmodell'!T704</f>
        <v>28671.040499999999</v>
      </c>
      <c r="AI617" s="89">
        <f>'DIY Grundmodell'!U704</f>
        <v>585.25</v>
      </c>
      <c r="AJ617" s="89">
        <f>'DIY Grundmodell'!V704</f>
        <v>28671.040499999999</v>
      </c>
      <c r="AK617" s="989"/>
      <c r="AL617" s="33">
        <f>'DIY Grundmodell'!X704</f>
        <v>5930.8501399999996</v>
      </c>
    </row>
    <row r="618" spans="32:38" ht="14.1" customHeight="1" x14ac:dyDescent="0.45">
      <c r="AF618" s="988">
        <f>'DIY Grundmodell'!R705</f>
        <v>45647</v>
      </c>
      <c r="AG618" s="89" t="e">
        <f>'DIY Grundmodell'!S705</f>
        <v>#N/A</v>
      </c>
      <c r="AH618" s="54" t="e">
        <f>'DIY Grundmodell'!T705</f>
        <v>#N/A</v>
      </c>
      <c r="AI618" s="89">
        <f>'DIY Grundmodell'!U705</f>
        <v>585.25</v>
      </c>
      <c r="AJ618" s="89">
        <f>'DIY Grundmodell'!V705</f>
        <v>0</v>
      </c>
      <c r="AK618" s="989"/>
      <c r="AL618" s="33">
        <f>'DIY Grundmodell'!X705</f>
        <v>5930.8501399999996</v>
      </c>
    </row>
    <row r="619" spans="32:38" ht="14.1" customHeight="1" x14ac:dyDescent="0.45">
      <c r="AF619" s="988">
        <f>'DIY Grundmodell'!R706</f>
        <v>45648</v>
      </c>
      <c r="AG619" s="89" t="e">
        <f>'DIY Grundmodell'!S706</f>
        <v>#N/A</v>
      </c>
      <c r="AH619" s="54" t="e">
        <f>'DIY Grundmodell'!T706</f>
        <v>#N/A</v>
      </c>
      <c r="AI619" s="89">
        <f>'DIY Grundmodell'!U706</f>
        <v>585.25</v>
      </c>
      <c r="AJ619" s="89">
        <f>'DIY Grundmodell'!V706</f>
        <v>0</v>
      </c>
      <c r="AK619" s="989"/>
      <c r="AL619" s="33">
        <f>'DIY Grundmodell'!X706</f>
        <v>5930.8501399999996</v>
      </c>
    </row>
    <row r="620" spans="32:38" ht="14.1" customHeight="1" x14ac:dyDescent="0.45">
      <c r="AF620" s="988">
        <f>'DIY Grundmodell'!R707</f>
        <v>45649</v>
      </c>
      <c r="AG620" s="89">
        <f>'DIY Grundmodell'!S707</f>
        <v>599.85</v>
      </c>
      <c r="AH620" s="54">
        <f>'DIY Grundmodell'!T707</f>
        <v>6121.91914</v>
      </c>
      <c r="AI620" s="89">
        <f>'DIY Grundmodell'!U707</f>
        <v>599.85</v>
      </c>
      <c r="AJ620" s="89">
        <f>'DIY Grundmodell'!V707</f>
        <v>6121.91914</v>
      </c>
      <c r="AK620" s="989"/>
      <c r="AL620" s="33">
        <f>'DIY Grundmodell'!X707</f>
        <v>5974.0730700000004</v>
      </c>
    </row>
    <row r="621" spans="32:38" ht="14.1" customHeight="1" x14ac:dyDescent="0.45">
      <c r="AF621" s="988">
        <f>'DIY Grundmodell'!R708</f>
        <v>45650</v>
      </c>
      <c r="AG621" s="89">
        <f>'DIY Grundmodell'!S708</f>
        <v>607.75</v>
      </c>
      <c r="AH621" s="54">
        <f>'DIY Grundmodell'!T708</f>
        <v>2872.26053</v>
      </c>
      <c r="AI621" s="89">
        <f>'DIY Grundmodell'!U708</f>
        <v>607.75</v>
      </c>
      <c r="AJ621" s="89">
        <f>'DIY Grundmodell'!V708</f>
        <v>2872.26053</v>
      </c>
      <c r="AK621" s="989"/>
      <c r="AL621" s="33">
        <f>'DIY Grundmodell'!X708</f>
        <v>6040.0355799999998</v>
      </c>
    </row>
    <row r="622" spans="32:38" ht="14.1" customHeight="1" x14ac:dyDescent="0.45">
      <c r="AF622" s="988">
        <f>'DIY Grundmodell'!R709</f>
        <v>45651</v>
      </c>
      <c r="AG622" s="89" t="e">
        <f>'DIY Grundmodell'!S709</f>
        <v>#N/A</v>
      </c>
      <c r="AH622" s="54" t="e">
        <f>'DIY Grundmodell'!T709</f>
        <v>#N/A</v>
      </c>
      <c r="AI622" s="89">
        <f>'DIY Grundmodell'!U709</f>
        <v>607.75</v>
      </c>
      <c r="AJ622" s="89">
        <f>'DIY Grundmodell'!V709</f>
        <v>0</v>
      </c>
      <c r="AK622" s="989"/>
      <c r="AL622" s="33">
        <f>'DIY Grundmodell'!X709</f>
        <v>6040.0355799999998</v>
      </c>
    </row>
    <row r="623" spans="32:38" ht="14.1" customHeight="1" x14ac:dyDescent="0.45">
      <c r="AF623" s="988">
        <f>'DIY Grundmodell'!R710</f>
        <v>45652</v>
      </c>
      <c r="AG623" s="89">
        <f>'DIY Grundmodell'!S710</f>
        <v>603.35</v>
      </c>
      <c r="AH623" s="54">
        <f>'DIY Grundmodell'!T710</f>
        <v>3675.14905</v>
      </c>
      <c r="AI623" s="89">
        <f>'DIY Grundmodell'!U710</f>
        <v>603.35</v>
      </c>
      <c r="AJ623" s="89">
        <f>'DIY Grundmodell'!V710</f>
        <v>3675.14905</v>
      </c>
      <c r="AK623" s="989"/>
      <c r="AL623" s="33">
        <f>'DIY Grundmodell'!X710</f>
        <v>6037.5908600000002</v>
      </c>
    </row>
    <row r="624" spans="32:38" ht="14.1" customHeight="1" x14ac:dyDescent="0.45">
      <c r="AF624" s="988">
        <f>'DIY Grundmodell'!R711</f>
        <v>45653</v>
      </c>
      <c r="AG624" s="89">
        <f>'DIY Grundmodell'!S711</f>
        <v>599.80999999999995</v>
      </c>
      <c r="AH624" s="54">
        <f>'DIY Grundmodell'!T711</f>
        <v>4849.0014000000001</v>
      </c>
      <c r="AI624" s="89">
        <f>'DIY Grundmodell'!U711</f>
        <v>599.80999999999995</v>
      </c>
      <c r="AJ624" s="89">
        <f>'DIY Grundmodell'!V711</f>
        <v>4849.0014000000001</v>
      </c>
      <c r="AK624" s="989"/>
      <c r="AL624" s="33">
        <f>'DIY Grundmodell'!X711</f>
        <v>5970.8376399999997</v>
      </c>
    </row>
    <row r="625" spans="32:38" ht="14.1" customHeight="1" x14ac:dyDescent="0.45">
      <c r="AF625" s="988">
        <f>'DIY Grundmodell'!R712</f>
        <v>45654</v>
      </c>
      <c r="AG625" s="89" t="e">
        <f>'DIY Grundmodell'!S712</f>
        <v>#N/A</v>
      </c>
      <c r="AH625" s="54" t="e">
        <f>'DIY Grundmodell'!T712</f>
        <v>#N/A</v>
      </c>
      <c r="AI625" s="89">
        <f>'DIY Grundmodell'!U712</f>
        <v>599.80999999999995</v>
      </c>
      <c r="AJ625" s="89">
        <f>'DIY Grundmodell'!V712</f>
        <v>0</v>
      </c>
      <c r="AK625" s="989"/>
      <c r="AL625" s="33">
        <f>'DIY Grundmodell'!X712</f>
        <v>5970.8376399999997</v>
      </c>
    </row>
    <row r="626" spans="32:38" ht="14.1" customHeight="1" x14ac:dyDescent="0.45">
      <c r="AF626" s="988">
        <f>'DIY Grundmodell'!R713</f>
        <v>45655</v>
      </c>
      <c r="AG626" s="89" t="e">
        <f>'DIY Grundmodell'!S713</f>
        <v>#N/A</v>
      </c>
      <c r="AH626" s="54" t="e">
        <f>'DIY Grundmodell'!T713</f>
        <v>#N/A</v>
      </c>
      <c r="AI626" s="89">
        <f>'DIY Grundmodell'!U713</f>
        <v>599.80999999999995</v>
      </c>
      <c r="AJ626" s="89">
        <f>'DIY Grundmodell'!V713</f>
        <v>0</v>
      </c>
      <c r="AK626" s="989"/>
      <c r="AL626" s="33">
        <f>'DIY Grundmodell'!X713</f>
        <v>5970.8376399999997</v>
      </c>
    </row>
    <row r="627" spans="32:38" ht="14.1" customHeight="1" x14ac:dyDescent="0.45">
      <c r="AF627" s="988">
        <f>'DIY Grundmodell'!R714</f>
        <v>45656</v>
      </c>
      <c r="AG627" s="89">
        <f>'DIY Grundmodell'!S714</f>
        <v>591.24</v>
      </c>
      <c r="AH627" s="54">
        <f>'DIY Grundmodell'!T714</f>
        <v>4153.9718300000004</v>
      </c>
      <c r="AI627" s="89">
        <f>'DIY Grundmodell'!U714</f>
        <v>591.24</v>
      </c>
      <c r="AJ627" s="89">
        <f>'DIY Grundmodell'!V714</f>
        <v>4153.9718300000004</v>
      </c>
      <c r="AK627" s="989"/>
      <c r="AL627" s="33">
        <f>'DIY Grundmodell'!X714</f>
        <v>5906.9355999999998</v>
      </c>
    </row>
    <row r="628" spans="32:38" ht="14.1" customHeight="1" x14ac:dyDescent="0.45">
      <c r="AF628" s="988">
        <f>'DIY Grundmodell'!R715</f>
        <v>45657</v>
      </c>
      <c r="AG628" s="89">
        <f>'DIY Grundmodell'!S715</f>
        <v>585.51</v>
      </c>
      <c r="AH628" s="54">
        <f>'DIY Grundmodell'!T715</f>
        <v>3524.4891600000001</v>
      </c>
      <c r="AI628" s="89">
        <f>'DIY Grundmodell'!U715</f>
        <v>585.51</v>
      </c>
      <c r="AJ628" s="89">
        <f>'DIY Grundmodell'!V715</f>
        <v>3524.4891600000001</v>
      </c>
      <c r="AK628" s="989"/>
      <c r="AL628" s="33">
        <f>'DIY Grundmodell'!X715</f>
        <v>5881.6276500000004</v>
      </c>
    </row>
    <row r="629" spans="32:38" ht="14.1" customHeight="1" x14ac:dyDescent="0.45">
      <c r="AF629" s="988">
        <f>'DIY Grundmodell'!R716</f>
        <v>45658</v>
      </c>
      <c r="AG629" s="89" t="e">
        <f>'DIY Grundmodell'!S716</f>
        <v>#N/A</v>
      </c>
      <c r="AH629" s="54" t="e">
        <f>'DIY Grundmodell'!T716</f>
        <v>#N/A</v>
      </c>
      <c r="AI629" s="89">
        <f>'DIY Grundmodell'!U716</f>
        <v>585.51</v>
      </c>
      <c r="AJ629" s="89">
        <f>'DIY Grundmodell'!V716</f>
        <v>0</v>
      </c>
      <c r="AK629" s="989"/>
      <c r="AL629" s="33">
        <f>'DIY Grundmodell'!X716</f>
        <v>5881.6276500000004</v>
      </c>
    </row>
    <row r="630" spans="32:38" ht="14.1" customHeight="1" x14ac:dyDescent="0.45">
      <c r="AF630" s="988">
        <f>'DIY Grundmodell'!R717</f>
        <v>45659</v>
      </c>
      <c r="AG630" s="89">
        <f>'DIY Grundmodell'!S717</f>
        <v>599.24</v>
      </c>
      <c r="AH630" s="54">
        <f>'DIY Grundmodell'!T717</f>
        <v>7599.7228800000003</v>
      </c>
      <c r="AI630" s="89">
        <f>'DIY Grundmodell'!U717</f>
        <v>599.24</v>
      </c>
      <c r="AJ630" s="89">
        <f>'DIY Grundmodell'!V717</f>
        <v>7599.7228800000003</v>
      </c>
      <c r="AK630" s="989"/>
      <c r="AL630" s="33">
        <f>'DIY Grundmodell'!X717</f>
        <v>5868.5513199999996</v>
      </c>
    </row>
    <row r="631" spans="32:38" ht="14.1" customHeight="1" x14ac:dyDescent="0.45">
      <c r="AF631" s="988">
        <f>'DIY Grundmodell'!R718</f>
        <v>45660</v>
      </c>
      <c r="AG631" s="89">
        <f>'DIY Grundmodell'!S718</f>
        <v>604.63</v>
      </c>
      <c r="AH631" s="54">
        <f>'DIY Grundmodell'!T718</f>
        <v>6915.0227100000002</v>
      </c>
      <c r="AI631" s="89">
        <f>'DIY Grundmodell'!U718</f>
        <v>604.63</v>
      </c>
      <c r="AJ631" s="89">
        <f>'DIY Grundmodell'!V718</f>
        <v>6915.0227100000002</v>
      </c>
      <c r="AK631" s="989"/>
      <c r="AL631" s="33">
        <f>'DIY Grundmodell'!X718</f>
        <v>5942.4724999999999</v>
      </c>
    </row>
    <row r="632" spans="32:38" ht="14.1" customHeight="1" x14ac:dyDescent="0.45">
      <c r="AF632" s="988">
        <f>'DIY Grundmodell'!R719</f>
        <v>45661</v>
      </c>
      <c r="AG632" s="89" t="e">
        <f>'DIY Grundmodell'!S719</f>
        <v>#N/A</v>
      </c>
      <c r="AH632" s="54" t="e">
        <f>'DIY Grundmodell'!T719</f>
        <v>#N/A</v>
      </c>
      <c r="AI632" s="89">
        <f>'DIY Grundmodell'!U719</f>
        <v>604.63</v>
      </c>
      <c r="AJ632" s="89">
        <f>'DIY Grundmodell'!V719</f>
        <v>0</v>
      </c>
      <c r="AK632" s="989"/>
      <c r="AL632" s="33">
        <f>'DIY Grundmodell'!X719</f>
        <v>5942.4724999999999</v>
      </c>
    </row>
    <row r="633" spans="32:38" ht="14.1" customHeight="1" x14ac:dyDescent="0.45">
      <c r="AF633" s="988">
        <f>'DIY Grundmodell'!R720</f>
        <v>45662</v>
      </c>
      <c r="AG633" s="89" t="e">
        <f>'DIY Grundmodell'!S720</f>
        <v>#N/A</v>
      </c>
      <c r="AH633" s="54" t="e">
        <f>'DIY Grundmodell'!T720</f>
        <v>#N/A</v>
      </c>
      <c r="AI633" s="89">
        <f>'DIY Grundmodell'!U720</f>
        <v>604.63</v>
      </c>
      <c r="AJ633" s="89">
        <f>'DIY Grundmodell'!V720</f>
        <v>0</v>
      </c>
      <c r="AK633" s="989"/>
      <c r="AL633" s="33">
        <f>'DIY Grundmodell'!X720</f>
        <v>5942.4724999999999</v>
      </c>
    </row>
    <row r="634" spans="32:38" ht="14.1" customHeight="1" x14ac:dyDescent="0.45">
      <c r="AF634" s="988">
        <f>'DIY Grundmodell'!R721</f>
        <v>45663</v>
      </c>
      <c r="AG634" s="89">
        <f>'DIY Grundmodell'!S721</f>
        <v>630.20000000000005</v>
      </c>
      <c r="AH634" s="54">
        <f>'DIY Grundmodell'!T721</f>
        <v>9176.1871699999992</v>
      </c>
      <c r="AI634" s="89">
        <f>'DIY Grundmodell'!U721</f>
        <v>630.20000000000005</v>
      </c>
      <c r="AJ634" s="89">
        <f>'DIY Grundmodell'!V721</f>
        <v>9176.1871699999992</v>
      </c>
      <c r="AK634" s="989"/>
      <c r="AL634" s="33">
        <f>'DIY Grundmodell'!X721</f>
        <v>5975.3755300000003</v>
      </c>
    </row>
    <row r="635" spans="32:38" ht="14.1" customHeight="1" x14ac:dyDescent="0.45">
      <c r="AF635" s="988">
        <f>'DIY Grundmodell'!R722</f>
        <v>45664</v>
      </c>
      <c r="AG635" s="89">
        <f>'DIY Grundmodell'!S722</f>
        <v>617.89</v>
      </c>
      <c r="AH635" s="54">
        <f>'DIY Grundmodell'!T722</f>
        <v>7458.8461600000001</v>
      </c>
      <c r="AI635" s="89">
        <f>'DIY Grundmodell'!U722</f>
        <v>617.89</v>
      </c>
      <c r="AJ635" s="89">
        <f>'DIY Grundmodell'!V722</f>
        <v>7458.8461600000001</v>
      </c>
      <c r="AK635" s="989"/>
      <c r="AL635" s="33">
        <f>'DIY Grundmodell'!X722</f>
        <v>5909.0307499999999</v>
      </c>
    </row>
    <row r="636" spans="32:38" ht="14.1" customHeight="1" x14ac:dyDescent="0.45">
      <c r="AF636" s="988">
        <f>'DIY Grundmodell'!R723</f>
        <v>45665</v>
      </c>
      <c r="AG636" s="89">
        <f>'DIY Grundmodell'!S723</f>
        <v>610.72</v>
      </c>
      <c r="AH636" s="54">
        <f>'DIY Grundmodell'!T723</f>
        <v>6159.6278700000003</v>
      </c>
      <c r="AI636" s="89">
        <f>'DIY Grundmodell'!U723</f>
        <v>610.72</v>
      </c>
      <c r="AJ636" s="89">
        <f>'DIY Grundmodell'!V723</f>
        <v>6159.6278700000003</v>
      </c>
      <c r="AK636" s="989"/>
      <c r="AL636" s="33">
        <f>'DIY Grundmodell'!X723</f>
        <v>5918.2478300000002</v>
      </c>
    </row>
    <row r="637" spans="32:38" ht="14.1" customHeight="1" x14ac:dyDescent="0.45">
      <c r="AF637" s="988">
        <f>'DIY Grundmodell'!R724</f>
        <v>45666</v>
      </c>
      <c r="AG637" s="89" t="e">
        <f>'DIY Grundmodell'!S724</f>
        <v>#N/A</v>
      </c>
      <c r="AH637" s="54" t="e">
        <f>'DIY Grundmodell'!T724</f>
        <v>#N/A</v>
      </c>
      <c r="AI637" s="89">
        <f>'DIY Grundmodell'!U724</f>
        <v>610.72</v>
      </c>
      <c r="AJ637" s="89">
        <f>'DIY Grundmodell'!V724</f>
        <v>0</v>
      </c>
      <c r="AK637" s="989"/>
      <c r="AL637" s="33">
        <f>'DIY Grundmodell'!X724</f>
        <v>5918.2478300000002</v>
      </c>
    </row>
    <row r="638" spans="32:38" ht="14.1" customHeight="1" x14ac:dyDescent="0.45">
      <c r="AF638" s="988">
        <f>'DIY Grundmodell'!R725</f>
        <v>45667</v>
      </c>
      <c r="AG638" s="89">
        <f>'DIY Grundmodell'!S725</f>
        <v>615.86</v>
      </c>
      <c r="AH638" s="54">
        <f>'DIY Grundmodell'!T725</f>
        <v>11859.34751</v>
      </c>
      <c r="AI638" s="89">
        <f>'DIY Grundmodell'!U725</f>
        <v>615.86</v>
      </c>
      <c r="AJ638" s="89">
        <f>'DIY Grundmodell'!V725</f>
        <v>11859.34751</v>
      </c>
      <c r="AK638" s="989"/>
      <c r="AL638" s="33">
        <f>'DIY Grundmodell'!X725</f>
        <v>5827.0444299999999</v>
      </c>
    </row>
    <row r="639" spans="32:38" ht="14.1" customHeight="1" x14ac:dyDescent="0.45">
      <c r="AF639" s="988">
        <f>'DIY Grundmodell'!R726</f>
        <v>45668</v>
      </c>
      <c r="AG639" s="89" t="e">
        <f>'DIY Grundmodell'!S726</f>
        <v>#N/A</v>
      </c>
      <c r="AH639" s="54" t="e">
        <f>'DIY Grundmodell'!T726</f>
        <v>#N/A</v>
      </c>
      <c r="AI639" s="89">
        <f>'DIY Grundmodell'!U726</f>
        <v>615.86</v>
      </c>
      <c r="AJ639" s="89">
        <f>'DIY Grundmodell'!V726</f>
        <v>0</v>
      </c>
      <c r="AK639" s="989"/>
      <c r="AL639" s="33">
        <f>'DIY Grundmodell'!X726</f>
        <v>5827.0444299999999</v>
      </c>
    </row>
    <row r="640" spans="32:38" ht="14.1" customHeight="1" x14ac:dyDescent="0.45">
      <c r="AF640" s="988">
        <f>'DIY Grundmodell'!R727</f>
        <v>45669</v>
      </c>
      <c r="AG640" s="89" t="e">
        <f>'DIY Grundmodell'!S727</f>
        <v>#N/A</v>
      </c>
      <c r="AH640" s="54" t="e">
        <f>'DIY Grundmodell'!T727</f>
        <v>#N/A</v>
      </c>
      <c r="AI640" s="89">
        <f>'DIY Grundmodell'!U727</f>
        <v>615.86</v>
      </c>
      <c r="AJ640" s="89">
        <f>'DIY Grundmodell'!V727</f>
        <v>0</v>
      </c>
      <c r="AK640" s="989"/>
      <c r="AL640" s="33">
        <f>'DIY Grundmodell'!X727</f>
        <v>5827.0444299999999</v>
      </c>
    </row>
    <row r="641" spans="32:38" ht="14.1" customHeight="1" x14ac:dyDescent="0.45">
      <c r="AF641" s="988">
        <f>'DIY Grundmodell'!R728</f>
        <v>45670</v>
      </c>
      <c r="AG641" s="89">
        <f>'DIY Grundmodell'!S728</f>
        <v>608.33000000000004</v>
      </c>
      <c r="AH641" s="54">
        <f>'DIY Grundmodell'!T728</f>
        <v>6560.8579099999997</v>
      </c>
      <c r="AI641" s="89">
        <f>'DIY Grundmodell'!U728</f>
        <v>608.33000000000004</v>
      </c>
      <c r="AJ641" s="89">
        <f>'DIY Grundmodell'!V728</f>
        <v>6560.8579099999997</v>
      </c>
      <c r="AK641" s="989"/>
      <c r="AL641" s="33">
        <f>'DIY Grundmodell'!X728</f>
        <v>5836.2178700000004</v>
      </c>
    </row>
    <row r="642" spans="32:38" ht="14.1" customHeight="1" x14ac:dyDescent="0.45">
      <c r="AF642" s="988">
        <f>'DIY Grundmodell'!R729</f>
        <v>45671</v>
      </c>
      <c r="AG642" s="89">
        <f>'DIY Grundmodell'!S729</f>
        <v>594.25</v>
      </c>
      <c r="AH642" s="54">
        <f>'DIY Grundmodell'!T729</f>
        <v>8080.6067499999999</v>
      </c>
      <c r="AI642" s="89">
        <f>'DIY Grundmodell'!U729</f>
        <v>594.25</v>
      </c>
      <c r="AJ642" s="89">
        <f>'DIY Grundmodell'!V729</f>
        <v>8080.6067499999999</v>
      </c>
      <c r="AK642" s="989"/>
      <c r="AL642" s="33">
        <f>'DIY Grundmodell'!X729</f>
        <v>5842.9107400000003</v>
      </c>
    </row>
    <row r="643" spans="32:38" ht="14.1" customHeight="1" x14ac:dyDescent="0.45">
      <c r="AF643" s="988">
        <f>'DIY Grundmodell'!R730</f>
        <v>45672</v>
      </c>
      <c r="AG643" s="89">
        <f>'DIY Grundmodell'!S730</f>
        <v>617.12</v>
      </c>
      <c r="AH643" s="54">
        <f>'DIY Grundmodell'!T730</f>
        <v>9580.3572499999991</v>
      </c>
      <c r="AI643" s="89">
        <f>'DIY Grundmodell'!U730</f>
        <v>617.12</v>
      </c>
      <c r="AJ643" s="89">
        <f>'DIY Grundmodell'!V730</f>
        <v>9580.3572499999991</v>
      </c>
      <c r="AK643" s="989"/>
      <c r="AL643" s="33">
        <f>'DIY Grundmodell'!X730</f>
        <v>5949.9111199999998</v>
      </c>
    </row>
    <row r="644" spans="32:38" ht="14.1" customHeight="1" x14ac:dyDescent="0.45">
      <c r="AF644" s="988">
        <f>'DIY Grundmodell'!R731</f>
        <v>45673</v>
      </c>
      <c r="AG644" s="89">
        <f>'DIY Grundmodell'!S731</f>
        <v>611.29999999999995</v>
      </c>
      <c r="AH644" s="54">
        <f>'DIY Grundmodell'!T731</f>
        <v>5107.6248400000004</v>
      </c>
      <c r="AI644" s="89">
        <f>'DIY Grundmodell'!U731</f>
        <v>611.29999999999995</v>
      </c>
      <c r="AJ644" s="89">
        <f>'DIY Grundmodell'!V731</f>
        <v>5107.6248400000004</v>
      </c>
      <c r="AK644" s="989"/>
      <c r="AL644" s="33">
        <f>'DIY Grundmodell'!X731</f>
        <v>5937.3404899999996</v>
      </c>
    </row>
    <row r="645" spans="32:38" ht="14.1" customHeight="1" x14ac:dyDescent="0.45">
      <c r="AF645" s="988">
        <f>'DIY Grundmodell'!R732</f>
        <v>45674</v>
      </c>
      <c r="AG645" s="89">
        <f>'DIY Grundmodell'!S732</f>
        <v>612.77</v>
      </c>
      <c r="AH645" s="54">
        <f>'DIY Grundmodell'!T732</f>
        <v>10589.03326</v>
      </c>
      <c r="AI645" s="89">
        <f>'DIY Grundmodell'!U732</f>
        <v>612.77</v>
      </c>
      <c r="AJ645" s="89">
        <f>'DIY Grundmodell'!V732</f>
        <v>10589.03326</v>
      </c>
      <c r="AK645" s="989"/>
      <c r="AL645" s="33">
        <f>'DIY Grundmodell'!X732</f>
        <v>5996.6647499999999</v>
      </c>
    </row>
    <row r="646" spans="32:38" ht="14.1" customHeight="1" x14ac:dyDescent="0.45">
      <c r="AF646" s="988">
        <f>'DIY Grundmodell'!R733</f>
        <v>45675</v>
      </c>
      <c r="AG646" s="89" t="e">
        <f>'DIY Grundmodell'!S733</f>
        <v>#N/A</v>
      </c>
      <c r="AH646" s="54" t="e">
        <f>'DIY Grundmodell'!T733</f>
        <v>#N/A</v>
      </c>
      <c r="AI646" s="89">
        <f>'DIY Grundmodell'!U733</f>
        <v>612.77</v>
      </c>
      <c r="AJ646" s="89">
        <f>'DIY Grundmodell'!V733</f>
        <v>0</v>
      </c>
      <c r="AK646" s="989"/>
      <c r="AL646" s="33">
        <f>'DIY Grundmodell'!X733</f>
        <v>5996.6647499999999</v>
      </c>
    </row>
    <row r="647" spans="32:38" ht="14.1" customHeight="1" x14ac:dyDescent="0.45">
      <c r="AF647" s="988">
        <f>'DIY Grundmodell'!R734</f>
        <v>45676</v>
      </c>
      <c r="AG647" s="89" t="e">
        <f>'DIY Grundmodell'!S734</f>
        <v>#N/A</v>
      </c>
      <c r="AH647" s="54" t="e">
        <f>'DIY Grundmodell'!T734</f>
        <v>#N/A</v>
      </c>
      <c r="AI647" s="89">
        <f>'DIY Grundmodell'!U734</f>
        <v>612.77</v>
      </c>
      <c r="AJ647" s="89">
        <f>'DIY Grundmodell'!V734</f>
        <v>0</v>
      </c>
      <c r="AK647" s="989"/>
      <c r="AL647" s="33">
        <f>'DIY Grundmodell'!X734</f>
        <v>5996.6647499999999</v>
      </c>
    </row>
    <row r="648" spans="32:38" ht="14.1" customHeight="1" x14ac:dyDescent="0.45">
      <c r="AF648" s="988">
        <f>'DIY Grundmodell'!R735</f>
        <v>45677</v>
      </c>
      <c r="AG648" s="89" t="e">
        <f>'DIY Grundmodell'!S735</f>
        <v>#N/A</v>
      </c>
      <c r="AH648" s="54" t="e">
        <f>'DIY Grundmodell'!T735</f>
        <v>#N/A</v>
      </c>
      <c r="AI648" s="89">
        <f>'DIY Grundmodell'!U735</f>
        <v>612.77</v>
      </c>
      <c r="AJ648" s="89">
        <f>'DIY Grundmodell'!V735</f>
        <v>0</v>
      </c>
      <c r="AK648" s="989"/>
      <c r="AL648" s="33">
        <f>'DIY Grundmodell'!X735</f>
        <v>5996.6647499999999</v>
      </c>
    </row>
    <row r="649" spans="32:38" ht="14.1" customHeight="1" x14ac:dyDescent="0.45">
      <c r="AF649" s="988">
        <f>'DIY Grundmodell'!R736</f>
        <v>45678</v>
      </c>
      <c r="AG649" s="89">
        <f>'DIY Grundmodell'!S736</f>
        <v>616.46</v>
      </c>
      <c r="AH649" s="54">
        <f>'DIY Grundmodell'!T736</f>
        <v>7196.5639000000001</v>
      </c>
      <c r="AI649" s="89">
        <f>'DIY Grundmodell'!U736</f>
        <v>616.46</v>
      </c>
      <c r="AJ649" s="89">
        <f>'DIY Grundmodell'!V736</f>
        <v>7196.5639000000001</v>
      </c>
      <c r="AK649" s="989"/>
      <c r="AL649" s="33">
        <f>'DIY Grundmodell'!X736</f>
        <v>6049.24208</v>
      </c>
    </row>
    <row r="650" spans="32:38" ht="14.1" customHeight="1" x14ac:dyDescent="0.45">
      <c r="AF650" s="988">
        <f>'DIY Grundmodell'!R737</f>
        <v>45679</v>
      </c>
      <c r="AG650" s="89">
        <f>'DIY Grundmodell'!S737</f>
        <v>623.5</v>
      </c>
      <c r="AH650" s="54">
        <f>'DIY Grundmodell'!T737</f>
        <v>7652.8458600000004</v>
      </c>
      <c r="AI650" s="89">
        <f>'DIY Grundmodell'!U737</f>
        <v>623.5</v>
      </c>
      <c r="AJ650" s="89">
        <f>'DIY Grundmodell'!V737</f>
        <v>7652.8458600000004</v>
      </c>
      <c r="AK650" s="989"/>
      <c r="AL650" s="33">
        <f>'DIY Grundmodell'!X737</f>
        <v>6086.3696300000001</v>
      </c>
    </row>
    <row r="651" spans="32:38" ht="14.1" customHeight="1" x14ac:dyDescent="0.45">
      <c r="AF651" s="988">
        <f>'DIY Grundmodell'!R738</f>
        <v>45680</v>
      </c>
      <c r="AG651" s="89">
        <f>'DIY Grundmodell'!S738</f>
        <v>636.45000000000005</v>
      </c>
      <c r="AH651" s="54">
        <f>'DIY Grundmodell'!T738</f>
        <v>6307.3232399999997</v>
      </c>
      <c r="AI651" s="89">
        <f>'DIY Grundmodell'!U738</f>
        <v>636.45000000000005</v>
      </c>
      <c r="AJ651" s="89">
        <f>'DIY Grundmodell'!V738</f>
        <v>6307.3232399999997</v>
      </c>
      <c r="AK651" s="989"/>
      <c r="AL651" s="33">
        <f>'DIY Grundmodell'!X738</f>
        <v>6118.7063500000004</v>
      </c>
    </row>
    <row r="652" spans="32:38" ht="14.1" customHeight="1" x14ac:dyDescent="0.45">
      <c r="AF652" s="988">
        <f>'DIY Grundmodell'!R739</f>
        <v>45681</v>
      </c>
      <c r="AG652" s="89">
        <f>'DIY Grundmodell'!S739</f>
        <v>647.49</v>
      </c>
      <c r="AH652" s="54">
        <f>'DIY Grundmodell'!T739</f>
        <v>12344.60987</v>
      </c>
      <c r="AI652" s="89">
        <f>'DIY Grundmodell'!U739</f>
        <v>647.49</v>
      </c>
      <c r="AJ652" s="89">
        <f>'DIY Grundmodell'!V739</f>
        <v>12344.60987</v>
      </c>
      <c r="AK652" s="989"/>
      <c r="AL652" s="33">
        <f>'DIY Grundmodell'!X739</f>
        <v>6101.2429300000003</v>
      </c>
    </row>
    <row r="653" spans="32:38" ht="14.1" customHeight="1" x14ac:dyDescent="0.45">
      <c r="AF653" s="988">
        <f>'DIY Grundmodell'!R740</f>
        <v>45682</v>
      </c>
      <c r="AG653" s="89" t="e">
        <f>'DIY Grundmodell'!S740</f>
        <v>#N/A</v>
      </c>
      <c r="AH653" s="54" t="e">
        <f>'DIY Grundmodell'!T740</f>
        <v>#N/A</v>
      </c>
      <c r="AI653" s="89">
        <f>'DIY Grundmodell'!U740</f>
        <v>647.49</v>
      </c>
      <c r="AJ653" s="89">
        <f>'DIY Grundmodell'!V740</f>
        <v>0</v>
      </c>
      <c r="AK653" s="989"/>
      <c r="AL653" s="33">
        <f>'DIY Grundmodell'!X740</f>
        <v>6101.2429300000003</v>
      </c>
    </row>
    <row r="654" spans="32:38" ht="14.1" customHeight="1" x14ac:dyDescent="0.45">
      <c r="AF654" s="988">
        <f>'DIY Grundmodell'!R741</f>
        <v>45683</v>
      </c>
      <c r="AG654" s="89" t="e">
        <f>'DIY Grundmodell'!S741</f>
        <v>#N/A</v>
      </c>
      <c r="AH654" s="54" t="e">
        <f>'DIY Grundmodell'!T741</f>
        <v>#N/A</v>
      </c>
      <c r="AI654" s="89">
        <f>'DIY Grundmodell'!U741</f>
        <v>647.49</v>
      </c>
      <c r="AJ654" s="89">
        <f>'DIY Grundmodell'!V741</f>
        <v>0</v>
      </c>
      <c r="AK654" s="989"/>
      <c r="AL654" s="33">
        <f>'DIY Grundmodell'!X741</f>
        <v>6101.2429300000003</v>
      </c>
    </row>
    <row r="655" spans="32:38" ht="14.1" customHeight="1" x14ac:dyDescent="0.45">
      <c r="AF655" s="988">
        <f>'DIY Grundmodell'!R742</f>
        <v>45684</v>
      </c>
      <c r="AG655" s="89">
        <f>'DIY Grundmodell'!S742</f>
        <v>659.88</v>
      </c>
      <c r="AH655" s="54">
        <f>'DIY Grundmodell'!T742</f>
        <v>18740.057499999999</v>
      </c>
      <c r="AI655" s="89">
        <f>'DIY Grundmodell'!U742</f>
        <v>659.88</v>
      </c>
      <c r="AJ655" s="89">
        <f>'DIY Grundmodell'!V742</f>
        <v>18740.057499999999</v>
      </c>
      <c r="AK655" s="989"/>
      <c r="AL655" s="33">
        <f>'DIY Grundmodell'!X742</f>
        <v>6012.2769200000002</v>
      </c>
    </row>
    <row r="656" spans="32:38" ht="14.1" customHeight="1" x14ac:dyDescent="0.45">
      <c r="AF656" s="988">
        <f>'DIY Grundmodell'!R743</f>
        <v>45685</v>
      </c>
      <c r="AG656" s="89">
        <f>'DIY Grundmodell'!S743</f>
        <v>674.33</v>
      </c>
      <c r="AH656" s="54">
        <f>'DIY Grundmodell'!T743</f>
        <v>14127.28565</v>
      </c>
      <c r="AI656" s="89">
        <f>'DIY Grundmodell'!U743</f>
        <v>674.33</v>
      </c>
      <c r="AJ656" s="89">
        <f>'DIY Grundmodell'!V743</f>
        <v>14127.28565</v>
      </c>
      <c r="AK656" s="989"/>
      <c r="AL656" s="33">
        <f>'DIY Grundmodell'!X743</f>
        <v>6067.69949</v>
      </c>
    </row>
    <row r="657" spans="32:38" ht="14.1" customHeight="1" x14ac:dyDescent="0.45">
      <c r="AF657" s="988">
        <f>'DIY Grundmodell'!R744</f>
        <v>45686</v>
      </c>
      <c r="AG657" s="89">
        <f>'DIY Grundmodell'!S744</f>
        <v>676.49</v>
      </c>
      <c r="AH657" s="54">
        <f>'DIY Grundmodell'!T744</f>
        <v>14461.881450000001</v>
      </c>
      <c r="AI657" s="89">
        <f>'DIY Grundmodell'!U744</f>
        <v>676.49</v>
      </c>
      <c r="AJ657" s="89">
        <f>'DIY Grundmodell'!V744</f>
        <v>14461.881450000001</v>
      </c>
      <c r="AK657" s="989"/>
      <c r="AL657" s="33">
        <f>'DIY Grundmodell'!X744</f>
        <v>6039.3114999999998</v>
      </c>
    </row>
    <row r="658" spans="32:38" ht="14.1" customHeight="1" x14ac:dyDescent="0.45">
      <c r="AF658" s="988">
        <f>'DIY Grundmodell'!R745</f>
        <v>45687</v>
      </c>
      <c r="AG658" s="89">
        <f>'DIY Grundmodell'!S745</f>
        <v>687</v>
      </c>
      <c r="AH658" s="54">
        <f>'DIY Grundmodell'!T745</f>
        <v>20144.83093</v>
      </c>
      <c r="AI658" s="89">
        <f>'DIY Grundmodell'!U745</f>
        <v>687</v>
      </c>
      <c r="AJ658" s="89">
        <f>'DIY Grundmodell'!V745</f>
        <v>20144.83093</v>
      </c>
      <c r="AK658" s="989"/>
      <c r="AL658" s="33">
        <f>'DIY Grundmodell'!X745</f>
        <v>6071.17454</v>
      </c>
    </row>
    <row r="659" spans="32:38" ht="14.1" customHeight="1" x14ac:dyDescent="0.45">
      <c r="AF659" s="988">
        <f>'DIY Grundmodell'!R746</f>
        <v>45688</v>
      </c>
      <c r="AG659" s="89">
        <f>'DIY Grundmodell'!S746</f>
        <v>689.18</v>
      </c>
      <c r="AH659" s="54">
        <f>'DIY Grundmodell'!T746</f>
        <v>13322.99344</v>
      </c>
      <c r="AI659" s="89">
        <f>'DIY Grundmodell'!U746</f>
        <v>689.18</v>
      </c>
      <c r="AJ659" s="89">
        <f>'DIY Grundmodell'!V746</f>
        <v>13322.99344</v>
      </c>
      <c r="AK659" s="989"/>
      <c r="AL659" s="33">
        <f>'DIY Grundmodell'!X746</f>
        <v>6040.5259299999998</v>
      </c>
    </row>
    <row r="660" spans="32:38" ht="14.1" customHeight="1" x14ac:dyDescent="0.45">
      <c r="AF660" s="988">
        <f>'DIY Grundmodell'!R747</f>
        <v>45689</v>
      </c>
      <c r="AG660" s="89" t="e">
        <f>'DIY Grundmodell'!S747</f>
        <v>#N/A</v>
      </c>
      <c r="AH660" s="54" t="e">
        <f>'DIY Grundmodell'!T747</f>
        <v>#N/A</v>
      </c>
      <c r="AI660" s="89">
        <f>'DIY Grundmodell'!U747</f>
        <v>689.18</v>
      </c>
      <c r="AJ660" s="89">
        <f>'DIY Grundmodell'!V747</f>
        <v>0</v>
      </c>
      <c r="AK660" s="989"/>
      <c r="AL660" s="33">
        <f>'DIY Grundmodell'!X747</f>
        <v>6040.5259299999998</v>
      </c>
    </row>
    <row r="661" spans="32:38" ht="14.1" customHeight="1" x14ac:dyDescent="0.45">
      <c r="AF661" s="988">
        <f>'DIY Grundmodell'!R748</f>
        <v>45690</v>
      </c>
      <c r="AG661" s="89" t="e">
        <f>'DIY Grundmodell'!S748</f>
        <v>#N/A</v>
      </c>
      <c r="AH661" s="54" t="e">
        <f>'DIY Grundmodell'!T748</f>
        <v>#N/A</v>
      </c>
      <c r="AI661" s="89">
        <f>'DIY Grundmodell'!U748</f>
        <v>689.18</v>
      </c>
      <c r="AJ661" s="89">
        <f>'DIY Grundmodell'!V748</f>
        <v>0</v>
      </c>
      <c r="AK661" s="989"/>
      <c r="AL661" s="33">
        <f>'DIY Grundmodell'!X748</f>
        <v>6040.5259299999998</v>
      </c>
    </row>
    <row r="662" spans="32:38" ht="14.1" customHeight="1" x14ac:dyDescent="0.45">
      <c r="AF662" s="988">
        <f>'DIY Grundmodell'!R749</f>
        <v>45691</v>
      </c>
      <c r="AG662" s="89">
        <f>'DIY Grundmodell'!S749</f>
        <v>697.46</v>
      </c>
      <c r="AH662" s="54">
        <f>'DIY Grundmodell'!T749</f>
        <v>14936.62132</v>
      </c>
      <c r="AI662" s="89">
        <f>'DIY Grundmodell'!U749</f>
        <v>697.46</v>
      </c>
      <c r="AJ662" s="89">
        <f>'DIY Grundmodell'!V749</f>
        <v>14936.62132</v>
      </c>
      <c r="AK662" s="989"/>
      <c r="AL662" s="33">
        <f>'DIY Grundmodell'!X749</f>
        <v>5994.56736</v>
      </c>
    </row>
    <row r="663" spans="32:38" ht="14.1" customHeight="1" x14ac:dyDescent="0.45">
      <c r="AF663" s="988">
        <f>'DIY Grundmodell'!R750</f>
        <v>45692</v>
      </c>
      <c r="AG663" s="89">
        <f>'DIY Grundmodell'!S750</f>
        <v>704.19</v>
      </c>
      <c r="AH663" s="54">
        <f>'DIY Grundmodell'!T750</f>
        <v>9736.32107</v>
      </c>
      <c r="AI663" s="89">
        <f>'DIY Grundmodell'!U750</f>
        <v>704.19</v>
      </c>
      <c r="AJ663" s="89">
        <f>'DIY Grundmodell'!V750</f>
        <v>9736.32107</v>
      </c>
      <c r="AK663" s="989"/>
      <c r="AL663" s="33">
        <f>'DIY Grundmodell'!X750</f>
        <v>6037.8771900000002</v>
      </c>
    </row>
    <row r="664" spans="32:38" ht="14.1" customHeight="1" x14ac:dyDescent="0.45">
      <c r="AF664" s="988">
        <f>'DIY Grundmodell'!R751</f>
        <v>45693</v>
      </c>
      <c r="AG664" s="89">
        <f>'DIY Grundmodell'!S751</f>
        <v>704.87</v>
      </c>
      <c r="AH664" s="54">
        <f>'DIY Grundmodell'!T751</f>
        <v>12542.29184</v>
      </c>
      <c r="AI664" s="89">
        <f>'DIY Grundmodell'!U751</f>
        <v>704.87</v>
      </c>
      <c r="AJ664" s="89">
        <f>'DIY Grundmodell'!V751</f>
        <v>12542.29184</v>
      </c>
      <c r="AK664" s="989"/>
      <c r="AL664" s="33">
        <f>'DIY Grundmodell'!X751</f>
        <v>6061.4807499999997</v>
      </c>
    </row>
    <row r="665" spans="32:38" ht="14.1" customHeight="1" x14ac:dyDescent="0.45">
      <c r="AF665" s="988">
        <f>'DIY Grundmodell'!R752</f>
        <v>45694</v>
      </c>
      <c r="AG665" s="89">
        <f>'DIY Grundmodell'!S752</f>
        <v>711.99</v>
      </c>
      <c r="AH665" s="54">
        <f>'DIY Grundmodell'!T752</f>
        <v>9313.3204700000006</v>
      </c>
      <c r="AI665" s="89">
        <f>'DIY Grundmodell'!U752</f>
        <v>711.99</v>
      </c>
      <c r="AJ665" s="89">
        <f>'DIY Grundmodell'!V752</f>
        <v>9313.3204700000006</v>
      </c>
      <c r="AK665" s="989"/>
      <c r="AL665" s="33">
        <f>'DIY Grundmodell'!X752</f>
        <v>6083.5681299999997</v>
      </c>
    </row>
    <row r="666" spans="32:38" ht="14.1" customHeight="1" x14ac:dyDescent="0.45">
      <c r="AF666" s="988">
        <f>'DIY Grundmodell'!R753</f>
        <v>45695</v>
      </c>
      <c r="AG666" s="89">
        <f>'DIY Grundmodell'!S753</f>
        <v>714.52</v>
      </c>
      <c r="AH666" s="54">
        <f>'DIY Grundmodell'!T753</f>
        <v>11737.467909999999</v>
      </c>
      <c r="AI666" s="89">
        <f>'DIY Grundmodell'!U753</f>
        <v>714.52</v>
      </c>
      <c r="AJ666" s="89">
        <f>'DIY Grundmodell'!V753</f>
        <v>11737.467909999999</v>
      </c>
      <c r="AK666" s="989"/>
      <c r="AL666" s="33">
        <f>'DIY Grundmodell'!X753</f>
        <v>6025.9924899999996</v>
      </c>
    </row>
    <row r="667" spans="32:38" ht="14.1" customHeight="1" x14ac:dyDescent="0.45">
      <c r="AF667" s="988">
        <f>'DIY Grundmodell'!R754</f>
        <v>45696</v>
      </c>
      <c r="AG667" s="89" t="e">
        <f>'DIY Grundmodell'!S754</f>
        <v>#N/A</v>
      </c>
      <c r="AH667" s="54" t="e">
        <f>'DIY Grundmodell'!T754</f>
        <v>#N/A</v>
      </c>
      <c r="AI667" s="89">
        <f>'DIY Grundmodell'!U754</f>
        <v>714.52</v>
      </c>
      <c r="AJ667" s="89">
        <f>'DIY Grundmodell'!V754</f>
        <v>0</v>
      </c>
      <c r="AK667" s="989"/>
      <c r="AL667" s="33">
        <f>'DIY Grundmodell'!X754</f>
        <v>6025.9924899999996</v>
      </c>
    </row>
    <row r="668" spans="32:38" ht="14.1" customHeight="1" x14ac:dyDescent="0.45">
      <c r="AF668" s="988">
        <f>'DIY Grundmodell'!R755</f>
        <v>45697</v>
      </c>
      <c r="AG668" s="89" t="e">
        <f>'DIY Grundmodell'!S755</f>
        <v>#N/A</v>
      </c>
      <c r="AH668" s="54" t="e">
        <f>'DIY Grundmodell'!T755</f>
        <v>#N/A</v>
      </c>
      <c r="AI668" s="89">
        <f>'DIY Grundmodell'!U755</f>
        <v>714.52</v>
      </c>
      <c r="AJ668" s="89">
        <f>'DIY Grundmodell'!V755</f>
        <v>0</v>
      </c>
      <c r="AK668" s="989"/>
      <c r="AL668" s="33">
        <f>'DIY Grundmodell'!X755</f>
        <v>6025.9924899999996</v>
      </c>
    </row>
    <row r="669" spans="32:38" ht="14.1" customHeight="1" x14ac:dyDescent="0.45">
      <c r="AF669" s="988">
        <f>'DIY Grundmodell'!R756</f>
        <v>45698</v>
      </c>
      <c r="AG669" s="89">
        <f>'DIY Grundmodell'!S756</f>
        <v>717.4</v>
      </c>
      <c r="AH669" s="54">
        <f>'DIY Grundmodell'!T756</f>
        <v>9257.5570200000002</v>
      </c>
      <c r="AI669" s="89">
        <f>'DIY Grundmodell'!U756</f>
        <v>717.4</v>
      </c>
      <c r="AJ669" s="89">
        <f>'DIY Grundmodell'!V756</f>
        <v>9257.5570200000002</v>
      </c>
      <c r="AK669" s="989"/>
      <c r="AL669" s="33">
        <f>'DIY Grundmodell'!X756</f>
        <v>6066.44254</v>
      </c>
    </row>
    <row r="670" spans="32:38" ht="14.1" customHeight="1" x14ac:dyDescent="0.45">
      <c r="AF670" s="988">
        <f>'DIY Grundmodell'!R757</f>
        <v>45699</v>
      </c>
      <c r="AG670" s="89">
        <f>'DIY Grundmodell'!S757</f>
        <v>719.8</v>
      </c>
      <c r="AH670" s="54">
        <f>'DIY Grundmodell'!T757</f>
        <v>9355.9308899999996</v>
      </c>
      <c r="AI670" s="89">
        <f>'DIY Grundmodell'!U757</f>
        <v>719.8</v>
      </c>
      <c r="AJ670" s="89">
        <f>'DIY Grundmodell'!V757</f>
        <v>9355.9308899999996</v>
      </c>
      <c r="AK670" s="989"/>
      <c r="AL670" s="33">
        <f>'DIY Grundmodell'!X757</f>
        <v>6068.50378</v>
      </c>
    </row>
    <row r="671" spans="32:38" ht="14.1" customHeight="1" x14ac:dyDescent="0.45">
      <c r="AF671" s="988">
        <f>'DIY Grundmodell'!R758</f>
        <v>45700</v>
      </c>
      <c r="AG671" s="89">
        <f>'DIY Grundmodell'!S758</f>
        <v>725.38</v>
      </c>
      <c r="AH671" s="54">
        <f>'DIY Grundmodell'!T758</f>
        <v>8716.5411000000004</v>
      </c>
      <c r="AI671" s="89">
        <f>'DIY Grundmodell'!U758</f>
        <v>725.38</v>
      </c>
      <c r="AJ671" s="89">
        <f>'DIY Grundmodell'!V758</f>
        <v>8716.5411000000004</v>
      </c>
      <c r="AK671" s="989"/>
      <c r="AL671" s="33">
        <f>'DIY Grundmodell'!X758</f>
        <v>6051.9678100000001</v>
      </c>
    </row>
    <row r="672" spans="32:38" ht="14.1" customHeight="1" x14ac:dyDescent="0.45">
      <c r="AF672" s="988">
        <f>'DIY Grundmodell'!R759</f>
        <v>45701</v>
      </c>
      <c r="AG672" s="89">
        <f>'DIY Grundmodell'!S759</f>
        <v>728.56</v>
      </c>
      <c r="AH672" s="54">
        <f>'DIY Grundmodell'!T759</f>
        <v>9157.3172699999996</v>
      </c>
      <c r="AI672" s="89">
        <f>'DIY Grundmodell'!U759</f>
        <v>728.56</v>
      </c>
      <c r="AJ672" s="89">
        <f>'DIY Grundmodell'!V759</f>
        <v>9157.3172699999996</v>
      </c>
      <c r="AK672" s="989"/>
      <c r="AL672" s="33">
        <f>'DIY Grundmodell'!X759</f>
        <v>6115.0715700000001</v>
      </c>
    </row>
    <row r="673" spans="32:38" ht="14.1" customHeight="1" x14ac:dyDescent="0.45">
      <c r="AF673" s="988">
        <f>'DIY Grundmodell'!R760</f>
        <v>45702</v>
      </c>
      <c r="AG673" s="89">
        <f>'DIY Grundmodell'!S760</f>
        <v>736.67</v>
      </c>
      <c r="AH673" s="54">
        <f>'DIY Grundmodell'!T760</f>
        <v>12450.643099999999</v>
      </c>
      <c r="AI673" s="89">
        <f>'DIY Grundmodell'!U760</f>
        <v>736.67</v>
      </c>
      <c r="AJ673" s="89">
        <f>'DIY Grundmodell'!V760</f>
        <v>12450.643099999999</v>
      </c>
      <c r="AK673" s="989"/>
      <c r="AL673" s="33">
        <f>'DIY Grundmodell'!X760</f>
        <v>6114.6314700000003</v>
      </c>
    </row>
    <row r="674" spans="32:38" ht="14.1" customHeight="1" x14ac:dyDescent="0.45">
      <c r="AF674" s="988">
        <f>'DIY Grundmodell'!R761</f>
        <v>45703</v>
      </c>
      <c r="AG674" s="89" t="e">
        <f>'DIY Grundmodell'!S761</f>
        <v>#N/A</v>
      </c>
      <c r="AH674" s="54" t="e">
        <f>'DIY Grundmodell'!T761</f>
        <v>#N/A</v>
      </c>
      <c r="AI674" s="89">
        <f>'DIY Grundmodell'!U761</f>
        <v>736.67</v>
      </c>
      <c r="AJ674" s="89">
        <f>'DIY Grundmodell'!V761</f>
        <v>0</v>
      </c>
      <c r="AK674" s="989"/>
      <c r="AL674" s="33">
        <f>'DIY Grundmodell'!X761</f>
        <v>6114.6314700000003</v>
      </c>
    </row>
    <row r="675" spans="32:38" ht="14.1" customHeight="1" x14ac:dyDescent="0.45">
      <c r="AF675" s="988">
        <f>'DIY Grundmodell'!R762</f>
        <v>45704</v>
      </c>
      <c r="AG675" s="89" t="e">
        <f>'DIY Grundmodell'!S762</f>
        <v>#N/A</v>
      </c>
      <c r="AH675" s="54" t="e">
        <f>'DIY Grundmodell'!T762</f>
        <v>#N/A</v>
      </c>
      <c r="AI675" s="89">
        <f>'DIY Grundmodell'!U762</f>
        <v>736.67</v>
      </c>
      <c r="AJ675" s="89">
        <f>'DIY Grundmodell'!V762</f>
        <v>0</v>
      </c>
      <c r="AK675" s="989"/>
      <c r="AL675" s="33">
        <f>'DIY Grundmodell'!X762</f>
        <v>6114.6314700000003</v>
      </c>
    </row>
    <row r="676" spans="32:38" ht="14.1" customHeight="1" x14ac:dyDescent="0.45">
      <c r="AF676" s="988">
        <f>'DIY Grundmodell'!R763</f>
        <v>45705</v>
      </c>
      <c r="AG676" s="89" t="e">
        <f>'DIY Grundmodell'!S763</f>
        <v>#N/A</v>
      </c>
      <c r="AH676" s="54" t="e">
        <f>'DIY Grundmodell'!T763</f>
        <v>#N/A</v>
      </c>
      <c r="AI676" s="89">
        <f>'DIY Grundmodell'!U763</f>
        <v>736.67</v>
      </c>
      <c r="AJ676" s="89">
        <f>'DIY Grundmodell'!V763</f>
        <v>0</v>
      </c>
      <c r="AK676" s="989"/>
      <c r="AL676" s="33">
        <f>'DIY Grundmodell'!X763</f>
        <v>6114.6314700000003</v>
      </c>
    </row>
    <row r="677" spans="32:38" ht="14.1" customHeight="1" x14ac:dyDescent="0.45">
      <c r="AF677" s="988">
        <f>'DIY Grundmodell'!R764</f>
        <v>45706</v>
      </c>
      <c r="AG677" s="89">
        <f>'DIY Grundmodell'!S764</f>
        <v>716.37</v>
      </c>
      <c r="AH677" s="54">
        <f>'DIY Grundmodell'!T764</f>
        <v>15716.22867</v>
      </c>
      <c r="AI677" s="89">
        <f>'DIY Grundmodell'!U764</f>
        <v>716.37</v>
      </c>
      <c r="AJ677" s="89">
        <f>'DIY Grundmodell'!V764</f>
        <v>15716.22867</v>
      </c>
      <c r="AK677" s="989"/>
      <c r="AL677" s="33">
        <f>'DIY Grundmodell'!X764</f>
        <v>6129.58403</v>
      </c>
    </row>
    <row r="678" spans="32:38" ht="14.1" customHeight="1" x14ac:dyDescent="0.45">
      <c r="AF678" s="988">
        <f>'DIY Grundmodell'!R765</f>
        <v>45707</v>
      </c>
      <c r="AG678" s="89">
        <f>'DIY Grundmodell'!S765</f>
        <v>703.77</v>
      </c>
      <c r="AH678" s="54">
        <f>'DIY Grundmodell'!T765</f>
        <v>12340.94476</v>
      </c>
      <c r="AI678" s="89">
        <f>'DIY Grundmodell'!U765</f>
        <v>703.77</v>
      </c>
      <c r="AJ678" s="89">
        <f>'DIY Grundmodell'!V765</f>
        <v>12340.94476</v>
      </c>
      <c r="AK678" s="989"/>
      <c r="AL678" s="33">
        <f>'DIY Grundmodell'!X765</f>
        <v>6144.1520399999999</v>
      </c>
    </row>
    <row r="679" spans="32:38" ht="14.1" customHeight="1" x14ac:dyDescent="0.45">
      <c r="AF679" s="988">
        <f>'DIY Grundmodell'!R766</f>
        <v>45708</v>
      </c>
      <c r="AG679" s="89">
        <f>'DIY Grundmodell'!S766</f>
        <v>694.84</v>
      </c>
      <c r="AH679" s="54">
        <f>'DIY Grundmodell'!T766</f>
        <v>8746.2345800000003</v>
      </c>
      <c r="AI679" s="89">
        <f>'DIY Grundmodell'!U766</f>
        <v>694.84</v>
      </c>
      <c r="AJ679" s="89">
        <f>'DIY Grundmodell'!V766</f>
        <v>8746.2345800000003</v>
      </c>
      <c r="AK679" s="989"/>
      <c r="AL679" s="33">
        <f>'DIY Grundmodell'!X766</f>
        <v>6117.5207399999999</v>
      </c>
    </row>
    <row r="680" spans="32:38" ht="14.1" customHeight="1" x14ac:dyDescent="0.45">
      <c r="AF680" s="988">
        <f>'DIY Grundmodell'!R767</f>
        <v>45709</v>
      </c>
      <c r="AG680" s="89">
        <f>'DIY Grundmodell'!S767</f>
        <v>683.55</v>
      </c>
      <c r="AH680" s="54">
        <f>'DIY Grundmodell'!T767</f>
        <v>10704.63566</v>
      </c>
      <c r="AI680" s="89">
        <f>'DIY Grundmodell'!U767</f>
        <v>683.55</v>
      </c>
      <c r="AJ680" s="89">
        <f>'DIY Grundmodell'!V767</f>
        <v>10704.63566</v>
      </c>
      <c r="AK680" s="989"/>
      <c r="AL680" s="33">
        <f>'DIY Grundmodell'!X767</f>
        <v>6013.1278599999996</v>
      </c>
    </row>
    <row r="681" spans="32:38" ht="14.1" customHeight="1" x14ac:dyDescent="0.45">
      <c r="AF681" s="988">
        <f>'DIY Grundmodell'!R768</f>
        <v>45710</v>
      </c>
      <c r="AG681" s="89" t="e">
        <f>'DIY Grundmodell'!S768</f>
        <v>#N/A</v>
      </c>
      <c r="AH681" s="54" t="e">
        <f>'DIY Grundmodell'!T768</f>
        <v>#N/A</v>
      </c>
      <c r="AI681" s="89">
        <f>'DIY Grundmodell'!U768</f>
        <v>683.55</v>
      </c>
      <c r="AJ681" s="89">
        <f>'DIY Grundmodell'!V768</f>
        <v>0</v>
      </c>
      <c r="AK681" s="989"/>
      <c r="AL681" s="33">
        <f>'DIY Grundmodell'!X768</f>
        <v>6013.1278599999996</v>
      </c>
    </row>
    <row r="682" spans="32:38" ht="14.1" customHeight="1" x14ac:dyDescent="0.45">
      <c r="AF682" s="988">
        <f>'DIY Grundmodell'!R769</f>
        <v>45711</v>
      </c>
      <c r="AG682" s="89" t="e">
        <f>'DIY Grundmodell'!S769</f>
        <v>#N/A</v>
      </c>
      <c r="AH682" s="54" t="e">
        <f>'DIY Grundmodell'!T769</f>
        <v>#N/A</v>
      </c>
      <c r="AI682" s="89">
        <f>'DIY Grundmodell'!U769</f>
        <v>683.55</v>
      </c>
      <c r="AJ682" s="89">
        <f>'DIY Grundmodell'!V769</f>
        <v>0</v>
      </c>
      <c r="AK682" s="989"/>
      <c r="AL682" s="33">
        <f>'DIY Grundmodell'!X769</f>
        <v>6013.1278599999996</v>
      </c>
    </row>
    <row r="683" spans="32:38" ht="14.1" customHeight="1" x14ac:dyDescent="0.45">
      <c r="AF683" s="988">
        <f>'DIY Grundmodell'!R770</f>
        <v>45712</v>
      </c>
      <c r="AG683" s="89">
        <f>'DIY Grundmodell'!S770</f>
        <v>668.13</v>
      </c>
      <c r="AH683" s="54">
        <f>'DIY Grundmodell'!T770</f>
        <v>10474.27</v>
      </c>
      <c r="AI683" s="89">
        <f>'DIY Grundmodell'!U770</f>
        <v>668.13</v>
      </c>
      <c r="AJ683" s="89">
        <f>'DIY Grundmodell'!V770</f>
        <v>10474.27</v>
      </c>
      <c r="AK683" s="989"/>
      <c r="AL683" s="33">
        <f>'DIY Grundmodell'!X770</f>
        <v>5983.2468500000004</v>
      </c>
    </row>
    <row r="684" spans="32:38" ht="14.1" customHeight="1" x14ac:dyDescent="0.45">
      <c r="AF684" s="988">
        <f>'DIY Grundmodell'!R771</f>
        <v>45713</v>
      </c>
      <c r="AG684" s="89">
        <f>'DIY Grundmodell'!S771</f>
        <v>657.5</v>
      </c>
      <c r="AH684" s="54">
        <f>'DIY Grundmodell'!T771</f>
        <v>13531.127769999999</v>
      </c>
      <c r="AI684" s="89">
        <f>'DIY Grundmodell'!U771</f>
        <v>657.5</v>
      </c>
      <c r="AJ684" s="89">
        <f>'DIY Grundmodell'!V771</f>
        <v>13531.127769999999</v>
      </c>
      <c r="AK684" s="989"/>
      <c r="AL684" s="33">
        <f>'DIY Grundmodell'!X771</f>
        <v>5955.2524299999995</v>
      </c>
    </row>
    <row r="685" spans="32:38" ht="14.1" customHeight="1" x14ac:dyDescent="0.45">
      <c r="AF685" s="988">
        <f>'DIY Grundmodell'!R772</f>
        <v>45714</v>
      </c>
      <c r="AG685" s="89">
        <f>'DIY Grundmodell'!S772</f>
        <v>673.7</v>
      </c>
      <c r="AH685" s="54">
        <f>'DIY Grundmodell'!T772</f>
        <v>9761.0405599999995</v>
      </c>
      <c r="AI685" s="89">
        <f>'DIY Grundmodell'!U772</f>
        <v>673.7</v>
      </c>
      <c r="AJ685" s="89">
        <f>'DIY Grundmodell'!V772</f>
        <v>9761.0405599999995</v>
      </c>
      <c r="AK685" s="989"/>
      <c r="AL685" s="33">
        <f>'DIY Grundmodell'!X772</f>
        <v>5956.0586899999998</v>
      </c>
    </row>
    <row r="686" spans="32:38" ht="14.1" customHeight="1" x14ac:dyDescent="0.45">
      <c r="AF686" s="988">
        <f>'DIY Grundmodell'!R773</f>
        <v>45715</v>
      </c>
      <c r="AG686" s="89">
        <f>'DIY Grundmodell'!S773</f>
        <v>658.24</v>
      </c>
      <c r="AH686" s="54">
        <f>'DIY Grundmodell'!T773</f>
        <v>8228.0085600000002</v>
      </c>
      <c r="AI686" s="89">
        <f>'DIY Grundmodell'!U773</f>
        <v>658.24</v>
      </c>
      <c r="AJ686" s="89">
        <f>'DIY Grundmodell'!V773</f>
        <v>8228.0085600000002</v>
      </c>
      <c r="AK686" s="989"/>
      <c r="AL686" s="33">
        <f>'DIY Grundmodell'!X773</f>
        <v>5861.5735800000002</v>
      </c>
    </row>
    <row r="687" spans="32:38" ht="14.1" customHeight="1" x14ac:dyDescent="0.45">
      <c r="AF687" s="988">
        <f>'DIY Grundmodell'!R774</f>
        <v>45716</v>
      </c>
      <c r="AG687" s="89">
        <f>'DIY Grundmodell'!S774</f>
        <v>668.2</v>
      </c>
      <c r="AH687" s="54">
        <f>'DIY Grundmodell'!T774</f>
        <v>11716.33106</v>
      </c>
      <c r="AI687" s="89">
        <f>'DIY Grundmodell'!U774</f>
        <v>668.2</v>
      </c>
      <c r="AJ687" s="89">
        <f>'DIY Grundmodell'!V774</f>
        <v>11716.33106</v>
      </c>
      <c r="AK687" s="989"/>
      <c r="AL687" s="33">
        <f>'DIY Grundmodell'!X774</f>
        <v>5954.5048299999999</v>
      </c>
    </row>
    <row r="688" spans="32:38" ht="14.1" customHeight="1" x14ac:dyDescent="0.45">
      <c r="AF688" s="988">
        <f>'DIY Grundmodell'!R775</f>
        <v>45717</v>
      </c>
      <c r="AG688" s="89" t="e">
        <f>'DIY Grundmodell'!S775</f>
        <v>#N/A</v>
      </c>
      <c r="AH688" s="54" t="e">
        <f>'DIY Grundmodell'!T775</f>
        <v>#N/A</v>
      </c>
      <c r="AI688" s="89">
        <f>'DIY Grundmodell'!U775</f>
        <v>668.2</v>
      </c>
      <c r="AJ688" s="89">
        <f>'DIY Grundmodell'!V775</f>
        <v>0</v>
      </c>
      <c r="AK688" s="989"/>
      <c r="AL688" s="33">
        <f>'DIY Grundmodell'!X775</f>
        <v>5954.5048299999999</v>
      </c>
    </row>
    <row r="689" spans="32:38" ht="14.1" customHeight="1" x14ac:dyDescent="0.45">
      <c r="AF689" s="988">
        <f>'DIY Grundmodell'!R776</f>
        <v>45718</v>
      </c>
      <c r="AG689" s="89" t="e">
        <f>'DIY Grundmodell'!S776</f>
        <v>#N/A</v>
      </c>
      <c r="AH689" s="54" t="e">
        <f>'DIY Grundmodell'!T776</f>
        <v>#N/A</v>
      </c>
      <c r="AI689" s="89">
        <f>'DIY Grundmodell'!U776</f>
        <v>668.2</v>
      </c>
      <c r="AJ689" s="89">
        <f>'DIY Grundmodell'!V776</f>
        <v>0</v>
      </c>
      <c r="AK689" s="989"/>
      <c r="AL689" s="33">
        <f>'DIY Grundmodell'!X776</f>
        <v>5954.5048299999999</v>
      </c>
    </row>
    <row r="690" spans="32:38" ht="14.1" customHeight="1" x14ac:dyDescent="0.45">
      <c r="AF690" s="988">
        <f>'DIY Grundmodell'!R777</f>
        <v>45719</v>
      </c>
      <c r="AG690" s="89">
        <f>'DIY Grundmodell'!S777</f>
        <v>655.04999999999995</v>
      </c>
      <c r="AH690" s="54">
        <f>'DIY Grundmodell'!T777</f>
        <v>7103.2069499999998</v>
      </c>
      <c r="AI690" s="89">
        <f>'DIY Grundmodell'!U777</f>
        <v>655.04999999999995</v>
      </c>
      <c r="AJ690" s="89">
        <f>'DIY Grundmodell'!V777</f>
        <v>7103.2069499999998</v>
      </c>
      <c r="AK690" s="989"/>
      <c r="AL690" s="33">
        <f>'DIY Grundmodell'!X777</f>
        <v>5849.7194200000004</v>
      </c>
    </row>
    <row r="691" spans="32:38" ht="14.1" customHeight="1" x14ac:dyDescent="0.45">
      <c r="AF691" s="988">
        <f>'DIY Grundmodell'!R778</f>
        <v>45720</v>
      </c>
      <c r="AG691" s="89">
        <f>'DIY Grundmodell'!S778</f>
        <v>640</v>
      </c>
      <c r="AH691" s="54">
        <f>'DIY Grundmodell'!T778</f>
        <v>13756.93312</v>
      </c>
      <c r="AI691" s="89">
        <f>'DIY Grundmodell'!U778</f>
        <v>640</v>
      </c>
      <c r="AJ691" s="89">
        <f>'DIY Grundmodell'!V778</f>
        <v>13756.93312</v>
      </c>
      <c r="AK691" s="989"/>
      <c r="AL691" s="33">
        <f>'DIY Grundmodell'!X778</f>
        <v>5778.1491900000001</v>
      </c>
    </row>
    <row r="692" spans="32:38" ht="14.1" customHeight="1" x14ac:dyDescent="0.45">
      <c r="AF692" s="988">
        <f>'DIY Grundmodell'!R779</f>
        <v>45721</v>
      </c>
      <c r="AG692" s="89">
        <f>'DIY Grundmodell'!S779</f>
        <v>656.47</v>
      </c>
      <c r="AH692" s="54">
        <f>'DIY Grundmodell'!T779</f>
        <v>9039.6089699999993</v>
      </c>
      <c r="AI692" s="89">
        <f>'DIY Grundmodell'!U779</f>
        <v>656.47</v>
      </c>
      <c r="AJ692" s="89">
        <f>'DIY Grundmodell'!V779</f>
        <v>9039.6089699999993</v>
      </c>
      <c r="AK692" s="989"/>
      <c r="AL692" s="33">
        <f>'DIY Grundmodell'!X779</f>
        <v>5842.6254900000004</v>
      </c>
    </row>
    <row r="693" spans="32:38" ht="14.1" customHeight="1" x14ac:dyDescent="0.45">
      <c r="AF693" s="988">
        <f>'DIY Grundmodell'!R780</f>
        <v>45722</v>
      </c>
      <c r="AG693" s="89">
        <f>'DIY Grundmodell'!S780</f>
        <v>627.92999999999995</v>
      </c>
      <c r="AH693" s="54">
        <f>'DIY Grundmodell'!T780</f>
        <v>8443.4318600000006</v>
      </c>
      <c r="AI693" s="89">
        <f>'DIY Grundmodell'!U780</f>
        <v>627.92999999999995</v>
      </c>
      <c r="AJ693" s="89">
        <f>'DIY Grundmodell'!V780</f>
        <v>8443.4318600000006</v>
      </c>
      <c r="AK693" s="989"/>
      <c r="AL693" s="33">
        <f>'DIY Grundmodell'!X780</f>
        <v>5738.5187100000003</v>
      </c>
    </row>
    <row r="694" spans="32:38" ht="14.1" customHeight="1" x14ac:dyDescent="0.45">
      <c r="AF694" s="988">
        <f>'DIY Grundmodell'!R781</f>
        <v>45723</v>
      </c>
      <c r="AG694" s="89">
        <f>'DIY Grundmodell'!S781</f>
        <v>625.66</v>
      </c>
      <c r="AH694" s="54">
        <f>'DIY Grundmodell'!T781</f>
        <v>13373.902319999999</v>
      </c>
      <c r="AI694" s="89">
        <f>'DIY Grundmodell'!U781</f>
        <v>625.66</v>
      </c>
      <c r="AJ694" s="89">
        <f>'DIY Grundmodell'!V781</f>
        <v>13373.902319999999</v>
      </c>
      <c r="AK694" s="989"/>
      <c r="AL694" s="33">
        <f>'DIY Grundmodell'!X781</f>
        <v>5770.1956099999998</v>
      </c>
    </row>
    <row r="695" spans="32:38" ht="14.1" customHeight="1" x14ac:dyDescent="0.45">
      <c r="AF695" s="988">
        <f>'DIY Grundmodell'!R782</f>
        <v>45724</v>
      </c>
      <c r="AG695" s="89" t="e">
        <f>'DIY Grundmodell'!S782</f>
        <v>#N/A</v>
      </c>
      <c r="AH695" s="54" t="e">
        <f>'DIY Grundmodell'!T782</f>
        <v>#N/A</v>
      </c>
      <c r="AI695" s="89">
        <f>'DIY Grundmodell'!U782</f>
        <v>625.66</v>
      </c>
      <c r="AJ695" s="89">
        <f>'DIY Grundmodell'!V782</f>
        <v>0</v>
      </c>
      <c r="AK695" s="989"/>
      <c r="AL695" s="33">
        <f>'DIY Grundmodell'!X782</f>
        <v>5770.1956099999998</v>
      </c>
    </row>
    <row r="696" spans="32:38" ht="14.1" customHeight="1" x14ac:dyDescent="0.45">
      <c r="AF696" s="988">
        <f>'DIY Grundmodell'!R783</f>
        <v>45725</v>
      </c>
      <c r="AG696" s="89" t="e">
        <f>'DIY Grundmodell'!S783</f>
        <v>#N/A</v>
      </c>
      <c r="AH696" s="54" t="e">
        <f>'DIY Grundmodell'!T783</f>
        <v>#N/A</v>
      </c>
      <c r="AI696" s="89">
        <f>'DIY Grundmodell'!U783</f>
        <v>625.66</v>
      </c>
      <c r="AJ696" s="89">
        <f>'DIY Grundmodell'!V783</f>
        <v>0</v>
      </c>
      <c r="AK696" s="989"/>
      <c r="AL696" s="33">
        <f>'DIY Grundmodell'!X783</f>
        <v>5770.1956099999998</v>
      </c>
    </row>
    <row r="697" spans="32:38" ht="14.1" customHeight="1" x14ac:dyDescent="0.45">
      <c r="AF697" s="988">
        <f>'DIY Grundmodell'!R784</f>
        <v>45726</v>
      </c>
      <c r="AG697" s="89">
        <f>'DIY Grundmodell'!S784</f>
        <v>597.99</v>
      </c>
      <c r="AH697" s="54">
        <f>'DIY Grundmodell'!T784</f>
        <v>13155.745919999999</v>
      </c>
      <c r="AI697" s="89">
        <f>'DIY Grundmodell'!U784</f>
        <v>597.99</v>
      </c>
      <c r="AJ697" s="89">
        <f>'DIY Grundmodell'!V784</f>
        <v>13155.745919999999</v>
      </c>
      <c r="AK697" s="989"/>
      <c r="AL697" s="33">
        <f>'DIY Grundmodell'!X784</f>
        <v>5614.5635499999999</v>
      </c>
    </row>
    <row r="698" spans="32:38" ht="14.1" customHeight="1" x14ac:dyDescent="0.45">
      <c r="AF698" s="988">
        <f>'DIY Grundmodell'!R785</f>
        <v>45727</v>
      </c>
      <c r="AG698" s="89">
        <f>'DIY Grundmodell'!S785</f>
        <v>605.71</v>
      </c>
      <c r="AH698" s="54">
        <f>'DIY Grundmodell'!T785</f>
        <v>10540.24379</v>
      </c>
      <c r="AI698" s="89">
        <f>'DIY Grundmodell'!U785</f>
        <v>605.71</v>
      </c>
      <c r="AJ698" s="89">
        <f>'DIY Grundmodell'!V785</f>
        <v>10540.24379</v>
      </c>
      <c r="AK698" s="989"/>
      <c r="AL698" s="33">
        <f>'DIY Grundmodell'!X785</f>
        <v>5572.0699199999999</v>
      </c>
    </row>
    <row r="699" spans="32:38" ht="14.1" customHeight="1" x14ac:dyDescent="0.45">
      <c r="AF699" s="988">
        <f>'DIY Grundmodell'!R786</f>
        <v>45728</v>
      </c>
      <c r="AG699" s="89">
        <f>'DIY Grundmodell'!S786</f>
        <v>619.55999999999995</v>
      </c>
      <c r="AH699" s="54">
        <f>'DIY Grundmodell'!T786</f>
        <v>9756.1902599999994</v>
      </c>
      <c r="AI699" s="89">
        <f>'DIY Grundmodell'!U786</f>
        <v>619.55999999999995</v>
      </c>
      <c r="AJ699" s="89">
        <f>'DIY Grundmodell'!V786</f>
        <v>9756.1902599999994</v>
      </c>
      <c r="AK699" s="989"/>
      <c r="AL699" s="33">
        <f>'DIY Grundmodell'!X786</f>
        <v>5599.30026</v>
      </c>
    </row>
    <row r="700" spans="32:38" ht="14.1" customHeight="1" x14ac:dyDescent="0.45">
      <c r="AF700" s="988">
        <f>'DIY Grundmodell'!R787</f>
        <v>45729</v>
      </c>
      <c r="AG700" s="89">
        <f>'DIY Grundmodell'!S787</f>
        <v>590.64</v>
      </c>
      <c r="AH700" s="54">
        <f>'DIY Grundmodell'!T787</f>
        <v>9733.9385700000003</v>
      </c>
      <c r="AI700" s="89">
        <f>'DIY Grundmodell'!U787</f>
        <v>590.64</v>
      </c>
      <c r="AJ700" s="89">
        <f>'DIY Grundmodell'!V787</f>
        <v>9733.9385700000003</v>
      </c>
      <c r="AK700" s="989"/>
      <c r="AL700" s="33">
        <f>'DIY Grundmodell'!X787</f>
        <v>5521.5192999999999</v>
      </c>
    </row>
    <row r="701" spans="32:38" ht="14.1" customHeight="1" x14ac:dyDescent="0.45">
      <c r="AF701" s="988">
        <f>'DIY Grundmodell'!R788</f>
        <v>45730</v>
      </c>
      <c r="AG701" s="89">
        <f>'DIY Grundmodell'!S788</f>
        <v>607.6</v>
      </c>
      <c r="AH701" s="54">
        <f>'DIY Grundmodell'!T788</f>
        <v>7512.6732400000001</v>
      </c>
      <c r="AI701" s="89">
        <f>'DIY Grundmodell'!U788</f>
        <v>607.6</v>
      </c>
      <c r="AJ701" s="89">
        <f>'DIY Grundmodell'!V788</f>
        <v>7512.6732400000001</v>
      </c>
      <c r="AK701" s="989"/>
      <c r="AL701" s="33">
        <f>'DIY Grundmodell'!X788</f>
        <v>5638.9401699999999</v>
      </c>
    </row>
    <row r="702" spans="32:38" ht="14.1" customHeight="1" x14ac:dyDescent="0.45">
      <c r="AF702" s="988">
        <f>'DIY Grundmodell'!R789</f>
        <v>45731</v>
      </c>
      <c r="AG702" s="89" t="e">
        <f>'DIY Grundmodell'!S789</f>
        <v>#N/A</v>
      </c>
      <c r="AH702" s="54" t="e">
        <f>'DIY Grundmodell'!T789</f>
        <v>#N/A</v>
      </c>
      <c r="AI702" s="89">
        <f>'DIY Grundmodell'!U789</f>
        <v>607.6</v>
      </c>
      <c r="AJ702" s="89">
        <f>'DIY Grundmodell'!V789</f>
        <v>0</v>
      </c>
      <c r="AK702" s="989"/>
      <c r="AL702" s="33">
        <f>'DIY Grundmodell'!X789</f>
        <v>5638.9401699999999</v>
      </c>
    </row>
    <row r="703" spans="32:38" ht="14.1" customHeight="1" x14ac:dyDescent="0.45">
      <c r="AF703" s="988">
        <f>'DIY Grundmodell'!R790</f>
        <v>45732</v>
      </c>
      <c r="AG703" s="89" t="e">
        <f>'DIY Grundmodell'!S790</f>
        <v>#N/A</v>
      </c>
      <c r="AH703" s="54" t="e">
        <f>'DIY Grundmodell'!T790</f>
        <v>#N/A</v>
      </c>
      <c r="AI703" s="89">
        <f>'DIY Grundmodell'!U790</f>
        <v>607.6</v>
      </c>
      <c r="AJ703" s="89">
        <f>'DIY Grundmodell'!V790</f>
        <v>0</v>
      </c>
      <c r="AK703" s="989"/>
      <c r="AL703" s="33">
        <f>'DIY Grundmodell'!X790</f>
        <v>5638.9401699999999</v>
      </c>
    </row>
    <row r="704" spans="32:38" ht="14.1" customHeight="1" x14ac:dyDescent="0.45">
      <c r="AF704" s="988">
        <f>'DIY Grundmodell'!R791</f>
        <v>45733</v>
      </c>
      <c r="AG704" s="89">
        <f>'DIY Grundmodell'!S791</f>
        <v>604.9</v>
      </c>
      <c r="AH704" s="54">
        <f>'DIY Grundmodell'!T791</f>
        <v>9360.1675500000001</v>
      </c>
      <c r="AI704" s="89">
        <f>'DIY Grundmodell'!U791</f>
        <v>604.9</v>
      </c>
      <c r="AJ704" s="89">
        <f>'DIY Grundmodell'!V791</f>
        <v>9360.1675500000001</v>
      </c>
      <c r="AK704" s="989"/>
      <c r="AL704" s="33">
        <f>'DIY Grundmodell'!X791</f>
        <v>5675.1173200000003</v>
      </c>
    </row>
    <row r="705" spans="32:38" ht="14.1" customHeight="1" x14ac:dyDescent="0.45">
      <c r="AF705" s="988">
        <f>'DIY Grundmodell'!R792</f>
        <v>45734</v>
      </c>
      <c r="AG705" s="89">
        <f>'DIY Grundmodell'!S792</f>
        <v>582.36</v>
      </c>
      <c r="AH705" s="54">
        <f>'DIY Grundmodell'!T792</f>
        <v>11820.57323</v>
      </c>
      <c r="AI705" s="89">
        <f>'DIY Grundmodell'!U792</f>
        <v>582.36</v>
      </c>
      <c r="AJ705" s="89">
        <f>'DIY Grundmodell'!V792</f>
        <v>11820.57323</v>
      </c>
      <c r="AK705" s="989"/>
      <c r="AL705" s="33">
        <f>'DIY Grundmodell'!X792</f>
        <v>5614.66201</v>
      </c>
    </row>
    <row r="706" spans="32:38" ht="14.1" customHeight="1" x14ac:dyDescent="0.45">
      <c r="AF706" s="988">
        <f>'DIY Grundmodell'!R793</f>
        <v>45735</v>
      </c>
      <c r="AG706" s="89">
        <f>'DIY Grundmodell'!S793</f>
        <v>584.05999999999995</v>
      </c>
      <c r="AH706" s="54">
        <f>'DIY Grundmodell'!T793</f>
        <v>11995.131079999999</v>
      </c>
      <c r="AI706" s="89">
        <f>'DIY Grundmodell'!U793</f>
        <v>584.05999999999995</v>
      </c>
      <c r="AJ706" s="89">
        <f>'DIY Grundmodell'!V793</f>
        <v>11995.131079999999</v>
      </c>
      <c r="AK706" s="989"/>
      <c r="AL706" s="33">
        <f>'DIY Grundmodell'!X793</f>
        <v>5675.2871699999996</v>
      </c>
    </row>
    <row r="707" spans="32:38" ht="14.1" customHeight="1" x14ac:dyDescent="0.45">
      <c r="AF707" s="988">
        <f>'DIY Grundmodell'!R794</f>
        <v>45736</v>
      </c>
      <c r="AG707" s="89">
        <f>'DIY Grundmodell'!S794</f>
        <v>586</v>
      </c>
      <c r="AH707" s="54">
        <f>'DIY Grundmodell'!T794</f>
        <v>14261.191930000001</v>
      </c>
      <c r="AI707" s="89">
        <f>'DIY Grundmodell'!U794</f>
        <v>586</v>
      </c>
      <c r="AJ707" s="89">
        <f>'DIY Grundmodell'!V794</f>
        <v>14261.191930000001</v>
      </c>
      <c r="AK707" s="989"/>
      <c r="AL707" s="33">
        <f>'DIY Grundmodell'!X794</f>
        <v>5662.8905299999997</v>
      </c>
    </row>
    <row r="708" spans="32:38" ht="14.1" customHeight="1" x14ac:dyDescent="0.45">
      <c r="AF708" s="988">
        <f>'DIY Grundmodell'!R795</f>
        <v>45737</v>
      </c>
      <c r="AG708" s="89">
        <f>'DIY Grundmodell'!S795</f>
        <v>596.25</v>
      </c>
      <c r="AH708" s="54">
        <f>'DIY Grundmodell'!T795</f>
        <v>14915.708909999999</v>
      </c>
      <c r="AI708" s="89">
        <f>'DIY Grundmodell'!U795</f>
        <v>596.25</v>
      </c>
      <c r="AJ708" s="89">
        <f>'DIY Grundmodell'!V795</f>
        <v>14915.708909999999</v>
      </c>
      <c r="AK708" s="989"/>
      <c r="AL708" s="33">
        <f>'DIY Grundmodell'!X795</f>
        <v>5667.5642699999999</v>
      </c>
    </row>
    <row r="709" spans="32:38" ht="14.1" customHeight="1" x14ac:dyDescent="0.45">
      <c r="AF709" s="988">
        <f>'DIY Grundmodell'!R796</f>
        <v>45738</v>
      </c>
      <c r="AG709" s="89" t="e">
        <f>'DIY Grundmodell'!S796</f>
        <v>#N/A</v>
      </c>
      <c r="AH709" s="54" t="e">
        <f>'DIY Grundmodell'!T796</f>
        <v>#N/A</v>
      </c>
      <c r="AI709" s="89">
        <f>'DIY Grundmodell'!U796</f>
        <v>596.25</v>
      </c>
      <c r="AJ709" s="89">
        <f>'DIY Grundmodell'!V796</f>
        <v>0</v>
      </c>
      <c r="AK709" s="989"/>
      <c r="AL709" s="33">
        <f>'DIY Grundmodell'!X796</f>
        <v>5667.5642699999999</v>
      </c>
    </row>
    <row r="710" spans="32:38" ht="14.1" customHeight="1" x14ac:dyDescent="0.45">
      <c r="AF710" s="988">
        <f>'DIY Grundmodell'!R797</f>
        <v>45739</v>
      </c>
      <c r="AG710" s="89" t="e">
        <f>'DIY Grundmodell'!S797</f>
        <v>#N/A</v>
      </c>
      <c r="AH710" s="54" t="e">
        <f>'DIY Grundmodell'!T797</f>
        <v>#N/A</v>
      </c>
      <c r="AI710" s="89">
        <f>'DIY Grundmodell'!U797</f>
        <v>596.25</v>
      </c>
      <c r="AJ710" s="89">
        <f>'DIY Grundmodell'!V797</f>
        <v>0</v>
      </c>
      <c r="AK710" s="989"/>
      <c r="AL710" s="33">
        <f>'DIY Grundmodell'!X797</f>
        <v>5667.5642699999999</v>
      </c>
    </row>
    <row r="711" spans="32:38" ht="14.1" customHeight="1" x14ac:dyDescent="0.45">
      <c r="AF711" s="988">
        <f>'DIY Grundmodell'!R798</f>
        <v>45740</v>
      </c>
      <c r="AG711" s="89">
        <f>'DIY Grundmodell'!S798</f>
        <v>618.85</v>
      </c>
      <c r="AH711" s="54">
        <f>'DIY Grundmodell'!T798</f>
        <v>9741.4874199999995</v>
      </c>
      <c r="AI711" s="89">
        <f>'DIY Grundmodell'!U798</f>
        <v>618.85</v>
      </c>
      <c r="AJ711" s="89">
        <f>'DIY Grundmodell'!V798</f>
        <v>9741.4874199999995</v>
      </c>
      <c r="AK711" s="989"/>
      <c r="AL711" s="33">
        <f>'DIY Grundmodell'!X798</f>
        <v>5767.5671000000002</v>
      </c>
    </row>
    <row r="712" spans="32:38" ht="14.1" customHeight="1" x14ac:dyDescent="0.45">
      <c r="AF712" s="988">
        <f>'DIY Grundmodell'!R799</f>
        <v>45741</v>
      </c>
      <c r="AG712" s="89">
        <f>'DIY Grundmodell'!S799</f>
        <v>626.30999999999995</v>
      </c>
      <c r="AH712" s="54">
        <f>'DIY Grundmodell'!T799</f>
        <v>9590.3969300000008</v>
      </c>
      <c r="AI712" s="89">
        <f>'DIY Grundmodell'!U799</f>
        <v>626.30999999999995</v>
      </c>
      <c r="AJ712" s="89">
        <f>'DIY Grundmodell'!V799</f>
        <v>9590.3969300000008</v>
      </c>
      <c r="AK712" s="989"/>
      <c r="AL712" s="33">
        <f>'DIY Grundmodell'!X799</f>
        <v>5776.6512899999998</v>
      </c>
    </row>
    <row r="713" spans="32:38" ht="14.1" customHeight="1" x14ac:dyDescent="0.45">
      <c r="AF713" s="988">
        <f>'DIY Grundmodell'!R800</f>
        <v>45742</v>
      </c>
      <c r="AG713" s="89">
        <f>'DIY Grundmodell'!S800</f>
        <v>610.98</v>
      </c>
      <c r="AH713" s="54">
        <f>'DIY Grundmodell'!T800</f>
        <v>7736.1621599999999</v>
      </c>
      <c r="AI713" s="89">
        <f>'DIY Grundmodell'!U800</f>
        <v>610.98</v>
      </c>
      <c r="AJ713" s="89">
        <f>'DIY Grundmodell'!V800</f>
        <v>7736.1621599999999</v>
      </c>
      <c r="AK713" s="989"/>
      <c r="AL713" s="33">
        <f>'DIY Grundmodell'!X800</f>
        <v>5712.2034299999996</v>
      </c>
    </row>
    <row r="714" spans="32:38" ht="14.1" customHeight="1" x14ac:dyDescent="0.45">
      <c r="AF714" s="988">
        <f>'DIY Grundmodell'!R801</f>
        <v>45743</v>
      </c>
      <c r="AG714" s="89">
        <f>'DIY Grundmodell'!S801</f>
        <v>602.58000000000004</v>
      </c>
      <c r="AH714" s="54">
        <f>'DIY Grundmodell'!T801</f>
        <v>6288.8406299999997</v>
      </c>
      <c r="AI714" s="89">
        <f>'DIY Grundmodell'!U801</f>
        <v>602.58000000000004</v>
      </c>
      <c r="AJ714" s="89">
        <f>'DIY Grundmodell'!V801</f>
        <v>6288.8406299999997</v>
      </c>
      <c r="AK714" s="989"/>
      <c r="AL714" s="33">
        <f>'DIY Grundmodell'!X801</f>
        <v>5693.3126499999998</v>
      </c>
    </row>
    <row r="715" spans="32:38" ht="14.1" customHeight="1" x14ac:dyDescent="0.45">
      <c r="AF715" s="988">
        <f>'DIY Grundmodell'!R802</f>
        <v>45744</v>
      </c>
      <c r="AG715" s="89">
        <f>'DIY Grundmodell'!S802</f>
        <v>576.74</v>
      </c>
      <c r="AH715" s="54">
        <f>'DIY Grundmodell'!T802</f>
        <v>10152.252140000001</v>
      </c>
      <c r="AI715" s="89">
        <f>'DIY Grundmodell'!U802</f>
        <v>576.74</v>
      </c>
      <c r="AJ715" s="89">
        <f>'DIY Grundmodell'!V802</f>
        <v>10152.252140000001</v>
      </c>
      <c r="AK715" s="989"/>
      <c r="AL715" s="33">
        <f>'DIY Grundmodell'!X802</f>
        <v>5580.9435800000001</v>
      </c>
    </row>
    <row r="716" spans="32:38" ht="14.1" customHeight="1" x14ac:dyDescent="0.45">
      <c r="AF716" s="988">
        <f>'DIY Grundmodell'!R803</f>
        <v>45745</v>
      </c>
      <c r="AG716" s="89" t="e">
        <f>'DIY Grundmodell'!S803</f>
        <v>#N/A</v>
      </c>
      <c r="AH716" s="54" t="e">
        <f>'DIY Grundmodell'!T803</f>
        <v>#N/A</v>
      </c>
      <c r="AI716" s="89">
        <f>'DIY Grundmodell'!U803</f>
        <v>576.74</v>
      </c>
      <c r="AJ716" s="89">
        <f>'DIY Grundmodell'!V803</f>
        <v>0</v>
      </c>
      <c r="AK716" s="989"/>
      <c r="AL716" s="33">
        <f>'DIY Grundmodell'!X803</f>
        <v>5580.9435800000001</v>
      </c>
    </row>
    <row r="717" spans="32:38" ht="14.1" customHeight="1" x14ac:dyDescent="0.45">
      <c r="AF717" s="988">
        <f>'DIY Grundmodell'!R804</f>
        <v>45746</v>
      </c>
      <c r="AG717" s="89" t="e">
        <f>'DIY Grundmodell'!S804</f>
        <v>#N/A</v>
      </c>
      <c r="AH717" s="54" t="e">
        <f>'DIY Grundmodell'!T804</f>
        <v>#N/A</v>
      </c>
      <c r="AI717" s="89">
        <f>'DIY Grundmodell'!U804</f>
        <v>576.74</v>
      </c>
      <c r="AJ717" s="89">
        <f>'DIY Grundmodell'!V804</f>
        <v>0</v>
      </c>
      <c r="AK717" s="989"/>
      <c r="AL717" s="33">
        <f>'DIY Grundmodell'!X804</f>
        <v>5580.9435800000001</v>
      </c>
    </row>
    <row r="718" spans="32:38" ht="14.1" customHeight="1" x14ac:dyDescent="0.45">
      <c r="AF718" s="988">
        <f>'DIY Grundmodell'!R805</f>
        <v>45747</v>
      </c>
      <c r="AG718" s="89">
        <f>'DIY Grundmodell'!S805</f>
        <v>576.36</v>
      </c>
      <c r="AH718" s="54">
        <f>'DIY Grundmodell'!T805</f>
        <v>12175.41884</v>
      </c>
      <c r="AI718" s="89">
        <f>'DIY Grundmodell'!U805</f>
        <v>576.36</v>
      </c>
      <c r="AJ718" s="89">
        <f>'DIY Grundmodell'!V805</f>
        <v>12175.41884</v>
      </c>
      <c r="AK718" s="989"/>
      <c r="AL718" s="33">
        <f>'DIY Grundmodell'!X805</f>
        <v>5611.8526099999999</v>
      </c>
    </row>
    <row r="719" spans="32:38" ht="14.1" customHeight="1" x14ac:dyDescent="0.45">
      <c r="AF719" s="988">
        <f>'DIY Grundmodell'!R806</f>
        <v>45748</v>
      </c>
      <c r="AG719" s="89">
        <f>'DIY Grundmodell'!S806</f>
        <v>586</v>
      </c>
      <c r="AH719" s="54">
        <f>'DIY Grundmodell'!T806</f>
        <v>7522.23236</v>
      </c>
      <c r="AI719" s="89">
        <f>'DIY Grundmodell'!U806</f>
        <v>586</v>
      </c>
      <c r="AJ719" s="89">
        <f>'DIY Grundmodell'!V806</f>
        <v>7522.23236</v>
      </c>
      <c r="AK719" s="989"/>
      <c r="AL719" s="33">
        <f>'DIY Grundmodell'!X806</f>
        <v>5633.0696900000003</v>
      </c>
    </row>
    <row r="720" spans="32:38" ht="14.1" customHeight="1" x14ac:dyDescent="0.45">
      <c r="AF720" s="988">
        <f>'DIY Grundmodell'!R807</f>
        <v>45749</v>
      </c>
      <c r="AG720" s="89">
        <f>'DIY Grundmodell'!S807</f>
        <v>583.92999999999995</v>
      </c>
      <c r="AH720" s="54">
        <f>'DIY Grundmodell'!T807</f>
        <v>7865.9913999999999</v>
      </c>
      <c r="AI720" s="89">
        <f>'DIY Grundmodell'!U807</f>
        <v>583.92999999999995</v>
      </c>
      <c r="AJ720" s="89">
        <f>'DIY Grundmodell'!V807</f>
        <v>7865.9913999999999</v>
      </c>
      <c r="AK720" s="989"/>
      <c r="AL720" s="33">
        <f>'DIY Grundmodell'!X807</f>
        <v>5670.9736199999998</v>
      </c>
    </row>
    <row r="721" spans="32:38" ht="14.1" customHeight="1" x14ac:dyDescent="0.45">
      <c r="AF721" s="988">
        <f>'DIY Grundmodell'!R808</f>
        <v>45750</v>
      </c>
      <c r="AG721" s="89">
        <f>'DIY Grundmodell'!S808</f>
        <v>531.62</v>
      </c>
      <c r="AH721" s="54">
        <f>'DIY Grundmodell'!T808</f>
        <v>18488.39329</v>
      </c>
      <c r="AI721" s="89">
        <f>'DIY Grundmodell'!U808</f>
        <v>531.62</v>
      </c>
      <c r="AJ721" s="89">
        <f>'DIY Grundmodell'!V808</f>
        <v>18488.39329</v>
      </c>
      <c r="AK721" s="989"/>
      <c r="AL721" s="33">
        <f>'DIY Grundmodell'!X808</f>
        <v>5396.5168000000003</v>
      </c>
    </row>
    <row r="722" spans="32:38" ht="14.1" customHeight="1" x14ac:dyDescent="0.45">
      <c r="AF722" s="988">
        <f>'DIY Grundmodell'!R809</f>
        <v>45751</v>
      </c>
      <c r="AG722" s="89">
        <f>'DIY Grundmodell'!S809</f>
        <v>504.73</v>
      </c>
      <c r="AH722" s="54">
        <f>'DIY Grundmodell'!T809</f>
        <v>19477.436819999999</v>
      </c>
      <c r="AI722" s="89">
        <f>'DIY Grundmodell'!U809</f>
        <v>504.73</v>
      </c>
      <c r="AJ722" s="89">
        <f>'DIY Grundmodell'!V809</f>
        <v>19477.436819999999</v>
      </c>
      <c r="AK722" s="989"/>
      <c r="AL722" s="33">
        <f>'DIY Grundmodell'!X809</f>
        <v>5074.0756300000003</v>
      </c>
    </row>
    <row r="723" spans="32:38" ht="14.1" customHeight="1" x14ac:dyDescent="0.45">
      <c r="AF723" s="988">
        <f>'DIY Grundmodell'!R810</f>
        <v>45752</v>
      </c>
      <c r="AG723" s="89" t="e">
        <f>'DIY Grundmodell'!S810</f>
        <v>#N/A</v>
      </c>
      <c r="AH723" s="54" t="e">
        <f>'DIY Grundmodell'!T810</f>
        <v>#N/A</v>
      </c>
      <c r="AI723" s="89">
        <f>'DIY Grundmodell'!U810</f>
        <v>504.73</v>
      </c>
      <c r="AJ723" s="89">
        <f>'DIY Grundmodell'!V810</f>
        <v>0</v>
      </c>
      <c r="AK723" s="989"/>
      <c r="AL723" s="33">
        <f>'DIY Grundmodell'!X810</f>
        <v>5074.0756300000003</v>
      </c>
    </row>
    <row r="724" spans="32:38" ht="14.1" customHeight="1" x14ac:dyDescent="0.45">
      <c r="AF724" s="988">
        <f>'DIY Grundmodell'!R811</f>
        <v>45753</v>
      </c>
      <c r="AG724" s="89" t="e">
        <f>'DIY Grundmodell'!S811</f>
        <v>#N/A</v>
      </c>
      <c r="AH724" s="54" t="e">
        <f>'DIY Grundmodell'!T811</f>
        <v>#N/A</v>
      </c>
      <c r="AI724" s="89">
        <f>'DIY Grundmodell'!U811</f>
        <v>504.73</v>
      </c>
      <c r="AJ724" s="89">
        <f>'DIY Grundmodell'!V811</f>
        <v>0</v>
      </c>
      <c r="AK724" s="989"/>
      <c r="AL724" s="33">
        <f>'DIY Grundmodell'!X811</f>
        <v>5074.0756300000003</v>
      </c>
    </row>
    <row r="725" spans="32:38" ht="14.1" customHeight="1" x14ac:dyDescent="0.45">
      <c r="AF725" s="988">
        <f>'DIY Grundmodell'!R812</f>
        <v>45754</v>
      </c>
      <c r="AG725" s="89">
        <f>'DIY Grundmodell'!S812</f>
        <v>516.25</v>
      </c>
      <c r="AH725" s="54">
        <f>'DIY Grundmodell'!T812</f>
        <v>18897.917710000002</v>
      </c>
      <c r="AI725" s="89">
        <f>'DIY Grundmodell'!U812</f>
        <v>516.25</v>
      </c>
      <c r="AJ725" s="89">
        <f>'DIY Grundmodell'!V812</f>
        <v>18897.917710000002</v>
      </c>
      <c r="AK725" s="989"/>
      <c r="AL725" s="33">
        <f>'DIY Grundmodell'!X812</f>
        <v>5062.2455200000004</v>
      </c>
    </row>
    <row r="726" spans="32:38" ht="14.1" customHeight="1" x14ac:dyDescent="0.45">
      <c r="AF726" s="988">
        <f>'DIY Grundmodell'!R813</f>
        <v>45755</v>
      </c>
      <c r="AG726" s="89">
        <f>'DIY Grundmodell'!S813</f>
        <v>510.45</v>
      </c>
      <c r="AH726" s="54">
        <f>'DIY Grundmodell'!T813</f>
        <v>14310.06301</v>
      </c>
      <c r="AI726" s="89">
        <f>'DIY Grundmodell'!U813</f>
        <v>510.45</v>
      </c>
      <c r="AJ726" s="89">
        <f>'DIY Grundmodell'!V813</f>
        <v>14310.06301</v>
      </c>
      <c r="AK726" s="989"/>
      <c r="AL726" s="33">
        <f>'DIY Grundmodell'!X813</f>
        <v>4982.7703099999999</v>
      </c>
    </row>
    <row r="727" spans="32:38" ht="14.1" customHeight="1" x14ac:dyDescent="0.45">
      <c r="AF727" s="988">
        <f>'DIY Grundmodell'!R814</f>
        <v>45756</v>
      </c>
      <c r="AG727" s="89">
        <f>'DIY Grundmodell'!S814</f>
        <v>585.77</v>
      </c>
      <c r="AH727" s="54">
        <f>'DIY Grundmodell'!T814</f>
        <v>22971.894899999999</v>
      </c>
      <c r="AI727" s="89">
        <f>'DIY Grundmodell'!U814</f>
        <v>585.77</v>
      </c>
      <c r="AJ727" s="89">
        <f>'DIY Grundmodell'!V814</f>
        <v>22971.894899999999</v>
      </c>
      <c r="AK727" s="989"/>
      <c r="AL727" s="33">
        <f>'DIY Grundmodell'!X814</f>
        <v>5456.9006900000004</v>
      </c>
    </row>
    <row r="728" spans="32:38" ht="14.1" customHeight="1" x14ac:dyDescent="0.45">
      <c r="AF728" s="988">
        <f>'DIY Grundmodell'!R815</f>
        <v>45757</v>
      </c>
      <c r="AG728" s="89">
        <f>'DIY Grundmodell'!S815</f>
        <v>546.29</v>
      </c>
      <c r="AH728" s="54">
        <f>'DIY Grundmodell'!T815</f>
        <v>15390.8964</v>
      </c>
      <c r="AI728" s="89">
        <f>'DIY Grundmodell'!U815</f>
        <v>546.29</v>
      </c>
      <c r="AJ728" s="89">
        <f>'DIY Grundmodell'!V815</f>
        <v>15390.8964</v>
      </c>
      <c r="AK728" s="989"/>
      <c r="AL728" s="33">
        <f>'DIY Grundmodell'!X815</f>
        <v>5268.0543799999996</v>
      </c>
    </row>
    <row r="729" spans="32:38" ht="14.1" customHeight="1" x14ac:dyDescent="0.45">
      <c r="AF729" s="988">
        <f>'DIY Grundmodell'!R816</f>
        <v>45758</v>
      </c>
      <c r="AG729" s="89">
        <f>'DIY Grundmodell'!S816</f>
        <v>543.57000000000005</v>
      </c>
      <c r="AH729" s="54">
        <f>'DIY Grundmodell'!T816</f>
        <v>9589.8396900000007</v>
      </c>
      <c r="AI729" s="89">
        <f>'DIY Grundmodell'!U816</f>
        <v>543.57000000000005</v>
      </c>
      <c r="AJ729" s="89">
        <f>'DIY Grundmodell'!V816</f>
        <v>9589.8396900000007</v>
      </c>
      <c r="AK729" s="989"/>
      <c r="AL729" s="33">
        <f>'DIY Grundmodell'!X816</f>
        <v>5363.3594800000001</v>
      </c>
    </row>
    <row r="730" spans="32:38" ht="14.1" customHeight="1" x14ac:dyDescent="0.45">
      <c r="AF730" s="988">
        <f>'DIY Grundmodell'!R817</f>
        <v>45759</v>
      </c>
      <c r="AG730" s="89" t="e">
        <f>'DIY Grundmodell'!S817</f>
        <v>#N/A</v>
      </c>
      <c r="AH730" s="54" t="e">
        <f>'DIY Grundmodell'!T817</f>
        <v>#N/A</v>
      </c>
      <c r="AI730" s="89">
        <f>'DIY Grundmodell'!U817</f>
        <v>543.57000000000005</v>
      </c>
      <c r="AJ730" s="89">
        <f>'DIY Grundmodell'!V817</f>
        <v>0</v>
      </c>
      <c r="AK730" s="989"/>
      <c r="AL730" s="33">
        <f>'DIY Grundmodell'!X817</f>
        <v>5363.3594800000001</v>
      </c>
    </row>
    <row r="731" spans="32:38" ht="14.1" customHeight="1" x14ac:dyDescent="0.45">
      <c r="AF731" s="988">
        <f>'DIY Grundmodell'!R818</f>
        <v>45760</v>
      </c>
      <c r="AG731" s="89" t="e">
        <f>'DIY Grundmodell'!S818</f>
        <v>#N/A</v>
      </c>
      <c r="AH731" s="54" t="e">
        <f>'DIY Grundmodell'!T818</f>
        <v>#N/A</v>
      </c>
      <c r="AI731" s="89">
        <f>'DIY Grundmodell'!U818</f>
        <v>543.57000000000005</v>
      </c>
      <c r="AJ731" s="89">
        <f>'DIY Grundmodell'!V818</f>
        <v>0</v>
      </c>
      <c r="AK731" s="989"/>
      <c r="AL731" s="33">
        <f>'DIY Grundmodell'!X818</f>
        <v>5363.3594800000001</v>
      </c>
    </row>
    <row r="732" spans="32:38" ht="14.1" customHeight="1" x14ac:dyDescent="0.45">
      <c r="AF732" s="988">
        <f>'DIY Grundmodell'!R819</f>
        <v>45761</v>
      </c>
      <c r="AG732" s="89">
        <f>'DIY Grundmodell'!S819</f>
        <v>531.48</v>
      </c>
      <c r="AH732" s="54">
        <f>'DIY Grundmodell'!T819</f>
        <v>7510.3056100000003</v>
      </c>
      <c r="AI732" s="89">
        <f>'DIY Grundmodell'!U819</f>
        <v>531.48</v>
      </c>
      <c r="AJ732" s="89">
        <f>'DIY Grundmodell'!V819</f>
        <v>7510.3056100000003</v>
      </c>
      <c r="AK732" s="989"/>
      <c r="AL732" s="33">
        <f>'DIY Grundmodell'!X819</f>
        <v>5405.9711900000002</v>
      </c>
    </row>
    <row r="733" spans="32:38" ht="14.1" customHeight="1" x14ac:dyDescent="0.45">
      <c r="AF733" s="988">
        <f>'DIY Grundmodell'!R820</f>
        <v>45762</v>
      </c>
      <c r="AG733" s="89">
        <f>'DIY Grundmodell'!S820</f>
        <v>521.52</v>
      </c>
      <c r="AH733" s="54">
        <f>'DIY Grundmodell'!T820</f>
        <v>8114.1518400000004</v>
      </c>
      <c r="AI733" s="89">
        <f>'DIY Grundmodell'!U820</f>
        <v>521.52</v>
      </c>
      <c r="AJ733" s="89">
        <f>'DIY Grundmodell'!V820</f>
        <v>8114.1518400000004</v>
      </c>
      <c r="AK733" s="989"/>
      <c r="AL733" s="33">
        <f>'DIY Grundmodell'!X820</f>
        <v>5396.6346800000001</v>
      </c>
    </row>
    <row r="734" spans="32:38" ht="14.1" customHeight="1" x14ac:dyDescent="0.45">
      <c r="AF734" s="988">
        <f>'DIY Grundmodell'!R821</f>
        <v>45763</v>
      </c>
      <c r="AG734" s="89">
        <f>'DIY Grundmodell'!S821</f>
        <v>502.31</v>
      </c>
      <c r="AH734" s="54">
        <f>'DIY Grundmodell'!T821</f>
        <v>9410.8155200000001</v>
      </c>
      <c r="AI734" s="89">
        <f>'DIY Grundmodell'!U821</f>
        <v>502.31</v>
      </c>
      <c r="AJ734" s="89">
        <f>'DIY Grundmodell'!V821</f>
        <v>9410.8155200000001</v>
      </c>
      <c r="AK734" s="989"/>
      <c r="AL734" s="33">
        <f>'DIY Grundmodell'!X821</f>
        <v>5275.7010600000003</v>
      </c>
    </row>
    <row r="735" spans="32:38" ht="14.1" customHeight="1" x14ac:dyDescent="0.45">
      <c r="AF735" s="988">
        <f>'DIY Grundmodell'!R822</f>
        <v>45764</v>
      </c>
      <c r="AG735" s="89">
        <f>'DIY Grundmodell'!S822</f>
        <v>501.48</v>
      </c>
      <c r="AH735" s="54">
        <f>'DIY Grundmodell'!T822</f>
        <v>7318.35239</v>
      </c>
      <c r="AI735" s="89">
        <f>'DIY Grundmodell'!U822</f>
        <v>501.48</v>
      </c>
      <c r="AJ735" s="89">
        <f>'DIY Grundmodell'!V822</f>
        <v>7318.35239</v>
      </c>
      <c r="AK735" s="989"/>
      <c r="AL735" s="33">
        <f>'DIY Grundmodell'!X822</f>
        <v>5282.7010200000004</v>
      </c>
    </row>
    <row r="736" spans="32:38" ht="14.1" customHeight="1" x14ac:dyDescent="0.45">
      <c r="AF736" s="988">
        <f>'DIY Grundmodell'!R823</f>
        <v>45765</v>
      </c>
      <c r="AG736" s="89" t="e">
        <f>'DIY Grundmodell'!S823</f>
        <v>#N/A</v>
      </c>
      <c r="AH736" s="54" t="e">
        <f>'DIY Grundmodell'!T823</f>
        <v>#N/A</v>
      </c>
      <c r="AI736" s="89">
        <f>'DIY Grundmodell'!U823</f>
        <v>501.48</v>
      </c>
      <c r="AJ736" s="89">
        <f>'DIY Grundmodell'!V823</f>
        <v>0</v>
      </c>
      <c r="AK736" s="989"/>
      <c r="AL736" s="33">
        <f>'DIY Grundmodell'!X823</f>
        <v>5282.7010200000004</v>
      </c>
    </row>
    <row r="737" spans="32:38" ht="14.1" customHeight="1" x14ac:dyDescent="0.45">
      <c r="AF737" s="988">
        <f>'DIY Grundmodell'!R824</f>
        <v>45766</v>
      </c>
      <c r="AG737" s="89" t="e">
        <f>'DIY Grundmodell'!S824</f>
        <v>#N/A</v>
      </c>
      <c r="AH737" s="54" t="e">
        <f>'DIY Grundmodell'!T824</f>
        <v>#N/A</v>
      </c>
      <c r="AI737" s="89">
        <f>'DIY Grundmodell'!U824</f>
        <v>501.48</v>
      </c>
      <c r="AJ737" s="89">
        <f>'DIY Grundmodell'!V824</f>
        <v>0</v>
      </c>
      <c r="AK737" s="989"/>
      <c r="AL737" s="33">
        <f>'DIY Grundmodell'!X824</f>
        <v>5282.7010200000004</v>
      </c>
    </row>
    <row r="738" spans="32:38" ht="14.1" customHeight="1" x14ac:dyDescent="0.45">
      <c r="AF738" s="988">
        <f>'DIY Grundmodell'!R825</f>
        <v>45767</v>
      </c>
      <c r="AG738" s="89" t="e">
        <f>'DIY Grundmodell'!S825</f>
        <v>#N/A</v>
      </c>
      <c r="AH738" s="54" t="e">
        <f>'DIY Grundmodell'!T825</f>
        <v>#N/A</v>
      </c>
      <c r="AI738" s="89">
        <f>'DIY Grundmodell'!U825</f>
        <v>501.48</v>
      </c>
      <c r="AJ738" s="89">
        <f>'DIY Grundmodell'!V825</f>
        <v>0</v>
      </c>
      <c r="AK738" s="989"/>
      <c r="AL738" s="33">
        <f>'DIY Grundmodell'!X825</f>
        <v>5282.7010200000004</v>
      </c>
    </row>
    <row r="739" spans="32:38" ht="14.1" customHeight="1" x14ac:dyDescent="0.45">
      <c r="AF739" s="988">
        <f>'DIY Grundmodell'!R826</f>
        <v>45768</v>
      </c>
      <c r="AG739" s="89">
        <f>'DIY Grundmodell'!S826</f>
        <v>484.66</v>
      </c>
      <c r="AH739" s="54">
        <f>'DIY Grundmodell'!T826</f>
        <v>7835.0048399999996</v>
      </c>
      <c r="AI739" s="89">
        <f>'DIY Grundmodell'!U826</f>
        <v>484.66</v>
      </c>
      <c r="AJ739" s="89">
        <f>'DIY Grundmodell'!V826</f>
        <v>7835.0048399999996</v>
      </c>
      <c r="AK739" s="989"/>
      <c r="AL739" s="33">
        <f>'DIY Grundmodell'!X826</f>
        <v>5158.2026800000003</v>
      </c>
    </row>
    <row r="740" spans="32:38" ht="14.1" customHeight="1" x14ac:dyDescent="0.45">
      <c r="AF740" s="988">
        <f>'DIY Grundmodell'!R827</f>
        <v>45769</v>
      </c>
      <c r="AG740" s="89">
        <f>'DIY Grundmodell'!S827</f>
        <v>500.28</v>
      </c>
      <c r="AH740" s="54">
        <f>'DIY Grundmodell'!T827</f>
        <v>8704.5758299999998</v>
      </c>
      <c r="AI740" s="89">
        <f>'DIY Grundmodell'!U827</f>
        <v>500.28</v>
      </c>
      <c r="AJ740" s="89">
        <f>'DIY Grundmodell'!V827</f>
        <v>8704.5758299999998</v>
      </c>
      <c r="AK740" s="989"/>
      <c r="AL740" s="33">
        <f>'DIY Grundmodell'!X827</f>
        <v>5287.7630099999997</v>
      </c>
    </row>
    <row r="741" spans="32:38" ht="14.1" customHeight="1" x14ac:dyDescent="0.45">
      <c r="AF741" s="988">
        <f>'DIY Grundmodell'!R828</f>
        <v>45770</v>
      </c>
      <c r="AG741" s="89">
        <f>'DIY Grundmodell'!S828</f>
        <v>520.27</v>
      </c>
      <c r="AH741" s="54">
        <f>'DIY Grundmodell'!T828</f>
        <v>9455.3401599999997</v>
      </c>
      <c r="AI741" s="89">
        <f>'DIY Grundmodell'!U828</f>
        <v>520.27</v>
      </c>
      <c r="AJ741" s="89">
        <f>'DIY Grundmodell'!V828</f>
        <v>9455.3401599999997</v>
      </c>
      <c r="AK741" s="989"/>
      <c r="AL741" s="33">
        <f>'DIY Grundmodell'!X828</f>
        <v>5375.8638300000002</v>
      </c>
    </row>
    <row r="742" spans="32:38" ht="14.1" customHeight="1" x14ac:dyDescent="0.45">
      <c r="AF742" s="988">
        <f>'DIY Grundmodell'!R829</f>
        <v>45771</v>
      </c>
      <c r="AG742" s="89">
        <f>'DIY Grundmodell'!S829</f>
        <v>533.15</v>
      </c>
      <c r="AH742" s="54">
        <f>'DIY Grundmodell'!T829</f>
        <v>7416.12237</v>
      </c>
      <c r="AI742" s="89">
        <f>'DIY Grundmodell'!U829</f>
        <v>533.15</v>
      </c>
      <c r="AJ742" s="89">
        <f>'DIY Grundmodell'!V829</f>
        <v>7416.12237</v>
      </c>
      <c r="AK742" s="989"/>
      <c r="AL742" s="33">
        <f>'DIY Grundmodell'!X829</f>
        <v>5484.7738099999997</v>
      </c>
    </row>
    <row r="743" spans="32:38" ht="14.1" customHeight="1" x14ac:dyDescent="0.45">
      <c r="AF743" s="988">
        <f>'DIY Grundmodell'!R830</f>
        <v>45772</v>
      </c>
      <c r="AG743" s="89">
        <f>'DIY Grundmodell'!S830</f>
        <v>547.27</v>
      </c>
      <c r="AH743" s="54">
        <f>'DIY Grundmodell'!T830</f>
        <v>9357.7265000000007</v>
      </c>
      <c r="AI743" s="89">
        <f>'DIY Grundmodell'!U830</f>
        <v>547.27</v>
      </c>
      <c r="AJ743" s="89">
        <f>'DIY Grundmodell'!V830</f>
        <v>9357.7265000000007</v>
      </c>
      <c r="AK743" s="989"/>
      <c r="AL743" s="33">
        <f>'DIY Grundmodell'!X830</f>
        <v>5525.2051199999996</v>
      </c>
    </row>
    <row r="744" spans="32:38" ht="14.1" customHeight="1" x14ac:dyDescent="0.45">
      <c r="AF744" s="988">
        <f>'DIY Grundmodell'!R831</f>
        <v>45773</v>
      </c>
      <c r="AG744" s="89" t="e">
        <f>'DIY Grundmodell'!S831</f>
        <v>#N/A</v>
      </c>
      <c r="AH744" s="54" t="e">
        <f>'DIY Grundmodell'!T831</f>
        <v>#N/A</v>
      </c>
      <c r="AI744" s="89">
        <f>'DIY Grundmodell'!U831</f>
        <v>547.27</v>
      </c>
      <c r="AJ744" s="89">
        <f>'DIY Grundmodell'!V831</f>
        <v>0</v>
      </c>
      <c r="AK744" s="989"/>
      <c r="AL744" s="33">
        <f>'DIY Grundmodell'!X831</f>
        <v>5525.2051199999996</v>
      </c>
    </row>
    <row r="745" spans="32:38" ht="14.1" customHeight="1" x14ac:dyDescent="0.45">
      <c r="AF745" s="988">
        <f>'DIY Grundmodell'!R832</f>
        <v>45774</v>
      </c>
      <c r="AG745" s="89" t="e">
        <f>'DIY Grundmodell'!S832</f>
        <v>#N/A</v>
      </c>
      <c r="AH745" s="54" t="e">
        <f>'DIY Grundmodell'!T832</f>
        <v>#N/A</v>
      </c>
      <c r="AI745" s="89">
        <f>'DIY Grundmodell'!U832</f>
        <v>547.27</v>
      </c>
      <c r="AJ745" s="89">
        <f>'DIY Grundmodell'!V832</f>
        <v>0</v>
      </c>
      <c r="AK745" s="989"/>
      <c r="AL745" s="33">
        <f>'DIY Grundmodell'!X832</f>
        <v>5525.2051199999996</v>
      </c>
    </row>
    <row r="746" spans="32:38" ht="14.1" customHeight="1" x14ac:dyDescent="0.45">
      <c r="AF746" s="988">
        <f>'DIY Grundmodell'!R833</f>
        <v>45775</v>
      </c>
      <c r="AG746" s="89">
        <f>'DIY Grundmodell'!S833</f>
        <v>549.74</v>
      </c>
      <c r="AH746" s="54">
        <f>'DIY Grundmodell'!T833</f>
        <v>8344.5007100000003</v>
      </c>
      <c r="AI746" s="89">
        <f>'DIY Grundmodell'!U833</f>
        <v>549.74</v>
      </c>
      <c r="AJ746" s="89">
        <f>'DIY Grundmodell'!V833</f>
        <v>8344.5007100000003</v>
      </c>
      <c r="AK746" s="989"/>
      <c r="AL746" s="33">
        <f>'DIY Grundmodell'!X833</f>
        <v>5528.7457400000003</v>
      </c>
    </row>
    <row r="747" spans="32:38" ht="14.1" customHeight="1" x14ac:dyDescent="0.45">
      <c r="AF747" s="988">
        <f>'DIY Grundmodell'!R834</f>
        <v>45776</v>
      </c>
      <c r="AG747" s="89">
        <f>'DIY Grundmodell'!S834</f>
        <v>554.44000000000005</v>
      </c>
      <c r="AH747" s="54">
        <f>'DIY Grundmodell'!T834</f>
        <v>6561.81736</v>
      </c>
      <c r="AI747" s="89">
        <f>'DIY Grundmodell'!U834</f>
        <v>554.44000000000005</v>
      </c>
      <c r="AJ747" s="89">
        <f>'DIY Grundmodell'!V834</f>
        <v>6561.81736</v>
      </c>
      <c r="AK747" s="989"/>
      <c r="AL747" s="33">
        <f>'DIY Grundmodell'!X834</f>
        <v>5560.82701</v>
      </c>
    </row>
    <row r="748" spans="32:38" ht="14.1" customHeight="1" x14ac:dyDescent="0.45">
      <c r="AF748" s="988">
        <f>'DIY Grundmodell'!R835</f>
        <v>45777</v>
      </c>
      <c r="AG748" s="89">
        <f>'DIY Grundmodell'!S835</f>
        <v>549</v>
      </c>
      <c r="AH748" s="54">
        <f>'DIY Grundmodell'!T835</f>
        <v>16054.94008</v>
      </c>
      <c r="AI748" s="89">
        <f>'DIY Grundmodell'!U835</f>
        <v>549</v>
      </c>
      <c r="AJ748" s="89">
        <f>'DIY Grundmodell'!V835</f>
        <v>16054.94008</v>
      </c>
      <c r="AK748" s="989"/>
      <c r="AL748" s="33">
        <f>'DIY Grundmodell'!X835</f>
        <v>5569.0646699999998</v>
      </c>
    </row>
    <row r="749" spans="32:38" ht="14.1" customHeight="1" x14ac:dyDescent="0.45">
      <c r="AF749" s="988">
        <f>'DIY Grundmodell'!R836</f>
        <v>45778</v>
      </c>
      <c r="AG749" s="89">
        <f>'DIY Grundmodell'!S836</f>
        <v>572.21</v>
      </c>
      <c r="AH749" s="54">
        <f>'DIY Grundmodell'!T836</f>
        <v>17829.510269999999</v>
      </c>
      <c r="AI749" s="89">
        <f>'DIY Grundmodell'!U836</f>
        <v>572.21</v>
      </c>
      <c r="AJ749" s="89">
        <f>'DIY Grundmodell'!V836</f>
        <v>17829.510269999999</v>
      </c>
      <c r="AK749" s="989"/>
      <c r="AL749" s="33">
        <f>'DIY Grundmodell'!X836</f>
        <v>5604.1413300000004</v>
      </c>
    </row>
    <row r="750" spans="32:38" ht="14.1" customHeight="1" x14ac:dyDescent="0.45">
      <c r="AF750" s="988">
        <f>'DIY Grundmodell'!R837</f>
        <v>45779</v>
      </c>
      <c r="AG750" s="89">
        <f>'DIY Grundmodell'!S837</f>
        <v>597.02</v>
      </c>
      <c r="AH750" s="54">
        <f>'DIY Grundmodell'!T837</f>
        <v>14769.83301</v>
      </c>
      <c r="AI750" s="89">
        <f>'DIY Grundmodell'!U837</f>
        <v>597.02</v>
      </c>
      <c r="AJ750" s="89">
        <f>'DIY Grundmodell'!V837</f>
        <v>14769.83301</v>
      </c>
      <c r="AK750" s="989"/>
      <c r="AL750" s="33">
        <f>'DIY Grundmodell'!X837</f>
        <v>5686.6748299999999</v>
      </c>
    </row>
    <row r="751" spans="32:38" ht="14.1" customHeight="1" x14ac:dyDescent="0.45">
      <c r="AF751" s="988">
        <f>'DIY Grundmodell'!R838</f>
        <v>45780</v>
      </c>
      <c r="AG751" s="89" t="e">
        <f>'DIY Grundmodell'!S838</f>
        <v>#N/A</v>
      </c>
      <c r="AH751" s="54" t="e">
        <f>'DIY Grundmodell'!T838</f>
        <v>#N/A</v>
      </c>
      <c r="AI751" s="89">
        <f>'DIY Grundmodell'!U838</f>
        <v>597.02</v>
      </c>
      <c r="AJ751" s="89">
        <f>'DIY Grundmodell'!V838</f>
        <v>0</v>
      </c>
      <c r="AK751" s="989"/>
      <c r="AL751" s="33">
        <f>'DIY Grundmodell'!X838</f>
        <v>5686.6748299999999</v>
      </c>
    </row>
    <row r="752" spans="32:38" ht="14.1" customHeight="1" x14ac:dyDescent="0.45">
      <c r="AF752" s="988">
        <f>'DIY Grundmodell'!R839</f>
        <v>45781</v>
      </c>
      <c r="AG752" s="89" t="e">
        <f>'DIY Grundmodell'!S839</f>
        <v>#N/A</v>
      </c>
      <c r="AH752" s="54" t="e">
        <f>'DIY Grundmodell'!T839</f>
        <v>#N/A</v>
      </c>
      <c r="AI752" s="89">
        <f>'DIY Grundmodell'!U839</f>
        <v>597.02</v>
      </c>
      <c r="AJ752" s="89">
        <f>'DIY Grundmodell'!V839</f>
        <v>0</v>
      </c>
      <c r="AK752" s="989"/>
      <c r="AL752" s="33">
        <f>'DIY Grundmodell'!X839</f>
        <v>5686.6748299999999</v>
      </c>
    </row>
    <row r="753" spans="32:38" ht="14.1" customHeight="1" x14ac:dyDescent="0.45">
      <c r="AF753" s="988">
        <f>'DIY Grundmodell'!R840</f>
        <v>45782</v>
      </c>
      <c r="AG753" s="89">
        <f>'DIY Grundmodell'!S840</f>
        <v>599.27</v>
      </c>
      <c r="AH753" s="54">
        <f>'DIY Grundmodell'!T840</f>
        <v>8322.4963599999992</v>
      </c>
      <c r="AI753" s="89">
        <f>'DIY Grundmodell'!U840</f>
        <v>599.27</v>
      </c>
      <c r="AJ753" s="89">
        <f>'DIY Grundmodell'!V840</f>
        <v>8322.4963599999992</v>
      </c>
      <c r="AK753" s="989"/>
      <c r="AL753" s="33">
        <f>'DIY Grundmodell'!X840</f>
        <v>5650.3816699999998</v>
      </c>
    </row>
    <row r="754" spans="32:38" ht="14.1" customHeight="1" x14ac:dyDescent="0.45">
      <c r="AF754" s="988">
        <f>'DIY Grundmodell'!R841</f>
        <v>45783</v>
      </c>
      <c r="AG754" s="89">
        <f>'DIY Grundmodell'!S841</f>
        <v>587.30999999999995</v>
      </c>
      <c r="AH754" s="54">
        <f>'DIY Grundmodell'!T841</f>
        <v>6225.8677500000003</v>
      </c>
      <c r="AI754" s="89">
        <f>'DIY Grundmodell'!U841</f>
        <v>587.30999999999995</v>
      </c>
      <c r="AJ754" s="89">
        <f>'DIY Grundmodell'!V841</f>
        <v>6225.8677500000003</v>
      </c>
      <c r="AK754" s="989"/>
      <c r="AL754" s="33">
        <f>'DIY Grundmodell'!X841</f>
        <v>5606.9067999999997</v>
      </c>
    </row>
    <row r="755" spans="32:38" ht="14.1" customHeight="1" x14ac:dyDescent="0.45">
      <c r="AF755" s="988">
        <f>'DIY Grundmodell'!R842</f>
        <v>45784</v>
      </c>
      <c r="AG755" s="89">
        <f>'DIY Grundmodell'!S842</f>
        <v>596.80999999999995</v>
      </c>
      <c r="AH755" s="54">
        <f>'DIY Grundmodell'!T842</f>
        <v>7854.6020900000003</v>
      </c>
      <c r="AI755" s="89">
        <f>'DIY Grundmodell'!U842</f>
        <v>596.80999999999995</v>
      </c>
      <c r="AJ755" s="89">
        <f>'DIY Grundmodell'!V842</f>
        <v>7854.6020900000003</v>
      </c>
      <c r="AK755" s="989"/>
      <c r="AL755" s="33">
        <f>'DIY Grundmodell'!X842</f>
        <v>5631.28431</v>
      </c>
    </row>
    <row r="756" spans="32:38" ht="14.1" customHeight="1" x14ac:dyDescent="0.45">
      <c r="AF756" s="988">
        <f>'DIY Grundmodell'!R843</f>
        <v>45785</v>
      </c>
      <c r="AG756" s="89">
        <f>'DIY Grundmodell'!S843</f>
        <v>598.01</v>
      </c>
      <c r="AH756" s="54">
        <f>'DIY Grundmodell'!T843</f>
        <v>8744.5836199999994</v>
      </c>
      <c r="AI756" s="89">
        <f>'DIY Grundmodell'!U843</f>
        <v>598.01</v>
      </c>
      <c r="AJ756" s="89">
        <f>'DIY Grundmodell'!V843</f>
        <v>8744.5836199999994</v>
      </c>
      <c r="AK756" s="989"/>
      <c r="AL756" s="33">
        <f>'DIY Grundmodell'!X843</f>
        <v>5663.9393099999998</v>
      </c>
    </row>
    <row r="757" spans="32:38" ht="14.1" customHeight="1" x14ac:dyDescent="0.45">
      <c r="AF757" s="988">
        <f>'DIY Grundmodell'!R844</f>
        <v>45786</v>
      </c>
      <c r="AG757" s="89">
        <f>'DIY Grundmodell'!S844</f>
        <v>592.49</v>
      </c>
      <c r="AH757" s="54">
        <f>'DIY Grundmodell'!T844</f>
        <v>6178.06268</v>
      </c>
      <c r="AI757" s="89">
        <f>'DIY Grundmodell'!U844</f>
        <v>592.49</v>
      </c>
      <c r="AJ757" s="89">
        <f>'DIY Grundmodell'!V844</f>
        <v>6178.06268</v>
      </c>
      <c r="AK757" s="989"/>
      <c r="AL757" s="33">
        <f>'DIY Grundmodell'!X844</f>
        <v>5659.9122500000003</v>
      </c>
    </row>
    <row r="758" spans="32:38" ht="14.1" customHeight="1" x14ac:dyDescent="0.45">
      <c r="AF758" s="988">
        <f>'DIY Grundmodell'!R845</f>
        <v>45787</v>
      </c>
      <c r="AG758" s="89" t="e">
        <f>'DIY Grundmodell'!S845</f>
        <v>#N/A</v>
      </c>
      <c r="AH758" s="54" t="e">
        <f>'DIY Grundmodell'!T845</f>
        <v>#N/A</v>
      </c>
      <c r="AI758" s="89">
        <f>'DIY Grundmodell'!U845</f>
        <v>592.49</v>
      </c>
      <c r="AJ758" s="89">
        <f>'DIY Grundmodell'!V845</f>
        <v>0</v>
      </c>
      <c r="AK758" s="989"/>
      <c r="AL758" s="33">
        <f>'DIY Grundmodell'!X845</f>
        <v>5659.9122500000003</v>
      </c>
    </row>
    <row r="759" spans="32:38" ht="14.1" customHeight="1" x14ac:dyDescent="0.45">
      <c r="AF759" s="988">
        <f>'DIY Grundmodell'!R846</f>
        <v>45788</v>
      </c>
      <c r="AG759" s="89" t="e">
        <f>'DIY Grundmodell'!S846</f>
        <v>#N/A</v>
      </c>
      <c r="AH759" s="54" t="e">
        <f>'DIY Grundmodell'!T846</f>
        <v>#N/A</v>
      </c>
      <c r="AI759" s="89">
        <f>'DIY Grundmodell'!U846</f>
        <v>592.49</v>
      </c>
      <c r="AJ759" s="89">
        <f>'DIY Grundmodell'!V846</f>
        <v>0</v>
      </c>
      <c r="AK759" s="989"/>
      <c r="AL759" s="33">
        <f>'DIY Grundmodell'!X846</f>
        <v>5659.9122500000003</v>
      </c>
    </row>
    <row r="760" spans="32:38" ht="14.1" customHeight="1" x14ac:dyDescent="0.45">
      <c r="AF760" s="988">
        <f>'DIY Grundmodell'!R847</f>
        <v>45789</v>
      </c>
      <c r="AG760" s="89">
        <f>'DIY Grundmodell'!S847</f>
        <v>639.42999999999995</v>
      </c>
      <c r="AH760" s="54">
        <f>'DIY Grundmodell'!T847</f>
        <v>14045.1343</v>
      </c>
      <c r="AI760" s="89">
        <f>'DIY Grundmodell'!U847</f>
        <v>639.42999999999995</v>
      </c>
      <c r="AJ760" s="89">
        <f>'DIY Grundmodell'!V847</f>
        <v>14045.1343</v>
      </c>
      <c r="AK760" s="989"/>
      <c r="AL760" s="33">
        <f>'DIY Grundmodell'!X847</f>
        <v>5844.1866900000005</v>
      </c>
    </row>
    <row r="761" spans="32:38" ht="14.1" customHeight="1" x14ac:dyDescent="0.45">
      <c r="AF761" s="988">
        <f>'DIY Grundmodell'!R848</f>
        <v>45790</v>
      </c>
      <c r="AG761" s="89">
        <f>'DIY Grundmodell'!S848</f>
        <v>656.03</v>
      </c>
      <c r="AH761" s="54">
        <f>'DIY Grundmodell'!T848</f>
        <v>12183.0157</v>
      </c>
      <c r="AI761" s="89">
        <f>'DIY Grundmodell'!U848</f>
        <v>656.03</v>
      </c>
      <c r="AJ761" s="89">
        <f>'DIY Grundmodell'!V848</f>
        <v>12183.0157</v>
      </c>
      <c r="AK761" s="989"/>
      <c r="AL761" s="33">
        <f>'DIY Grundmodell'!X848</f>
        <v>5886.5528100000001</v>
      </c>
    </row>
    <row r="762" spans="32:38" ht="14.1" customHeight="1" x14ac:dyDescent="0.45">
      <c r="AF762" s="988">
        <f>'DIY Grundmodell'!R849</f>
        <v>45791</v>
      </c>
      <c r="AG762" s="89">
        <f>'DIY Grundmodell'!S849</f>
        <v>659.36</v>
      </c>
      <c r="AH762" s="54">
        <f>'DIY Grundmodell'!T849</f>
        <v>8141.8953099999999</v>
      </c>
      <c r="AI762" s="89">
        <f>'DIY Grundmodell'!U849</f>
        <v>659.36</v>
      </c>
      <c r="AJ762" s="89">
        <f>'DIY Grundmodell'!V849</f>
        <v>8141.8953099999999</v>
      </c>
      <c r="AK762" s="989"/>
      <c r="AL762" s="33">
        <f>'DIY Grundmodell'!X849</f>
        <v>5892.5844900000002</v>
      </c>
    </row>
    <row r="763" spans="32:38" ht="14.1" customHeight="1" x14ac:dyDescent="0.45">
      <c r="AF763" s="988">
        <f>'DIY Grundmodell'!R850</f>
        <v>45792</v>
      </c>
      <c r="AG763" s="89">
        <f>'DIY Grundmodell'!S850</f>
        <v>643.88</v>
      </c>
      <c r="AH763" s="54">
        <f>'DIY Grundmodell'!T850</f>
        <v>9234.4207200000001</v>
      </c>
      <c r="AI763" s="89">
        <f>'DIY Grundmodell'!U850</f>
        <v>643.88</v>
      </c>
      <c r="AJ763" s="89">
        <f>'DIY Grundmodell'!V850</f>
        <v>9234.4207200000001</v>
      </c>
      <c r="AK763" s="989"/>
      <c r="AL763" s="33">
        <f>'DIY Grundmodell'!X850</f>
        <v>5916.9260800000002</v>
      </c>
    </row>
    <row r="764" spans="32:38" ht="14.1" customHeight="1" x14ac:dyDescent="0.45">
      <c r="AF764" s="988">
        <f>'DIY Grundmodell'!R851</f>
        <v>45793</v>
      </c>
      <c r="AG764" s="89">
        <f>'DIY Grundmodell'!S851</f>
        <v>640.34</v>
      </c>
      <c r="AH764" s="54">
        <f>'DIY Grundmodell'!T851</f>
        <v>11858.438529999999</v>
      </c>
      <c r="AI764" s="89">
        <f>'DIY Grundmodell'!U851</f>
        <v>640.34</v>
      </c>
      <c r="AJ764" s="89">
        <f>'DIY Grundmodell'!V851</f>
        <v>11858.438529999999</v>
      </c>
      <c r="AK764" s="989"/>
      <c r="AL764" s="33">
        <f>'DIY Grundmodell'!X851</f>
        <v>5958.3755300000003</v>
      </c>
    </row>
    <row r="765" spans="32:38" ht="14.1" customHeight="1" x14ac:dyDescent="0.45">
      <c r="AF765" s="988">
        <f>'DIY Grundmodell'!R852</f>
        <v>45794</v>
      </c>
      <c r="AG765" s="89" t="e">
        <f>'DIY Grundmodell'!S852</f>
        <v>#N/A</v>
      </c>
      <c r="AH765" s="54" t="e">
        <f>'DIY Grundmodell'!T852</f>
        <v>#N/A</v>
      </c>
      <c r="AI765" s="89">
        <f>'DIY Grundmodell'!U852</f>
        <v>640.34</v>
      </c>
      <c r="AJ765" s="89">
        <f>'DIY Grundmodell'!V852</f>
        <v>0</v>
      </c>
      <c r="AK765" s="989"/>
      <c r="AL765" s="33">
        <f>'DIY Grundmodell'!X852</f>
        <v>5958.3755300000003</v>
      </c>
    </row>
    <row r="766" spans="32:38" ht="14.1" customHeight="1" x14ac:dyDescent="0.45">
      <c r="AF766" s="988">
        <f>'DIY Grundmodell'!R853</f>
        <v>45795</v>
      </c>
      <c r="AG766" s="89" t="e">
        <f>'DIY Grundmodell'!S853</f>
        <v>#N/A</v>
      </c>
      <c r="AH766" s="54" t="e">
        <f>'DIY Grundmodell'!T853</f>
        <v>#N/A</v>
      </c>
      <c r="AI766" s="89">
        <f>'DIY Grundmodell'!U853</f>
        <v>640.34</v>
      </c>
      <c r="AJ766" s="89">
        <f>'DIY Grundmodell'!V853</f>
        <v>0</v>
      </c>
      <c r="AK766" s="989"/>
      <c r="AL766" s="33">
        <f>'DIY Grundmodell'!X853</f>
        <v>5958.3755300000003</v>
      </c>
    </row>
    <row r="767" spans="32:38" ht="14.1" customHeight="1" x14ac:dyDescent="0.45">
      <c r="AF767" s="988">
        <f>'DIY Grundmodell'!R854</f>
        <v>45796</v>
      </c>
      <c r="AG767" s="89">
        <f>'DIY Grundmodell'!S854</f>
        <v>640.42999999999995</v>
      </c>
      <c r="AH767" s="54">
        <f>'DIY Grundmodell'!T854</f>
        <v>6143.2440800000004</v>
      </c>
      <c r="AI767" s="89">
        <f>'DIY Grundmodell'!U854</f>
        <v>640.42999999999995</v>
      </c>
      <c r="AJ767" s="89">
        <f>'DIY Grundmodell'!V854</f>
        <v>6143.2440800000004</v>
      </c>
      <c r="AK767" s="989"/>
      <c r="AL767" s="33">
        <f>'DIY Grundmodell'!X854</f>
        <v>5963.6043499999996</v>
      </c>
    </row>
    <row r="768" spans="32:38" ht="14.1" customHeight="1" x14ac:dyDescent="0.45">
      <c r="AF768" s="988">
        <f>'DIY Grundmodell'!R855</f>
        <v>45797</v>
      </c>
      <c r="AG768" s="89">
        <f>'DIY Grundmodell'!S855</f>
        <v>637.1</v>
      </c>
      <c r="AH768" s="54">
        <f>'DIY Grundmodell'!T855</f>
        <v>4296.2666499999996</v>
      </c>
      <c r="AI768" s="89">
        <f>'DIY Grundmodell'!U855</f>
        <v>637.1</v>
      </c>
      <c r="AJ768" s="89">
        <f>'DIY Grundmodell'!V855</f>
        <v>4296.2666499999996</v>
      </c>
      <c r="AK768" s="989"/>
      <c r="AL768" s="33">
        <f>'DIY Grundmodell'!X855</f>
        <v>5940.4637499999999</v>
      </c>
    </row>
    <row r="769" spans="32:38" ht="14.1" customHeight="1" x14ac:dyDescent="0.45">
      <c r="AF769" s="988">
        <f>'DIY Grundmodell'!R856</f>
        <v>45798</v>
      </c>
      <c r="AG769" s="89">
        <f>'DIY Grundmodell'!S856</f>
        <v>635.5</v>
      </c>
      <c r="AH769" s="54">
        <f>'DIY Grundmodell'!T856</f>
        <v>7285.7335999999996</v>
      </c>
      <c r="AI769" s="89">
        <f>'DIY Grundmodell'!U856</f>
        <v>635.5</v>
      </c>
      <c r="AJ769" s="89">
        <f>'DIY Grundmodell'!V856</f>
        <v>7285.7335999999996</v>
      </c>
      <c r="AK769" s="989"/>
      <c r="AL769" s="33">
        <f>'DIY Grundmodell'!X856</f>
        <v>5844.6121300000004</v>
      </c>
    </row>
    <row r="770" spans="32:38" ht="14.1" customHeight="1" x14ac:dyDescent="0.45">
      <c r="AF770" s="988">
        <f>'DIY Grundmodell'!R857</f>
        <v>45799</v>
      </c>
      <c r="AG770" s="89">
        <f>'DIY Grundmodell'!S857</f>
        <v>636.57000000000005</v>
      </c>
      <c r="AH770" s="54">
        <f>'DIY Grundmodell'!T857</f>
        <v>5237.9799599999997</v>
      </c>
      <c r="AI770" s="89">
        <f>'DIY Grundmodell'!U857</f>
        <v>636.57000000000005</v>
      </c>
      <c r="AJ770" s="89">
        <f>'DIY Grundmodell'!V857</f>
        <v>5237.9799599999997</v>
      </c>
      <c r="AK770" s="989"/>
      <c r="AL770" s="33">
        <f>'DIY Grundmodell'!X857</f>
        <v>5842.0083100000002</v>
      </c>
    </row>
    <row r="771" spans="32:38" ht="14.1" customHeight="1" x14ac:dyDescent="0.45">
      <c r="AF771" s="988">
        <f>'DIY Grundmodell'!R858</f>
        <v>45800</v>
      </c>
      <c r="AG771" s="89">
        <f>'DIY Grundmodell'!S858</f>
        <v>627.05999999999995</v>
      </c>
      <c r="AH771" s="54">
        <f>'DIY Grundmodell'!T858</f>
        <v>5301.2072500000004</v>
      </c>
      <c r="AI771" s="89">
        <f>'DIY Grundmodell'!U858</f>
        <v>627.05999999999995</v>
      </c>
      <c r="AJ771" s="89">
        <f>'DIY Grundmodell'!V858</f>
        <v>5301.2072500000004</v>
      </c>
      <c r="AK771" s="989"/>
      <c r="AL771" s="33">
        <f>'DIY Grundmodell'!X858</f>
        <v>5802.8150800000003</v>
      </c>
    </row>
    <row r="772" spans="32:38" ht="14.1" customHeight="1" x14ac:dyDescent="0.45">
      <c r="AF772" s="988">
        <f>'DIY Grundmodell'!R859</f>
        <v>45801</v>
      </c>
      <c r="AG772" s="89" t="e">
        <f>'DIY Grundmodell'!S859</f>
        <v>#N/A</v>
      </c>
      <c r="AH772" s="54" t="e">
        <f>'DIY Grundmodell'!T859</f>
        <v>#N/A</v>
      </c>
      <c r="AI772" s="89">
        <f>'DIY Grundmodell'!U859</f>
        <v>627.05999999999995</v>
      </c>
      <c r="AJ772" s="89">
        <f>'DIY Grundmodell'!V859</f>
        <v>0</v>
      </c>
      <c r="AK772" s="989"/>
      <c r="AL772" s="33">
        <f>'DIY Grundmodell'!X859</f>
        <v>5802.8150800000003</v>
      </c>
    </row>
    <row r="773" spans="32:38" ht="14.1" customHeight="1" x14ac:dyDescent="0.45">
      <c r="AF773" s="988">
        <f>'DIY Grundmodell'!R860</f>
        <v>45802</v>
      </c>
      <c r="AG773" s="89" t="e">
        <f>'DIY Grundmodell'!S860</f>
        <v>#N/A</v>
      </c>
      <c r="AH773" s="54" t="e">
        <f>'DIY Grundmodell'!T860</f>
        <v>#N/A</v>
      </c>
      <c r="AI773" s="89">
        <f>'DIY Grundmodell'!U860</f>
        <v>627.05999999999995</v>
      </c>
      <c r="AJ773" s="89">
        <f>'DIY Grundmodell'!V860</f>
        <v>0</v>
      </c>
      <c r="AK773" s="989"/>
      <c r="AL773" s="33">
        <f>'DIY Grundmodell'!X860</f>
        <v>5802.8150800000003</v>
      </c>
    </row>
    <row r="774" spans="32:38" ht="14.1" customHeight="1" x14ac:dyDescent="0.45">
      <c r="AF774" s="988">
        <f>'DIY Grundmodell'!R861</f>
        <v>45803</v>
      </c>
      <c r="AG774" s="89" t="e">
        <f>'DIY Grundmodell'!S861</f>
        <v>#N/A</v>
      </c>
      <c r="AH774" s="54" t="e">
        <f>'DIY Grundmodell'!T861</f>
        <v>#N/A</v>
      </c>
      <c r="AI774" s="89">
        <f>'DIY Grundmodell'!U861</f>
        <v>627.05999999999995</v>
      </c>
      <c r="AJ774" s="89">
        <f>'DIY Grundmodell'!V861</f>
        <v>0</v>
      </c>
      <c r="AK774" s="989"/>
      <c r="AL774" s="33">
        <f>'DIY Grundmodell'!X861</f>
        <v>5802.8150800000003</v>
      </c>
    </row>
    <row r="775" spans="32:38" ht="14.1" customHeight="1" x14ac:dyDescent="0.45">
      <c r="AF775" s="988">
        <f>'DIY Grundmodell'!R862</f>
        <v>45804</v>
      </c>
      <c r="AG775" s="89">
        <f>'DIY Grundmodell'!S862</f>
        <v>642.32000000000005</v>
      </c>
      <c r="AH775" s="54">
        <f>'DIY Grundmodell'!T862</f>
        <v>6107.4142899999997</v>
      </c>
      <c r="AI775" s="89">
        <f>'DIY Grundmodell'!U862</f>
        <v>642.32000000000005</v>
      </c>
      <c r="AJ775" s="89">
        <f>'DIY Grundmodell'!V862</f>
        <v>6107.4142899999997</v>
      </c>
      <c r="AK775" s="989"/>
      <c r="AL775" s="33">
        <f>'DIY Grundmodell'!X862</f>
        <v>5921.5403500000002</v>
      </c>
    </row>
    <row r="776" spans="32:38" ht="14.1" customHeight="1" x14ac:dyDescent="0.45">
      <c r="AF776" s="988">
        <f>'DIY Grundmodell'!R863</f>
        <v>45805</v>
      </c>
      <c r="AG776" s="89">
        <f>'DIY Grundmodell'!S863</f>
        <v>643.58000000000004</v>
      </c>
      <c r="AH776" s="54">
        <f>'DIY Grundmodell'!T863</f>
        <v>5819.8128500000003</v>
      </c>
      <c r="AI776" s="89">
        <f>'DIY Grundmodell'!U863</f>
        <v>643.58000000000004</v>
      </c>
      <c r="AJ776" s="89">
        <f>'DIY Grundmodell'!V863</f>
        <v>5819.8128500000003</v>
      </c>
      <c r="AK776" s="989"/>
      <c r="AL776" s="33">
        <f>'DIY Grundmodell'!X863</f>
        <v>5888.5525799999996</v>
      </c>
    </row>
    <row r="777" spans="32:38" ht="14.1" customHeight="1" x14ac:dyDescent="0.45">
      <c r="AF777" s="988">
        <f>'DIY Grundmodell'!R864</f>
        <v>45806</v>
      </c>
      <c r="AG777" s="89">
        <f>'DIY Grundmodell'!S864</f>
        <v>645.04999999999995</v>
      </c>
      <c r="AH777" s="54">
        <f>'DIY Grundmodell'!T864</f>
        <v>5730.2603900000004</v>
      </c>
      <c r="AI777" s="89">
        <f>'DIY Grundmodell'!U864</f>
        <v>645.04999999999995</v>
      </c>
      <c r="AJ777" s="89">
        <f>'DIY Grundmodell'!V864</f>
        <v>5730.2603900000004</v>
      </c>
      <c r="AK777" s="989"/>
      <c r="AL777" s="33">
        <f>'DIY Grundmodell'!X864</f>
        <v>5912.1727199999996</v>
      </c>
    </row>
    <row r="778" spans="32:38" ht="14.1" customHeight="1" x14ac:dyDescent="0.45">
      <c r="AF778" s="988">
        <f>'DIY Grundmodell'!R865</f>
        <v>45807</v>
      </c>
      <c r="AG778" s="89">
        <f>'DIY Grundmodell'!S865</f>
        <v>647.49</v>
      </c>
      <c r="AH778" s="54">
        <f>'DIY Grundmodell'!T865</f>
        <v>10515.853359999999</v>
      </c>
      <c r="AI778" s="89">
        <f>'DIY Grundmodell'!U865</f>
        <v>647.49</v>
      </c>
      <c r="AJ778" s="89">
        <f>'DIY Grundmodell'!V865</f>
        <v>10515.853359999999</v>
      </c>
      <c r="AK778" s="989"/>
      <c r="AL778" s="33">
        <f>'DIY Grundmodell'!X865</f>
        <v>5911.6867199999997</v>
      </c>
    </row>
    <row r="779" spans="32:38" ht="14.1" customHeight="1" x14ac:dyDescent="0.45">
      <c r="AF779" s="988">
        <f>'DIY Grundmodell'!R866</f>
        <v>45808</v>
      </c>
      <c r="AG779" s="89" t="e">
        <f>'DIY Grundmodell'!S866</f>
        <v>#N/A</v>
      </c>
      <c r="AH779" s="54" t="e">
        <f>'DIY Grundmodell'!T866</f>
        <v>#N/A</v>
      </c>
      <c r="AI779" s="89">
        <f>'DIY Grundmodell'!U866</f>
        <v>647.49</v>
      </c>
      <c r="AJ779" s="89">
        <f>'DIY Grundmodell'!V866</f>
        <v>0</v>
      </c>
      <c r="AK779" s="989"/>
      <c r="AL779" s="33">
        <f>'DIY Grundmodell'!X866</f>
        <v>5911.6867199999997</v>
      </c>
    </row>
    <row r="780" spans="32:38" ht="14.1" customHeight="1" x14ac:dyDescent="0.45">
      <c r="AF780" s="988">
        <f>'DIY Grundmodell'!R867</f>
        <v>45809</v>
      </c>
      <c r="AG780" s="89" t="e">
        <f>'DIY Grundmodell'!S867</f>
        <v>#N/A</v>
      </c>
      <c r="AH780" s="54" t="e">
        <f>'DIY Grundmodell'!T867</f>
        <v>#N/A</v>
      </c>
      <c r="AI780" s="89">
        <f>'DIY Grundmodell'!U867</f>
        <v>647.49</v>
      </c>
      <c r="AJ780" s="89">
        <f>'DIY Grundmodell'!V867</f>
        <v>0</v>
      </c>
      <c r="AK780" s="989"/>
      <c r="AL780" s="33">
        <f>'DIY Grundmodell'!X867</f>
        <v>5911.6867199999997</v>
      </c>
    </row>
    <row r="781" spans="32:38" ht="14.1" customHeight="1" x14ac:dyDescent="0.45">
      <c r="AF781" s="988">
        <f>'DIY Grundmodell'!R868</f>
        <v>45810</v>
      </c>
      <c r="AG781" s="89">
        <f>'DIY Grundmodell'!S868</f>
        <v>670.9</v>
      </c>
      <c r="AH781" s="54">
        <f>'DIY Grundmodell'!T868</f>
        <v>10577.582490000001</v>
      </c>
      <c r="AI781" s="89">
        <f>'DIY Grundmodell'!U868</f>
        <v>670.9</v>
      </c>
      <c r="AJ781" s="89">
        <f>'DIY Grundmodell'!V868</f>
        <v>10577.582490000001</v>
      </c>
      <c r="AK781" s="989"/>
      <c r="AL781" s="33">
        <f>'DIY Grundmodell'!X868</f>
        <v>5935.9409599999999</v>
      </c>
    </row>
    <row r="782" spans="32:38" ht="14.1" customHeight="1" x14ac:dyDescent="0.45">
      <c r="AF782" s="988">
        <f>'DIY Grundmodell'!R869</f>
        <v>45811</v>
      </c>
      <c r="AG782" s="89">
        <f>'DIY Grundmodell'!S869</f>
        <v>666.85</v>
      </c>
      <c r="AH782" s="54">
        <f>'DIY Grundmodell'!T869</f>
        <v>7725.4779200000003</v>
      </c>
      <c r="AI782" s="89">
        <f>'DIY Grundmodell'!U869</f>
        <v>666.85</v>
      </c>
      <c r="AJ782" s="89">
        <f>'DIY Grundmodell'!V869</f>
        <v>7725.4779200000003</v>
      </c>
      <c r="AK782" s="989"/>
      <c r="AL782" s="33">
        <f>'DIY Grundmodell'!X869</f>
        <v>5970.3682399999998</v>
      </c>
    </row>
    <row r="783" spans="32:38" ht="14.1" customHeight="1" x14ac:dyDescent="0.45">
      <c r="AF783" s="988">
        <f>'DIY Grundmodell'!R870</f>
        <v>45812</v>
      </c>
      <c r="AG783" s="89">
        <f>'DIY Grundmodell'!S870</f>
        <v>687.95</v>
      </c>
      <c r="AH783" s="54">
        <f>'DIY Grundmodell'!T870</f>
        <v>9653.2669299999998</v>
      </c>
      <c r="AI783" s="89">
        <f>'DIY Grundmodell'!U870</f>
        <v>687.95</v>
      </c>
      <c r="AJ783" s="89">
        <f>'DIY Grundmodell'!V870</f>
        <v>9653.2669299999998</v>
      </c>
      <c r="AK783" s="989"/>
      <c r="AL783" s="33">
        <f>'DIY Grundmodell'!X870</f>
        <v>5970.8132400000004</v>
      </c>
    </row>
    <row r="784" spans="32:38" ht="14.1" customHeight="1" x14ac:dyDescent="0.45">
      <c r="AF784" s="988">
        <f>'DIY Grundmodell'!R871</f>
        <v>45813</v>
      </c>
      <c r="AG784" s="89">
        <f>'DIY Grundmodell'!S871</f>
        <v>684.62</v>
      </c>
      <c r="AH784" s="54">
        <f>'DIY Grundmodell'!T871</f>
        <v>8982.4437500000004</v>
      </c>
      <c r="AI784" s="89">
        <f>'DIY Grundmodell'!U871</f>
        <v>684.62</v>
      </c>
      <c r="AJ784" s="89">
        <f>'DIY Grundmodell'!V871</f>
        <v>8982.4437500000004</v>
      </c>
      <c r="AK784" s="989"/>
      <c r="AL784" s="33">
        <f>'DIY Grundmodell'!X871</f>
        <v>5939.30332</v>
      </c>
    </row>
    <row r="785" spans="32:38" ht="14.1" customHeight="1" x14ac:dyDescent="0.45">
      <c r="AF785" s="988">
        <f>'DIY Grundmodell'!R872</f>
        <v>45814</v>
      </c>
      <c r="AG785" s="89">
        <f>'DIY Grundmodell'!S872</f>
        <v>697.71</v>
      </c>
      <c r="AH785" s="54">
        <f>'DIY Grundmodell'!T872</f>
        <v>8182.7156699999996</v>
      </c>
      <c r="AI785" s="89">
        <f>'DIY Grundmodell'!U872</f>
        <v>697.71</v>
      </c>
      <c r="AJ785" s="89">
        <f>'DIY Grundmodell'!V872</f>
        <v>8182.7156699999996</v>
      </c>
      <c r="AK785" s="989"/>
      <c r="AL785" s="33">
        <f>'DIY Grundmodell'!X872</f>
        <v>6000.3551299999999</v>
      </c>
    </row>
    <row r="786" spans="32:38" ht="14.1" customHeight="1" x14ac:dyDescent="0.45">
      <c r="AF786" s="988">
        <f>'DIY Grundmodell'!R873</f>
        <v>45815</v>
      </c>
      <c r="AG786" s="89" t="e">
        <f>'DIY Grundmodell'!S873</f>
        <v>#N/A</v>
      </c>
      <c r="AH786" s="54" t="e">
        <f>'DIY Grundmodell'!T873</f>
        <v>#N/A</v>
      </c>
      <c r="AI786" s="89">
        <f>'DIY Grundmodell'!U873</f>
        <v>697.71</v>
      </c>
      <c r="AJ786" s="89">
        <f>'DIY Grundmodell'!V873</f>
        <v>0</v>
      </c>
      <c r="AK786" s="989"/>
      <c r="AL786" s="33">
        <f>'DIY Grundmodell'!X873</f>
        <v>6000.3551299999999</v>
      </c>
    </row>
    <row r="787" spans="32:38" ht="14.1" customHeight="1" x14ac:dyDescent="0.45">
      <c r="AF787" s="988">
        <f>'DIY Grundmodell'!R874</f>
        <v>45816</v>
      </c>
      <c r="AG787" s="89" t="e">
        <f>'DIY Grundmodell'!S874</f>
        <v>#N/A</v>
      </c>
      <c r="AH787" s="54" t="e">
        <f>'DIY Grundmodell'!T874</f>
        <v>#N/A</v>
      </c>
      <c r="AI787" s="89">
        <f>'DIY Grundmodell'!U874</f>
        <v>697.71</v>
      </c>
      <c r="AJ787" s="89">
        <f>'DIY Grundmodell'!V874</f>
        <v>0</v>
      </c>
      <c r="AK787" s="989"/>
      <c r="AL787" s="33">
        <f>'DIY Grundmodell'!X874</f>
        <v>6000.3551299999999</v>
      </c>
    </row>
    <row r="788" spans="32:38" ht="14.1" customHeight="1" x14ac:dyDescent="0.45">
      <c r="AF788" s="988">
        <f>'DIY Grundmodell'!R875</f>
        <v>45817</v>
      </c>
      <c r="AG788" s="89">
        <f>'DIY Grundmodell'!S875</f>
        <v>694.06</v>
      </c>
      <c r="AH788" s="54">
        <f>'DIY Grundmodell'!T875</f>
        <v>8865.38177</v>
      </c>
      <c r="AI788" s="89">
        <f>'DIY Grundmodell'!U875</f>
        <v>694.06</v>
      </c>
      <c r="AJ788" s="89">
        <f>'DIY Grundmodell'!V875</f>
        <v>8865.38177</v>
      </c>
      <c r="AK788" s="989"/>
      <c r="AL788" s="33">
        <f>'DIY Grundmodell'!X875</f>
        <v>6005.88346</v>
      </c>
    </row>
    <row r="789" spans="32:38" ht="14.1" customHeight="1" x14ac:dyDescent="0.45">
      <c r="AF789" s="988">
        <f>'DIY Grundmodell'!R876</f>
        <v>45818</v>
      </c>
      <c r="AG789" s="89">
        <f>'DIY Grundmodell'!S876</f>
        <v>702.4</v>
      </c>
      <c r="AH789" s="54">
        <f>'DIY Grundmodell'!T876</f>
        <v>7621.1425499999996</v>
      </c>
      <c r="AI789" s="89">
        <f>'DIY Grundmodell'!U876</f>
        <v>702.4</v>
      </c>
      <c r="AJ789" s="89">
        <f>'DIY Grundmodell'!V876</f>
        <v>7621.1425499999996</v>
      </c>
      <c r="AK789" s="989"/>
      <c r="AL789" s="33">
        <f>'DIY Grundmodell'!X876</f>
        <v>6038.8057900000003</v>
      </c>
    </row>
    <row r="790" spans="32:38" ht="14.1" customHeight="1" x14ac:dyDescent="0.45">
      <c r="AF790" s="988">
        <f>'DIY Grundmodell'!R877</f>
        <v>45819</v>
      </c>
      <c r="AG790" s="89">
        <f>'DIY Grundmodell'!S877</f>
        <v>694.14</v>
      </c>
      <c r="AH790" s="54">
        <f>'DIY Grundmodell'!T877</f>
        <v>6651.6021000000001</v>
      </c>
      <c r="AI790" s="89">
        <f>'DIY Grundmodell'!U877</f>
        <v>694.14</v>
      </c>
      <c r="AJ790" s="89">
        <f>'DIY Grundmodell'!V877</f>
        <v>6651.6021000000001</v>
      </c>
      <c r="AK790" s="989"/>
      <c r="AL790" s="33">
        <f>'DIY Grundmodell'!X877</f>
        <v>6022.2412100000001</v>
      </c>
    </row>
    <row r="791" spans="32:38" ht="14.1" customHeight="1" x14ac:dyDescent="0.45">
      <c r="AF791" s="988">
        <f>'DIY Grundmodell'!R878</f>
        <v>45820</v>
      </c>
      <c r="AG791" s="89">
        <f>'DIY Grundmodell'!S878</f>
        <v>693.36</v>
      </c>
      <c r="AH791" s="54">
        <f>'DIY Grundmodell'!T878</f>
        <v>5077.2880699999996</v>
      </c>
      <c r="AI791" s="89">
        <f>'DIY Grundmodell'!U878</f>
        <v>693.36</v>
      </c>
      <c r="AJ791" s="89">
        <f>'DIY Grundmodell'!V878</f>
        <v>5077.2880699999996</v>
      </c>
      <c r="AK791" s="989"/>
      <c r="AL791" s="33">
        <f>'DIY Grundmodell'!X878</f>
        <v>6045.2556699999996</v>
      </c>
    </row>
    <row r="792" spans="32:38" ht="14.1" customHeight="1" x14ac:dyDescent="0.45">
      <c r="AF792" s="988">
        <f>'DIY Grundmodell'!R879</f>
        <v>45821</v>
      </c>
      <c r="AG792" s="89">
        <f>'DIY Grundmodell'!S879</f>
        <v>682.87</v>
      </c>
      <c r="AH792" s="54">
        <f>'DIY Grundmodell'!T879</f>
        <v>6333.2375300000003</v>
      </c>
      <c r="AI792" s="89">
        <f>'DIY Grundmodell'!U879</f>
        <v>682.87</v>
      </c>
      <c r="AJ792" s="89">
        <f>'DIY Grundmodell'!V879</f>
        <v>6333.2375300000003</v>
      </c>
      <c r="AK792" s="989"/>
      <c r="AL792" s="33">
        <f>'DIY Grundmodell'!X879</f>
        <v>5976.96587</v>
      </c>
    </row>
    <row r="793" spans="32:38" ht="14.1" customHeight="1" x14ac:dyDescent="0.45">
      <c r="AF793" s="988">
        <f>'DIY Grundmodell'!R880</f>
        <v>45822</v>
      </c>
      <c r="AG793" s="89" t="e">
        <f>'DIY Grundmodell'!S880</f>
        <v>#N/A</v>
      </c>
      <c r="AH793" s="54" t="e">
        <f>'DIY Grundmodell'!T880</f>
        <v>#N/A</v>
      </c>
      <c r="AI793" s="89">
        <f>'DIY Grundmodell'!U880</f>
        <v>682.87</v>
      </c>
      <c r="AJ793" s="89">
        <f>'DIY Grundmodell'!V880</f>
        <v>0</v>
      </c>
      <c r="AK793" s="989"/>
      <c r="AL793" s="33">
        <f>'DIY Grundmodell'!X880</f>
        <v>5976.96587</v>
      </c>
    </row>
    <row r="794" spans="32:38" ht="14.1" customHeight="1" x14ac:dyDescent="0.45">
      <c r="AF794" s="988">
        <f>'DIY Grundmodell'!R881</f>
        <v>45823</v>
      </c>
      <c r="AG794" s="89" t="e">
        <f>'DIY Grundmodell'!S881</f>
        <v>#N/A</v>
      </c>
      <c r="AH794" s="54" t="e">
        <f>'DIY Grundmodell'!T881</f>
        <v>#N/A</v>
      </c>
      <c r="AI794" s="89">
        <f>'DIY Grundmodell'!U881</f>
        <v>682.87</v>
      </c>
      <c r="AJ794" s="89">
        <f>'DIY Grundmodell'!V881</f>
        <v>0</v>
      </c>
      <c r="AK794" s="989"/>
      <c r="AL794" s="33">
        <f>'DIY Grundmodell'!X881</f>
        <v>5976.96587</v>
      </c>
    </row>
    <row r="795" spans="32:38" ht="14.1" customHeight="1" x14ac:dyDescent="0.45">
      <c r="AF795" s="988">
        <f>'DIY Grundmodell'!R882</f>
        <v>45824</v>
      </c>
      <c r="AG795" s="89">
        <f>'DIY Grundmodell'!S882</f>
        <v>702.12</v>
      </c>
      <c r="AH795" s="54">
        <f>'DIY Grundmodell'!T882</f>
        <v>9633.2886099999996</v>
      </c>
      <c r="AI795" s="89">
        <f>'DIY Grundmodell'!U882</f>
        <v>702.12</v>
      </c>
      <c r="AJ795" s="89">
        <f>'DIY Grundmodell'!V882</f>
        <v>9633.2886099999996</v>
      </c>
      <c r="AK795" s="989"/>
      <c r="AL795" s="33">
        <f>'DIY Grundmodell'!X882</f>
        <v>6033.1062899999997</v>
      </c>
    </row>
    <row r="796" spans="32:38" ht="14.1" customHeight="1" x14ac:dyDescent="0.45">
      <c r="AF796" s="988">
        <f>'DIY Grundmodell'!R883</f>
        <v>45825</v>
      </c>
      <c r="AG796" s="89">
        <f>'DIY Grundmodell'!S883</f>
        <v>697.23</v>
      </c>
      <c r="AH796" s="54">
        <f>'DIY Grundmodell'!T883</f>
        <v>7018.3938799999996</v>
      </c>
      <c r="AI796" s="89">
        <f>'DIY Grundmodell'!U883</f>
        <v>697.23</v>
      </c>
      <c r="AJ796" s="89">
        <f>'DIY Grundmodell'!V883</f>
        <v>7018.3938799999996</v>
      </c>
      <c r="AK796" s="989"/>
      <c r="AL796" s="33">
        <f>'DIY Grundmodell'!X883</f>
        <v>5982.7169899999999</v>
      </c>
    </row>
    <row r="797" spans="32:38" ht="14.1" customHeight="1" x14ac:dyDescent="0.45">
      <c r="AF797" s="988">
        <f>'DIY Grundmodell'!R884</f>
        <v>45826</v>
      </c>
      <c r="AG797" s="89">
        <f>'DIY Grundmodell'!S884</f>
        <v>695.77</v>
      </c>
      <c r="AH797" s="54">
        <f>'DIY Grundmodell'!T884</f>
        <v>7005.1897799999997</v>
      </c>
      <c r="AI797" s="89">
        <f>'DIY Grundmodell'!U884</f>
        <v>695.77</v>
      </c>
      <c r="AJ797" s="89">
        <f>'DIY Grundmodell'!V884</f>
        <v>7005.1897799999997</v>
      </c>
      <c r="AK797" s="989"/>
      <c r="AL797" s="33">
        <f>'DIY Grundmodell'!X884</f>
        <v>5980.8654999999999</v>
      </c>
    </row>
    <row r="798" spans="32:38" ht="14.1" customHeight="1" x14ac:dyDescent="0.45">
      <c r="AF798" s="988">
        <f>'DIY Grundmodell'!R885</f>
        <v>45827</v>
      </c>
      <c r="AG798" s="89" t="e">
        <f>'DIY Grundmodell'!S885</f>
        <v>#N/A</v>
      </c>
      <c r="AH798" s="54" t="e">
        <f>'DIY Grundmodell'!T885</f>
        <v>#N/A</v>
      </c>
      <c r="AI798" s="89">
        <f>'DIY Grundmodell'!U885</f>
        <v>695.77</v>
      </c>
      <c r="AJ798" s="89">
        <f>'DIY Grundmodell'!V885</f>
        <v>0</v>
      </c>
      <c r="AK798" s="989"/>
      <c r="AL798" s="33">
        <f>'DIY Grundmodell'!X885</f>
        <v>5980.8654999999999</v>
      </c>
    </row>
    <row r="799" spans="32:38" ht="14.1" customHeight="1" x14ac:dyDescent="0.45">
      <c r="AF799" s="988">
        <f>'DIY Grundmodell'!R886</f>
        <v>45828</v>
      </c>
      <c r="AG799" s="89">
        <f>'DIY Grundmodell'!S886</f>
        <v>682.35</v>
      </c>
      <c r="AH799" s="54">
        <f>'DIY Grundmodell'!T886</f>
        <v>15379.241</v>
      </c>
      <c r="AI799" s="89">
        <f>'DIY Grundmodell'!U886</f>
        <v>682.35</v>
      </c>
      <c r="AJ799" s="89">
        <f>'DIY Grundmodell'!V886</f>
        <v>15379.241</v>
      </c>
      <c r="AK799" s="989"/>
      <c r="AL799" s="33">
        <f>'DIY Grundmodell'!X886</f>
        <v>5967.8395</v>
      </c>
    </row>
    <row r="800" spans="32:38" ht="14.1" customHeight="1" x14ac:dyDescent="0.45">
      <c r="AF800" s="988">
        <f>'DIY Grundmodell'!R887</f>
        <v>45829</v>
      </c>
      <c r="AG800" s="89" t="e">
        <f>'DIY Grundmodell'!S887</f>
        <v>#N/A</v>
      </c>
      <c r="AH800" s="54" t="e">
        <f>'DIY Grundmodell'!T887</f>
        <v>#N/A</v>
      </c>
      <c r="AI800" s="89">
        <f>'DIY Grundmodell'!U887</f>
        <v>682.35</v>
      </c>
      <c r="AJ800" s="89">
        <f>'DIY Grundmodell'!V887</f>
        <v>0</v>
      </c>
      <c r="AK800" s="989"/>
      <c r="AL800" s="33">
        <f>'DIY Grundmodell'!X887</f>
        <v>5967.8395</v>
      </c>
    </row>
    <row r="801" spans="32:38" ht="14.1" customHeight="1" x14ac:dyDescent="0.45">
      <c r="AF801" s="988">
        <f>'DIY Grundmodell'!R888</f>
        <v>45830</v>
      </c>
      <c r="AG801" s="89" t="e">
        <f>'DIY Grundmodell'!S888</f>
        <v>#N/A</v>
      </c>
      <c r="AH801" s="54" t="e">
        <f>'DIY Grundmodell'!T888</f>
        <v>#N/A</v>
      </c>
      <c r="AI801" s="89">
        <f>'DIY Grundmodell'!U888</f>
        <v>682.35</v>
      </c>
      <c r="AJ801" s="89">
        <f>'DIY Grundmodell'!V888</f>
        <v>0</v>
      </c>
      <c r="AK801" s="989"/>
      <c r="AL801" s="33">
        <f>'DIY Grundmodell'!X888</f>
        <v>5967.8395</v>
      </c>
    </row>
    <row r="802" spans="32:38" ht="14.1" customHeight="1" x14ac:dyDescent="0.45">
      <c r="AF802" s="988">
        <f>'DIY Grundmodell'!R889</f>
        <v>45831</v>
      </c>
      <c r="AG802" s="89">
        <f>'DIY Grundmodell'!S889</f>
        <v>698.53</v>
      </c>
      <c r="AH802" s="54">
        <f>'DIY Grundmodell'!T889</f>
        <v>7739.7508200000002</v>
      </c>
      <c r="AI802" s="89">
        <f>'DIY Grundmodell'!U889</f>
        <v>698.53</v>
      </c>
      <c r="AJ802" s="89">
        <f>'DIY Grundmodell'!V889</f>
        <v>7739.7508200000002</v>
      </c>
      <c r="AK802" s="989"/>
      <c r="AL802" s="33">
        <f>'DIY Grundmodell'!X889</f>
        <v>6025.1740399999999</v>
      </c>
    </row>
    <row r="803" spans="32:38" ht="14.1" customHeight="1" x14ac:dyDescent="0.45">
      <c r="AF803" s="988">
        <f>'DIY Grundmodell'!R890</f>
        <v>45832</v>
      </c>
      <c r="AG803" s="89">
        <f>'DIY Grundmodell'!S890</f>
        <v>712.2</v>
      </c>
      <c r="AH803" s="54">
        <f>'DIY Grundmodell'!T890</f>
        <v>9844.8688000000002</v>
      </c>
      <c r="AI803" s="89">
        <f>'DIY Grundmodell'!U890</f>
        <v>712.2</v>
      </c>
      <c r="AJ803" s="89">
        <f>'DIY Grundmodell'!V890</f>
        <v>9844.8688000000002</v>
      </c>
      <c r="AK803" s="989"/>
      <c r="AL803" s="33">
        <f>'DIY Grundmodell'!X890</f>
        <v>6092.1810500000001</v>
      </c>
    </row>
    <row r="804" spans="32:38" ht="14.1" customHeight="1" x14ac:dyDescent="0.45">
      <c r="AF804" s="988">
        <f>'DIY Grundmodell'!R891</f>
        <v>45833</v>
      </c>
      <c r="AG804" s="89">
        <f>'DIY Grundmodell'!S891</f>
        <v>708.68</v>
      </c>
      <c r="AH804" s="54">
        <f>'DIY Grundmodell'!T891</f>
        <v>6605.20658</v>
      </c>
      <c r="AI804" s="89">
        <f>'DIY Grundmodell'!U891</f>
        <v>708.68</v>
      </c>
      <c r="AJ804" s="89">
        <f>'DIY Grundmodell'!V891</f>
        <v>6605.20658</v>
      </c>
      <c r="AK804" s="989"/>
      <c r="AL804" s="33">
        <f>'DIY Grundmodell'!X891</f>
        <v>6092.1613699999998</v>
      </c>
    </row>
    <row r="805" spans="32:38" ht="14.1" customHeight="1" x14ac:dyDescent="0.45">
      <c r="AF805" s="988">
        <f>'DIY Grundmodell'!R892</f>
        <v>45834</v>
      </c>
      <c r="AG805" s="89">
        <f>'DIY Grundmodell'!S892</f>
        <v>726.09</v>
      </c>
      <c r="AH805" s="54">
        <f>'DIY Grundmodell'!T892</f>
        <v>10139.696550000001</v>
      </c>
      <c r="AI805" s="89">
        <f>'DIY Grundmodell'!U892</f>
        <v>726.09</v>
      </c>
      <c r="AJ805" s="89">
        <f>'DIY Grundmodell'!V892</f>
        <v>10139.696550000001</v>
      </c>
      <c r="AK805" s="989"/>
      <c r="AL805" s="33">
        <f>'DIY Grundmodell'!X892</f>
        <v>6141.0192800000004</v>
      </c>
    </row>
    <row r="806" spans="32:38" ht="14.1" customHeight="1" x14ac:dyDescent="0.45">
      <c r="AF806" s="988">
        <f>'DIY Grundmodell'!R893</f>
        <v>45835</v>
      </c>
      <c r="AG806" s="89">
        <f>'DIY Grundmodell'!S893</f>
        <v>733.63</v>
      </c>
      <c r="AH806" s="54">
        <f>'DIY Grundmodell'!T893</f>
        <v>13774.44247</v>
      </c>
      <c r="AI806" s="89">
        <f>'DIY Grundmodell'!U893</f>
        <v>733.63</v>
      </c>
      <c r="AJ806" s="89">
        <f>'DIY Grundmodell'!V893</f>
        <v>13774.44247</v>
      </c>
      <c r="AK806" s="989"/>
      <c r="AL806" s="33">
        <f>'DIY Grundmodell'!X893</f>
        <v>6173.0735699999996</v>
      </c>
    </row>
    <row r="807" spans="32:38" ht="14.1" customHeight="1" x14ac:dyDescent="0.45">
      <c r="AF807" s="988">
        <f>'DIY Grundmodell'!R894</f>
        <v>45836</v>
      </c>
      <c r="AG807" s="89" t="e">
        <f>'DIY Grundmodell'!S894</f>
        <v>#N/A</v>
      </c>
      <c r="AH807" s="54" t="e">
        <f>'DIY Grundmodell'!T894</f>
        <v>#N/A</v>
      </c>
      <c r="AI807" s="89">
        <f>'DIY Grundmodell'!U894</f>
        <v>733.63</v>
      </c>
      <c r="AJ807" s="89">
        <f>'DIY Grundmodell'!V894</f>
        <v>0</v>
      </c>
      <c r="AK807" s="989"/>
      <c r="AL807" s="33">
        <f>'DIY Grundmodell'!X894</f>
        <v>6173.0735699999996</v>
      </c>
    </row>
    <row r="808" spans="32:38" ht="14.1" customHeight="1" x14ac:dyDescent="0.45">
      <c r="AF808" s="988">
        <f>'DIY Grundmodell'!R895</f>
        <v>45837</v>
      </c>
      <c r="AG808" s="89" t="e">
        <f>'DIY Grundmodell'!S895</f>
        <v>#N/A</v>
      </c>
      <c r="AH808" s="54" t="e">
        <f>'DIY Grundmodell'!T895</f>
        <v>#N/A</v>
      </c>
      <c r="AI808" s="89">
        <f>'DIY Grundmodell'!U895</f>
        <v>733.63</v>
      </c>
      <c r="AJ808" s="89">
        <f>'DIY Grundmodell'!V895</f>
        <v>0</v>
      </c>
      <c r="AK808" s="989"/>
      <c r="AL808" s="33">
        <f>'DIY Grundmodell'!X895</f>
        <v>6173.0735699999996</v>
      </c>
    </row>
    <row r="809" spans="32:38" ht="14.1" customHeight="1" x14ac:dyDescent="0.45">
      <c r="AF809" s="988">
        <f>'DIY Grundmodell'!R896</f>
        <v>45838</v>
      </c>
      <c r="AG809" s="89">
        <f>'DIY Grundmodell'!S896</f>
        <v>738.09</v>
      </c>
      <c r="AH809" s="54">
        <f>'DIY Grundmodell'!T896</f>
        <v>11368.13968</v>
      </c>
      <c r="AI809" s="89">
        <f>'DIY Grundmodell'!U896</f>
        <v>738.09</v>
      </c>
      <c r="AJ809" s="89">
        <f>'DIY Grundmodell'!V896</f>
        <v>11368.13968</v>
      </c>
      <c r="AK809" s="989"/>
      <c r="AL809" s="33">
        <f>'DIY Grundmodell'!X896</f>
        <v>6204.9539500000001</v>
      </c>
    </row>
    <row r="810" spans="32:38" ht="14.1" customHeight="1" x14ac:dyDescent="0.45">
      <c r="AF810" s="988">
        <f>'DIY Grundmodell'!R897</f>
        <v>45839</v>
      </c>
      <c r="AG810" s="89">
        <f>'DIY Grundmodell'!S897</f>
        <v>719.22</v>
      </c>
      <c r="AH810" s="54">
        <f>'DIY Grundmodell'!T897</f>
        <v>9660.0221899999997</v>
      </c>
      <c r="AI810" s="89">
        <f>'DIY Grundmodell'!U897</f>
        <v>719.22</v>
      </c>
      <c r="AJ810" s="89">
        <f>'DIY Grundmodell'!V897</f>
        <v>9660.0221899999997</v>
      </c>
      <c r="AK810" s="989"/>
      <c r="AL810" s="33">
        <f>'DIY Grundmodell'!X897</f>
        <v>6198.00695</v>
      </c>
    </row>
    <row r="811" spans="32:38" ht="14.1" customHeight="1" x14ac:dyDescent="0.45">
      <c r="AF811" s="988">
        <f>'DIY Grundmodell'!R898</f>
        <v>45840</v>
      </c>
      <c r="AG811" s="89">
        <f>'DIY Grundmodell'!S898</f>
        <v>713.57</v>
      </c>
      <c r="AH811" s="54">
        <f>'DIY Grundmodell'!T898</f>
        <v>6662.4175599999999</v>
      </c>
      <c r="AI811" s="89">
        <f>'DIY Grundmodell'!U898</f>
        <v>713.57</v>
      </c>
      <c r="AJ811" s="89">
        <f>'DIY Grundmodell'!V898</f>
        <v>6662.4175599999999</v>
      </c>
      <c r="AK811" s="989"/>
      <c r="AL811" s="33">
        <f>'DIY Grundmodell'!X898</f>
        <v>6227.4196899999997</v>
      </c>
    </row>
    <row r="812" spans="32:38" ht="14.1" customHeight="1" x14ac:dyDescent="0.45">
      <c r="AF812" s="988">
        <f>'DIY Grundmodell'!R899</f>
        <v>45841</v>
      </c>
      <c r="AG812" s="89">
        <f>'DIY Grundmodell'!S899</f>
        <v>719.01</v>
      </c>
      <c r="AH812" s="54">
        <f>'DIY Grundmodell'!T899</f>
        <v>6184.6745199999996</v>
      </c>
      <c r="AI812" s="89">
        <f>'DIY Grundmodell'!U899</f>
        <v>719.01</v>
      </c>
      <c r="AJ812" s="89">
        <f>'DIY Grundmodell'!V899</f>
        <v>6184.6745199999996</v>
      </c>
      <c r="AK812" s="989"/>
      <c r="AL812" s="33">
        <f>'DIY Grundmodell'!X899</f>
        <v>6279.3509700000004</v>
      </c>
    </row>
    <row r="813" spans="32:38" ht="14.1" customHeight="1" x14ac:dyDescent="0.45">
      <c r="AF813" s="988">
        <f>'DIY Grundmodell'!R900</f>
        <v>45842</v>
      </c>
      <c r="AG813" s="89" t="e">
        <f>'DIY Grundmodell'!S900</f>
        <v>#N/A</v>
      </c>
      <c r="AH813" s="54" t="e">
        <f>'DIY Grundmodell'!T900</f>
        <v>#N/A</v>
      </c>
      <c r="AI813" s="89">
        <f>'DIY Grundmodell'!U900</f>
        <v>719.01</v>
      </c>
      <c r="AJ813" s="89">
        <f>'DIY Grundmodell'!V900</f>
        <v>0</v>
      </c>
      <c r="AK813" s="989"/>
      <c r="AL813" s="33">
        <f>'DIY Grundmodell'!X900</f>
        <v>6279.3509700000004</v>
      </c>
    </row>
    <row r="814" spans="32:38" ht="14.1" customHeight="1" x14ac:dyDescent="0.45">
      <c r="AF814" s="988">
        <f>'DIY Grundmodell'!R901</f>
        <v>45843</v>
      </c>
      <c r="AG814" s="89" t="e">
        <f>'DIY Grundmodell'!S901</f>
        <v>#N/A</v>
      </c>
      <c r="AH814" s="54" t="e">
        <f>'DIY Grundmodell'!T901</f>
        <v>#N/A</v>
      </c>
      <c r="AI814" s="89">
        <f>'DIY Grundmodell'!U901</f>
        <v>719.01</v>
      </c>
      <c r="AJ814" s="89">
        <f>'DIY Grundmodell'!V901</f>
        <v>0</v>
      </c>
      <c r="AK814" s="989"/>
      <c r="AL814" s="33">
        <f>'DIY Grundmodell'!X901</f>
        <v>6279.3509700000004</v>
      </c>
    </row>
    <row r="815" spans="32:38" ht="14.1" customHeight="1" x14ac:dyDescent="0.45">
      <c r="AF815" s="988">
        <f>'DIY Grundmodell'!R902</f>
        <v>45844</v>
      </c>
      <c r="AG815" s="89" t="e">
        <f>'DIY Grundmodell'!S902</f>
        <v>#N/A</v>
      </c>
      <c r="AH815" s="54" t="e">
        <f>'DIY Grundmodell'!T902</f>
        <v>#N/A</v>
      </c>
      <c r="AI815" s="89">
        <f>'DIY Grundmodell'!U902</f>
        <v>719.01</v>
      </c>
      <c r="AJ815" s="89">
        <f>'DIY Grundmodell'!V902</f>
        <v>0</v>
      </c>
      <c r="AK815" s="989"/>
      <c r="AL815" s="33">
        <f>'DIY Grundmodell'!X902</f>
        <v>6279.3509700000004</v>
      </c>
    </row>
    <row r="816" spans="32:38" ht="14.1" customHeight="1" x14ac:dyDescent="0.45">
      <c r="AF816" s="988">
        <f>'DIY Grundmodell'!R903</f>
        <v>45845</v>
      </c>
      <c r="AG816" s="89">
        <f>'DIY Grundmodell'!S903</f>
        <v>718.35</v>
      </c>
      <c r="AH816" s="54">
        <f>'DIY Grundmodell'!T903</f>
        <v>6793.4934199999998</v>
      </c>
      <c r="AI816" s="89">
        <f>'DIY Grundmodell'!U903</f>
        <v>718.35</v>
      </c>
      <c r="AJ816" s="89">
        <f>'DIY Grundmodell'!V903</f>
        <v>6793.4934199999998</v>
      </c>
      <c r="AK816" s="989"/>
      <c r="AL816" s="33">
        <f>'DIY Grundmodell'!X903</f>
        <v>6229.9774600000001</v>
      </c>
    </row>
    <row r="817" spans="32:38" ht="14.1" customHeight="1" x14ac:dyDescent="0.45">
      <c r="AF817" s="988">
        <f>'DIY Grundmodell'!R904</f>
        <v>45846</v>
      </c>
      <c r="AG817" s="89">
        <f>'DIY Grundmodell'!S904</f>
        <v>720.67</v>
      </c>
      <c r="AH817" s="54">
        <f>'DIY Grundmodell'!T904</f>
        <v>5600.1053199999997</v>
      </c>
      <c r="AI817" s="89">
        <f>'DIY Grundmodell'!U904</f>
        <v>720.67</v>
      </c>
      <c r="AJ817" s="89">
        <f>'DIY Grundmodell'!V904</f>
        <v>5600.1053199999997</v>
      </c>
      <c r="AK817" s="989"/>
      <c r="AL817" s="33">
        <f>'DIY Grundmodell'!X904</f>
        <v>6225.5234099999998</v>
      </c>
    </row>
    <row r="818" spans="32:38" ht="14.1" customHeight="1" x14ac:dyDescent="0.45">
      <c r="AF818" s="988">
        <f>'DIY Grundmodell'!R905</f>
        <v>45847</v>
      </c>
      <c r="AG818" s="89">
        <f>'DIY Grundmodell'!S905</f>
        <v>732.78</v>
      </c>
      <c r="AH818" s="54">
        <f>'DIY Grundmodell'!T905</f>
        <v>8366.8549299999995</v>
      </c>
      <c r="AI818" s="89">
        <f>'DIY Grundmodell'!U905</f>
        <v>732.78</v>
      </c>
      <c r="AJ818" s="89">
        <f>'DIY Grundmodell'!V905</f>
        <v>8366.8549299999995</v>
      </c>
      <c r="AK818" s="989"/>
      <c r="AL818" s="33">
        <f>'DIY Grundmodell'!X905</f>
        <v>6263.2643799999996</v>
      </c>
    </row>
    <row r="819" spans="32:38" ht="14.1" customHeight="1" x14ac:dyDescent="0.45">
      <c r="AF819" s="988">
        <f>'DIY Grundmodell'!R906</f>
        <v>45848</v>
      </c>
      <c r="AG819" s="89">
        <f>'DIY Grundmodell'!S906</f>
        <v>727.24</v>
      </c>
      <c r="AH819" s="54">
        <f>'DIY Grundmodell'!T906</f>
        <v>7215.8563599999998</v>
      </c>
      <c r="AI819" s="89">
        <f>'DIY Grundmodell'!U906</f>
        <v>727.24</v>
      </c>
      <c r="AJ819" s="89">
        <f>'DIY Grundmodell'!V906</f>
        <v>7215.8563599999998</v>
      </c>
      <c r="AK819" s="989"/>
      <c r="AL819" s="33">
        <f>'DIY Grundmodell'!X906</f>
        <v>6280.4583000000002</v>
      </c>
    </row>
    <row r="820" spans="32:38" ht="14.1" customHeight="1" x14ac:dyDescent="0.45">
      <c r="AF820" s="988">
        <f>'DIY Grundmodell'!R907</f>
        <v>45849</v>
      </c>
      <c r="AG820" s="89">
        <f>'DIY Grundmodell'!S907</f>
        <v>717.51</v>
      </c>
      <c r="AH820" s="54">
        <f>'DIY Grundmodell'!T907</f>
        <v>7802.1176400000004</v>
      </c>
      <c r="AI820" s="89">
        <f>'DIY Grundmodell'!U907</f>
        <v>717.51</v>
      </c>
      <c r="AJ820" s="89">
        <f>'DIY Grundmodell'!V907</f>
        <v>7802.1176400000004</v>
      </c>
      <c r="AK820" s="989"/>
      <c r="AL820" s="33">
        <f>'DIY Grundmodell'!X907</f>
        <v>6259.7464399999999</v>
      </c>
    </row>
    <row r="821" spans="32:38" ht="14.1" customHeight="1" x14ac:dyDescent="0.45">
      <c r="AF821" s="988">
        <f>'DIY Grundmodell'!R908</f>
        <v>45850</v>
      </c>
      <c r="AG821" s="89" t="e">
        <f>'DIY Grundmodell'!S908</f>
        <v>#N/A</v>
      </c>
      <c r="AH821" s="54" t="e">
        <f>'DIY Grundmodell'!T908</f>
        <v>#N/A</v>
      </c>
      <c r="AI821" s="89">
        <f>'DIY Grundmodell'!U908</f>
        <v>717.51</v>
      </c>
      <c r="AJ821" s="89">
        <f>'DIY Grundmodell'!V908</f>
        <v>0</v>
      </c>
      <c r="AK821" s="989"/>
      <c r="AL821" s="33">
        <f>'DIY Grundmodell'!X908</f>
        <v>6259.7464399999999</v>
      </c>
    </row>
    <row r="822" spans="32:38" ht="14.1" customHeight="1" x14ac:dyDescent="0.45">
      <c r="AF822" s="988">
        <f>'DIY Grundmodell'!R909</f>
        <v>45851</v>
      </c>
      <c r="AG822" s="89" t="e">
        <f>'DIY Grundmodell'!S909</f>
        <v>#N/A</v>
      </c>
      <c r="AH822" s="54" t="e">
        <f>'DIY Grundmodell'!T909</f>
        <v>#N/A</v>
      </c>
      <c r="AI822" s="89">
        <f>'DIY Grundmodell'!U909</f>
        <v>717.51</v>
      </c>
      <c r="AJ822" s="89">
        <f>'DIY Grundmodell'!V909</f>
        <v>0</v>
      </c>
      <c r="AK822" s="989"/>
      <c r="AL822" s="33">
        <f>'DIY Grundmodell'!X909</f>
        <v>6259.7464399999999</v>
      </c>
    </row>
    <row r="823" spans="32:38" ht="14.1" customHeight="1" x14ac:dyDescent="0.45">
      <c r="AF823" s="988">
        <f>'DIY Grundmodell'!R910</f>
        <v>45852</v>
      </c>
      <c r="AG823" s="89">
        <f>'DIY Grundmodell'!S910</f>
        <v>720.92</v>
      </c>
      <c r="AH823" s="54">
        <f>'DIY Grundmodell'!T910</f>
        <v>6444.5915299999997</v>
      </c>
      <c r="AI823" s="89">
        <f>'DIY Grundmodell'!U910</f>
        <v>720.92</v>
      </c>
      <c r="AJ823" s="89">
        <f>'DIY Grundmodell'!V910</f>
        <v>6444.5915299999997</v>
      </c>
      <c r="AK823" s="989"/>
      <c r="AL823" s="33">
        <f>'DIY Grundmodell'!X910</f>
        <v>6268.5590099999999</v>
      </c>
    </row>
    <row r="824" spans="32:38" ht="14.1" customHeight="1" x14ac:dyDescent="0.45">
      <c r="AF824" s="988">
        <f>'DIY Grundmodell'!R911</f>
        <v>45853</v>
      </c>
      <c r="AG824" s="89">
        <f>'DIY Grundmodell'!S911</f>
        <v>710.39</v>
      </c>
      <c r="AH824" s="54">
        <f>'DIY Grundmodell'!T911</f>
        <v>8190.4493199999997</v>
      </c>
      <c r="AI824" s="89">
        <f>'DIY Grundmodell'!U911</f>
        <v>710.39</v>
      </c>
      <c r="AJ824" s="89">
        <f>'DIY Grundmodell'!V911</f>
        <v>8190.4493199999997</v>
      </c>
      <c r="AK824" s="989"/>
      <c r="AL824" s="33">
        <f>'DIY Grundmodell'!X911</f>
        <v>6243.7557100000004</v>
      </c>
    </row>
    <row r="825" spans="32:38" ht="14.1" customHeight="1" x14ac:dyDescent="0.45">
      <c r="AF825" s="988">
        <f>'DIY Grundmodell'!R912</f>
        <v>45854</v>
      </c>
      <c r="AG825" s="89">
        <f>'DIY Grundmodell'!S912</f>
        <v>702.91</v>
      </c>
      <c r="AH825" s="54">
        <f>'DIY Grundmodell'!T912</f>
        <v>9185.3657000000003</v>
      </c>
      <c r="AI825" s="89">
        <f>'DIY Grundmodell'!U912</f>
        <v>702.91</v>
      </c>
      <c r="AJ825" s="89">
        <f>'DIY Grundmodell'!V912</f>
        <v>9185.3657000000003</v>
      </c>
      <c r="AK825" s="989"/>
      <c r="AL825" s="33">
        <f>'DIY Grundmodell'!X912</f>
        <v>6263.69524</v>
      </c>
    </row>
    <row r="826" spans="32:38" ht="14.1" customHeight="1" x14ac:dyDescent="0.45">
      <c r="AF826" s="988">
        <f>'DIY Grundmodell'!R913</f>
        <v>45855</v>
      </c>
      <c r="AG826" s="89">
        <f>'DIY Grundmodell'!S913</f>
        <v>701.41</v>
      </c>
      <c r="AH826" s="54">
        <f>'DIY Grundmodell'!T913</f>
        <v>8278.9274000000005</v>
      </c>
      <c r="AI826" s="89">
        <f>'DIY Grundmodell'!U913</f>
        <v>701.41</v>
      </c>
      <c r="AJ826" s="89">
        <f>'DIY Grundmodell'!V913</f>
        <v>8278.9274000000005</v>
      </c>
      <c r="AK826" s="989"/>
      <c r="AL826" s="33">
        <f>'DIY Grundmodell'!X913</f>
        <v>6297.3619099999996</v>
      </c>
    </row>
    <row r="827" spans="32:38" ht="14.1" customHeight="1" x14ac:dyDescent="0.45">
      <c r="AF827" s="988">
        <f>'DIY Grundmodell'!R914</f>
        <v>45856</v>
      </c>
      <c r="AG827" s="89">
        <f>'DIY Grundmodell'!S914</f>
        <v>704.28</v>
      </c>
      <c r="AH827" s="54">
        <f>'DIY Grundmodell'!T914</f>
        <v>9000.5237400000005</v>
      </c>
      <c r="AI827" s="89">
        <f>'DIY Grundmodell'!U914</f>
        <v>704.28</v>
      </c>
      <c r="AJ827" s="89">
        <f>'DIY Grundmodell'!V914</f>
        <v>9000.5237400000005</v>
      </c>
      <c r="AK827" s="989"/>
      <c r="AL827" s="33">
        <f>'DIY Grundmodell'!X914</f>
        <v>6296.7890399999997</v>
      </c>
    </row>
    <row r="828" spans="32:38" ht="14.1" customHeight="1" x14ac:dyDescent="0.45">
      <c r="AF828" s="988">
        <f>'DIY Grundmodell'!R915</f>
        <v>45857</v>
      </c>
      <c r="AG828" s="89" t="e">
        <f>'DIY Grundmodell'!S915</f>
        <v>#N/A</v>
      </c>
      <c r="AH828" s="54" t="e">
        <f>'DIY Grundmodell'!T915</f>
        <v>#N/A</v>
      </c>
      <c r="AI828" s="89">
        <f>'DIY Grundmodell'!U915</f>
        <v>704.28</v>
      </c>
      <c r="AJ828" s="89">
        <f>'DIY Grundmodell'!V915</f>
        <v>0</v>
      </c>
      <c r="AK828" s="989"/>
      <c r="AL828" s="33">
        <f>'DIY Grundmodell'!X915</f>
        <v>6296.7890399999997</v>
      </c>
    </row>
    <row r="829" spans="32:38" ht="14.1" customHeight="1" x14ac:dyDescent="0.45">
      <c r="AF829" s="988">
        <f>'DIY Grundmodell'!R916</f>
        <v>45858</v>
      </c>
      <c r="AG829" s="89" t="e">
        <f>'DIY Grundmodell'!S916</f>
        <v>#N/A</v>
      </c>
      <c r="AH829" s="54" t="e">
        <f>'DIY Grundmodell'!T916</f>
        <v>#N/A</v>
      </c>
      <c r="AI829" s="89">
        <f>'DIY Grundmodell'!U916</f>
        <v>704.28</v>
      </c>
      <c r="AJ829" s="89">
        <f>'DIY Grundmodell'!V916</f>
        <v>0</v>
      </c>
      <c r="AK829" s="989"/>
      <c r="AL829" s="33">
        <f>'DIY Grundmodell'!X916</f>
        <v>6296.7890399999997</v>
      </c>
    </row>
    <row r="830" spans="32:38" ht="14.1" customHeight="1" x14ac:dyDescent="0.45">
      <c r="AF830" s="988">
        <f>'DIY Grundmodell'!R917</f>
        <v>45859</v>
      </c>
      <c r="AG830" s="89">
        <f>'DIY Grundmodell'!S917</f>
        <v>712.96500000000003</v>
      </c>
      <c r="AH830" s="54">
        <f>'DIY Grundmodell'!T917</f>
        <v>6705.0016299999997</v>
      </c>
      <c r="AI830" s="89">
        <f>'DIY Grundmodell'!U917</f>
        <v>712.96500000000003</v>
      </c>
      <c r="AJ830" s="89">
        <f>'DIY Grundmodell'!V917</f>
        <v>6705.0016299999997</v>
      </c>
      <c r="AK830" s="989"/>
      <c r="AL830" s="33">
        <f>'DIY Grundmodell'!X917</f>
        <v>6305.5951800000003</v>
      </c>
    </row>
    <row r="831" spans="32:38" ht="14.1" customHeight="1" x14ac:dyDescent="0.45">
      <c r="AF831" s="988">
        <f>'DIY Grundmodell'!R918</f>
        <v>45860</v>
      </c>
      <c r="AG831" s="89">
        <f>'DIY Grundmodell'!S918</f>
        <v>704.81</v>
      </c>
      <c r="AH831" s="54">
        <f>'DIY Grundmodell'!T918</f>
        <v>6287.6551200000004</v>
      </c>
      <c r="AI831" s="89">
        <f>'DIY Grundmodell'!U918</f>
        <v>704.81</v>
      </c>
      <c r="AJ831" s="89">
        <f>'DIY Grundmodell'!V918</f>
        <v>6287.6551200000004</v>
      </c>
      <c r="AK831" s="989"/>
      <c r="AL831" s="33">
        <f>'DIY Grundmodell'!X918</f>
        <v>6309.6236799999997</v>
      </c>
    </row>
    <row r="832" spans="32:38" ht="14.1" customHeight="1" x14ac:dyDescent="0.45">
      <c r="AF832" s="988">
        <f>'DIY Grundmodell'!R919</f>
        <v>45861</v>
      </c>
      <c r="AG832" s="89">
        <f>'DIY Grundmodell'!S919</f>
        <v>713.58</v>
      </c>
      <c r="AH832" s="54">
        <f>'DIY Grundmodell'!T919</f>
        <v>6259.2490299999999</v>
      </c>
      <c r="AI832" s="89">
        <f>'DIY Grundmodell'!U919</f>
        <v>713.58</v>
      </c>
      <c r="AJ832" s="89">
        <f>'DIY Grundmodell'!V919</f>
        <v>6259.2490299999999</v>
      </c>
      <c r="AK832" s="989"/>
      <c r="AL832" s="33">
        <f>'DIY Grundmodell'!X919</f>
        <v>6358.9137899999996</v>
      </c>
    </row>
    <row r="833" spans="32:38" ht="14.1" customHeight="1" x14ac:dyDescent="0.45">
      <c r="AF833" s="988">
        <f>'DIY Grundmodell'!R920</f>
        <v>45862</v>
      </c>
      <c r="AG833" s="89">
        <f>'DIY Grundmodell'!S920</f>
        <v>714.8</v>
      </c>
      <c r="AH833" s="54">
        <f>'DIY Grundmodell'!T920</f>
        <v>7806.2135699999999</v>
      </c>
      <c r="AI833" s="89">
        <f>'DIY Grundmodell'!U920</f>
        <v>714.8</v>
      </c>
      <c r="AJ833" s="89">
        <f>'DIY Grundmodell'!V920</f>
        <v>7806.2135699999999</v>
      </c>
      <c r="AK833" s="989"/>
      <c r="AL833" s="33">
        <f>'DIY Grundmodell'!X920</f>
        <v>6363.3492999999999</v>
      </c>
    </row>
    <row r="834" spans="32:38" ht="14.1" customHeight="1" x14ac:dyDescent="0.45">
      <c r="AF834" s="988">
        <f>'DIY Grundmodell'!R921</f>
        <v>45863</v>
      </c>
      <c r="AG834" s="89">
        <f>'DIY Grundmodell'!S921</f>
        <v>712.68</v>
      </c>
      <c r="AH834" s="54">
        <f>'DIY Grundmodell'!T921</f>
        <v>5895.0737300000001</v>
      </c>
      <c r="AI834" s="89">
        <f>'DIY Grundmodell'!U921</f>
        <v>712.68</v>
      </c>
      <c r="AJ834" s="89">
        <f>'DIY Grundmodell'!V921</f>
        <v>5895.0737300000001</v>
      </c>
      <c r="AK834" s="989"/>
      <c r="AL834" s="33">
        <f>'DIY Grundmodell'!X921</f>
        <v>6388.6445000000003</v>
      </c>
    </row>
    <row r="835" spans="32:38" ht="14.1" customHeight="1" x14ac:dyDescent="0.45">
      <c r="AF835" s="988">
        <f>'DIY Grundmodell'!R922</f>
        <v>45864</v>
      </c>
      <c r="AG835" s="89" t="e">
        <f>'DIY Grundmodell'!S922</f>
        <v>#N/A</v>
      </c>
      <c r="AH835" s="54" t="e">
        <f>'DIY Grundmodell'!T922</f>
        <v>#N/A</v>
      </c>
      <c r="AI835" s="89">
        <f>'DIY Grundmodell'!U922</f>
        <v>712.68</v>
      </c>
      <c r="AJ835" s="89">
        <f>'DIY Grundmodell'!V922</f>
        <v>0</v>
      </c>
      <c r="AK835" s="989"/>
      <c r="AL835" s="33">
        <f>'DIY Grundmodell'!X922</f>
        <v>6388.6445000000003</v>
      </c>
    </row>
    <row r="836" spans="32:38" ht="14.1" customHeight="1" x14ac:dyDescent="0.45">
      <c r="AF836" s="988">
        <f>'DIY Grundmodell'!R923</f>
        <v>45865</v>
      </c>
      <c r="AG836" s="89" t="e">
        <f>'DIY Grundmodell'!S923</f>
        <v>#N/A</v>
      </c>
      <c r="AH836" s="54" t="e">
        <f>'DIY Grundmodell'!T923</f>
        <v>#N/A</v>
      </c>
      <c r="AI836" s="89">
        <f>'DIY Grundmodell'!U923</f>
        <v>712.68</v>
      </c>
      <c r="AJ836" s="89">
        <f>'DIY Grundmodell'!V923</f>
        <v>0</v>
      </c>
      <c r="AK836" s="989"/>
      <c r="AL836" s="33">
        <f>'DIY Grundmodell'!X923</f>
        <v>6388.6445000000003</v>
      </c>
    </row>
    <row r="837" spans="32:38" ht="14.1" customHeight="1" x14ac:dyDescent="0.45">
      <c r="AF837" s="988">
        <f>'DIY Grundmodell'!R924</f>
        <v>45866</v>
      </c>
      <c r="AG837" s="89">
        <f>'DIY Grundmodell'!S924</f>
        <v>717.63</v>
      </c>
      <c r="AH837" s="54">
        <f>'DIY Grundmodell'!T924</f>
        <v>6254.6786499999998</v>
      </c>
      <c r="AI837" s="89">
        <f>'DIY Grundmodell'!U924</f>
        <v>717.63</v>
      </c>
      <c r="AJ837" s="89">
        <f>'DIY Grundmodell'!V924</f>
        <v>6254.6786499999998</v>
      </c>
      <c r="AK837" s="989"/>
      <c r="AL837" s="33">
        <f>'DIY Grundmodell'!X924</f>
        <v>6389.7664800000002</v>
      </c>
    </row>
    <row r="838" spans="32:38" ht="14.1" customHeight="1" x14ac:dyDescent="0.45">
      <c r="AF838" s="988">
        <f>'DIY Grundmodell'!R925</f>
        <v>45867</v>
      </c>
      <c r="AG838" s="89">
        <f>'DIY Grundmodell'!S925</f>
        <v>700</v>
      </c>
      <c r="AH838" s="54">
        <f>'DIY Grundmodell'!T925</f>
        <v>9286.9223999999995</v>
      </c>
      <c r="AI838" s="89">
        <f>'DIY Grundmodell'!U925</f>
        <v>700</v>
      </c>
      <c r="AJ838" s="89">
        <f>'DIY Grundmodell'!V925</f>
        <v>9286.9223999999995</v>
      </c>
      <c r="AK838" s="989"/>
      <c r="AL838" s="33">
        <f>'DIY Grundmodell'!X925</f>
        <v>6370.8612999999996</v>
      </c>
    </row>
    <row r="839" spans="32:38" ht="14.1" customHeight="1" x14ac:dyDescent="0.45">
      <c r="AF839" s="988">
        <f>'DIY Grundmodell'!R926</f>
        <v>45868</v>
      </c>
      <c r="AG839" s="89">
        <f>'DIY Grundmodell'!S926</f>
        <v>695.21</v>
      </c>
      <c r="AH839" s="54">
        <f>'DIY Grundmodell'!T926</f>
        <v>18824.400000000001</v>
      </c>
      <c r="AI839" s="89">
        <f>'DIY Grundmodell'!U926</f>
        <v>695.21</v>
      </c>
      <c r="AJ839" s="89">
        <f>'DIY Grundmodell'!V926</f>
        <v>18824.400000000001</v>
      </c>
      <c r="AK839" s="989"/>
      <c r="AL839" s="33">
        <f>'DIY Grundmodell'!X926</f>
        <v>6362.89876</v>
      </c>
    </row>
    <row r="840" spans="32:38" ht="14.1" customHeight="1" x14ac:dyDescent="0.45">
      <c r="AF840" s="988">
        <f>'DIY Grundmodell'!R927</f>
        <v>45869</v>
      </c>
      <c r="AG840" s="89">
        <f>'DIY Grundmodell'!S927</f>
        <v>773.44</v>
      </c>
      <c r="AH840" s="54">
        <f>'DIY Grundmodell'!T927</f>
        <v>30033.524440000001</v>
      </c>
      <c r="AI840" s="89">
        <f>'DIY Grundmodell'!U927</f>
        <v>773.44</v>
      </c>
      <c r="AJ840" s="89">
        <f>'DIY Grundmodell'!V927</f>
        <v>30033.524440000001</v>
      </c>
      <c r="AK840" s="989"/>
      <c r="AL840" s="33">
        <f>'DIY Grundmodell'!X927</f>
        <v>6339.3945700000004</v>
      </c>
    </row>
    <row r="841" spans="32:38" ht="14.1" customHeight="1" x14ac:dyDescent="0.45">
      <c r="AF841" s="988">
        <f>'DIY Grundmodell'!R928</f>
        <v>45870</v>
      </c>
      <c r="AG841" s="89">
        <f>'DIY Grundmodell'!S928</f>
        <v>750.01</v>
      </c>
      <c r="AH841" s="54">
        <f>'DIY Grundmodell'!T928</f>
        <v>14271.72279</v>
      </c>
      <c r="AI841" s="89">
        <f>'DIY Grundmodell'!U928</f>
        <v>750.01</v>
      </c>
      <c r="AJ841" s="89">
        <f>'DIY Grundmodell'!V928</f>
        <v>14271.72279</v>
      </c>
      <c r="AK841" s="989"/>
      <c r="AL841" s="33">
        <f>'DIY Grundmodell'!X928</f>
        <v>6238.0065699999996</v>
      </c>
    </row>
    <row r="842" spans="32:38" ht="14.1" customHeight="1" x14ac:dyDescent="0.45">
      <c r="AF842" s="988">
        <f>'DIY Grundmodell'!R929</f>
        <v>45871</v>
      </c>
      <c r="AG842" s="89" t="e">
        <f>'DIY Grundmodell'!S929</f>
        <v>#N/A</v>
      </c>
      <c r="AH842" s="54" t="e">
        <f>'DIY Grundmodell'!T929</f>
        <v>#N/A</v>
      </c>
      <c r="AI842" s="89">
        <f>'DIY Grundmodell'!U929</f>
        <v>750.01</v>
      </c>
      <c r="AJ842" s="89">
        <f>'DIY Grundmodell'!V929</f>
        <v>0</v>
      </c>
      <c r="AK842" s="989"/>
      <c r="AL842" s="33">
        <f>'DIY Grundmodell'!X929</f>
        <v>6238.0065699999996</v>
      </c>
    </row>
    <row r="843" spans="32:38" ht="14.1" customHeight="1" x14ac:dyDescent="0.45">
      <c r="AF843" s="988">
        <f>'DIY Grundmodell'!R930</f>
        <v>45872</v>
      </c>
      <c r="AG843" s="89" t="e">
        <f>'DIY Grundmodell'!S930</f>
        <v>#N/A</v>
      </c>
      <c r="AH843" s="54" t="e">
        <f>'DIY Grundmodell'!T930</f>
        <v>#N/A</v>
      </c>
      <c r="AI843" s="89">
        <f>'DIY Grundmodell'!U930</f>
        <v>750.01</v>
      </c>
      <c r="AJ843" s="89">
        <f>'DIY Grundmodell'!V930</f>
        <v>0</v>
      </c>
      <c r="AK843" s="989"/>
      <c r="AL843" s="33">
        <f>'DIY Grundmodell'!X930</f>
        <v>6238.0065699999996</v>
      </c>
    </row>
    <row r="844" spans="32:38" ht="14.1" customHeight="1" x14ac:dyDescent="0.45">
      <c r="AF844" s="988">
        <f>'DIY Grundmodell'!R931</f>
        <v>45873</v>
      </c>
      <c r="AG844" s="89">
        <f>'DIY Grundmodell'!S931</f>
        <v>776.37</v>
      </c>
      <c r="AH844" s="54">
        <f>'DIY Grundmodell'!T931</f>
        <v>12267.986790000001</v>
      </c>
      <c r="AI844" s="89">
        <f>'DIY Grundmodell'!U931</f>
        <v>776.37</v>
      </c>
      <c r="AJ844" s="89">
        <f>'DIY Grundmodell'!V931</f>
        <v>12267.986790000001</v>
      </c>
      <c r="AK844" s="989"/>
      <c r="AL844" s="33">
        <f>'DIY Grundmodell'!X931</f>
        <v>6329.9395000000004</v>
      </c>
    </row>
    <row r="845" spans="32:38" ht="14.1" customHeight="1" x14ac:dyDescent="0.45">
      <c r="AF845" s="988">
        <f>'DIY Grundmodell'!R932</f>
        <v>45874</v>
      </c>
      <c r="AG845" s="89">
        <f>'DIY Grundmodell'!S932</f>
        <v>763.46</v>
      </c>
      <c r="AH845" s="54">
        <f>'DIY Grundmodell'!T932</f>
        <v>8886.8988599999993</v>
      </c>
      <c r="AI845" s="89">
        <f>'DIY Grundmodell'!U932</f>
        <v>763.46</v>
      </c>
      <c r="AJ845" s="89">
        <f>'DIY Grundmodell'!V932</f>
        <v>8886.8988599999993</v>
      </c>
      <c r="AK845" s="989"/>
      <c r="AL845" s="33">
        <f>'DIY Grundmodell'!X932</f>
        <v>6299.1939499999999</v>
      </c>
    </row>
    <row r="846" spans="32:38" ht="14.1" customHeight="1" x14ac:dyDescent="0.45">
      <c r="AF846" s="988">
        <f>'DIY Grundmodell'!R933</f>
        <v>45875</v>
      </c>
      <c r="AG846" s="89">
        <f>'DIY Grundmodell'!S933</f>
        <v>771.99</v>
      </c>
      <c r="AH846" s="54">
        <f>'DIY Grundmodell'!T933</f>
        <v>7514.4811799999998</v>
      </c>
      <c r="AI846" s="89">
        <f>'DIY Grundmodell'!U933</f>
        <v>771.99</v>
      </c>
      <c r="AJ846" s="89">
        <f>'DIY Grundmodell'!V933</f>
        <v>7514.4811799999998</v>
      </c>
      <c r="AK846" s="989"/>
      <c r="AL846" s="33">
        <f>'DIY Grundmodell'!X933</f>
        <v>6345.0595400000002</v>
      </c>
    </row>
    <row r="847" spans="32:38" ht="14.1" customHeight="1" x14ac:dyDescent="0.45">
      <c r="AF847" s="988">
        <f>'DIY Grundmodell'!R934</f>
        <v>45876</v>
      </c>
      <c r="AG847" s="89">
        <f>'DIY Grundmodell'!S934</f>
        <v>761.83</v>
      </c>
      <c r="AH847" s="54">
        <f>'DIY Grundmodell'!T934</f>
        <v>6871.4712</v>
      </c>
      <c r="AI847" s="89">
        <f>'DIY Grundmodell'!U934</f>
        <v>761.83</v>
      </c>
      <c r="AJ847" s="89">
        <f>'DIY Grundmodell'!V934</f>
        <v>6871.4712</v>
      </c>
      <c r="AK847" s="989"/>
      <c r="AL847" s="33">
        <f>'DIY Grundmodell'!X934</f>
        <v>6339.99773</v>
      </c>
    </row>
    <row r="848" spans="32:38" ht="14.1" customHeight="1" x14ac:dyDescent="0.45">
      <c r="AF848" s="988">
        <f>'DIY Grundmodell'!R935</f>
        <v>45877</v>
      </c>
      <c r="AG848" s="89">
        <f>'DIY Grundmodell'!S935</f>
        <v>769.3</v>
      </c>
      <c r="AH848" s="54">
        <f>'DIY Grundmodell'!T935</f>
        <v>5631.85682</v>
      </c>
      <c r="AI848" s="89">
        <f>'DIY Grundmodell'!U935</f>
        <v>769.3</v>
      </c>
      <c r="AJ848" s="89">
        <f>'DIY Grundmodell'!V935</f>
        <v>5631.85682</v>
      </c>
      <c r="AK848" s="989"/>
      <c r="AL848" s="33">
        <f>'DIY Grundmodell'!X935</f>
        <v>6389.4453100000001</v>
      </c>
    </row>
    <row r="849" spans="32:38" ht="14.1" customHeight="1" x14ac:dyDescent="0.45">
      <c r="AF849" s="988">
        <f>'DIY Grundmodell'!R936</f>
        <v>45878</v>
      </c>
      <c r="AG849" s="89" t="e">
        <f>'DIY Grundmodell'!S936</f>
        <v>#N/A</v>
      </c>
      <c r="AH849" s="54" t="e">
        <f>'DIY Grundmodell'!T936</f>
        <v>#N/A</v>
      </c>
      <c r="AI849" s="89">
        <f>'DIY Grundmodell'!U936</f>
        <v>769.3</v>
      </c>
      <c r="AJ849" s="89">
        <f>'DIY Grundmodell'!V936</f>
        <v>0</v>
      </c>
      <c r="AK849" s="989"/>
      <c r="AL849" s="33">
        <f>'DIY Grundmodell'!X936</f>
        <v>6389.4453100000001</v>
      </c>
    </row>
    <row r="850" spans="32:38" ht="14.1" customHeight="1" x14ac:dyDescent="0.45">
      <c r="AF850" s="988">
        <f>'DIY Grundmodell'!R937</f>
        <v>45879</v>
      </c>
      <c r="AG850" s="89" t="e">
        <f>'DIY Grundmodell'!S937</f>
        <v>#N/A</v>
      </c>
      <c r="AH850" s="54" t="e">
        <f>'DIY Grundmodell'!T937</f>
        <v>#N/A</v>
      </c>
      <c r="AI850" s="89">
        <f>'DIY Grundmodell'!U937</f>
        <v>769.3</v>
      </c>
      <c r="AJ850" s="89">
        <f>'DIY Grundmodell'!V937</f>
        <v>0</v>
      </c>
      <c r="AK850" s="989"/>
      <c r="AL850" s="33">
        <f>'DIY Grundmodell'!X937</f>
        <v>6389.4453100000001</v>
      </c>
    </row>
    <row r="851" spans="32:38" ht="14.1" customHeight="1" x14ac:dyDescent="0.45">
      <c r="AF851" s="988">
        <f>'DIY Grundmodell'!R938</f>
        <v>45880</v>
      </c>
      <c r="AG851" s="89">
        <f>'DIY Grundmodell'!S938</f>
        <v>765.87</v>
      </c>
      <c r="AH851" s="54">
        <f>'DIY Grundmodell'!T938</f>
        <v>5829.7748700000002</v>
      </c>
      <c r="AI851" s="89">
        <f>'DIY Grundmodell'!U938</f>
        <v>765.87</v>
      </c>
      <c r="AJ851" s="89">
        <f>'DIY Grundmodell'!V938</f>
        <v>5829.7748700000002</v>
      </c>
      <c r="AK851" s="989"/>
      <c r="AL851" s="33">
        <f>'DIY Grundmodell'!X938</f>
        <v>6373.4533700000002</v>
      </c>
    </row>
    <row r="852" spans="32:38" ht="14.1" customHeight="1" x14ac:dyDescent="0.45">
      <c r="AF852" s="988">
        <f>'DIY Grundmodell'!R939</f>
        <v>45881</v>
      </c>
      <c r="AG852" s="89">
        <f>'DIY Grundmodell'!S939</f>
        <v>790</v>
      </c>
      <c r="AH852" s="54">
        <f>'DIY Grundmodell'!T939</f>
        <v>11518.014349999999</v>
      </c>
      <c r="AI852" s="89">
        <f>'DIY Grundmodell'!U939</f>
        <v>790</v>
      </c>
      <c r="AJ852" s="89">
        <f>'DIY Grundmodell'!V939</f>
        <v>11518.014349999999</v>
      </c>
      <c r="AK852" s="989"/>
      <c r="AL852" s="33">
        <f>'DIY Grundmodell'!X939</f>
        <v>6445.7622000000001</v>
      </c>
    </row>
    <row r="853" spans="32:38" ht="14.1" customHeight="1" x14ac:dyDescent="0.45">
      <c r="AF853" s="988">
        <f>'DIY Grundmodell'!R940</f>
        <v>45882</v>
      </c>
      <c r="AG853" s="89">
        <f>'DIY Grundmodell'!S940</f>
        <v>780.08</v>
      </c>
      <c r="AH853" s="54">
        <f>'DIY Grundmodell'!T940</f>
        <v>6873.8699399999996</v>
      </c>
      <c r="AI853" s="89">
        <f>'DIY Grundmodell'!U940</f>
        <v>780.08</v>
      </c>
      <c r="AJ853" s="89">
        <f>'DIY Grundmodell'!V940</f>
        <v>6873.8699399999996</v>
      </c>
      <c r="AK853" s="989"/>
      <c r="AL853" s="33">
        <f>'DIY Grundmodell'!X940</f>
        <v>6466.5846899999997</v>
      </c>
    </row>
    <row r="854" spans="32:38" ht="14.1" customHeight="1" x14ac:dyDescent="0.45">
      <c r="AF854" s="988">
        <f>'DIY Grundmodell'!R941</f>
        <v>45883</v>
      </c>
      <c r="AG854" s="89">
        <f>'DIY Grundmodell'!S941</f>
        <v>782.13</v>
      </c>
      <c r="AH854" s="54">
        <f>'DIY Grundmodell'!T941</f>
        <v>6347.9180299999998</v>
      </c>
      <c r="AI854" s="89">
        <f>'DIY Grundmodell'!U941</f>
        <v>782.13</v>
      </c>
      <c r="AJ854" s="89">
        <f>'DIY Grundmodell'!V941</f>
        <v>6347.9180299999998</v>
      </c>
      <c r="AK854" s="989"/>
      <c r="AL854" s="33">
        <f>'DIY Grundmodell'!X941</f>
        <v>6468.5351899999996</v>
      </c>
    </row>
    <row r="855" spans="32:38" ht="14.1" customHeight="1" x14ac:dyDescent="0.45">
      <c r="AF855" s="988">
        <f>'DIY Grundmodell'!R942</f>
        <v>45884</v>
      </c>
      <c r="AG855" s="89">
        <f>'DIY Grundmodell'!S942</f>
        <v>785.23</v>
      </c>
      <c r="AH855" s="54">
        <f>'DIY Grundmodell'!T942</f>
        <v>10502.73472</v>
      </c>
      <c r="AI855" s="89">
        <f>'DIY Grundmodell'!U942</f>
        <v>785.23</v>
      </c>
      <c r="AJ855" s="89">
        <f>'DIY Grundmodell'!V942</f>
        <v>10502.73472</v>
      </c>
      <c r="AK855" s="989"/>
      <c r="AL855" s="33">
        <f>'DIY Grundmodell'!X942</f>
        <v>6449.7965800000002</v>
      </c>
    </row>
    <row r="856" spans="32:38" ht="14.1" customHeight="1" x14ac:dyDescent="0.45">
      <c r="AF856" s="988">
        <f>'DIY Grundmodell'!R943</f>
        <v>45885</v>
      </c>
      <c r="AG856" s="89" t="e">
        <f>'DIY Grundmodell'!S943</f>
        <v>#N/A</v>
      </c>
      <c r="AH856" s="54" t="e">
        <f>'DIY Grundmodell'!T943</f>
        <v>#N/A</v>
      </c>
      <c r="AI856" s="89">
        <f>'DIY Grundmodell'!U943</f>
        <v>785.23</v>
      </c>
      <c r="AJ856" s="89">
        <f>'DIY Grundmodell'!V943</f>
        <v>0</v>
      </c>
      <c r="AK856" s="989"/>
      <c r="AL856" s="33">
        <f>'DIY Grundmodell'!X943</f>
        <v>6449.7965800000002</v>
      </c>
    </row>
    <row r="857" spans="32:38" ht="14.1" customHeight="1" x14ac:dyDescent="0.45">
      <c r="AF857" s="988">
        <f>'DIY Grundmodell'!R944</f>
        <v>45886</v>
      </c>
      <c r="AG857" s="89" t="e">
        <f>'DIY Grundmodell'!S944</f>
        <v>#N/A</v>
      </c>
      <c r="AH857" s="54" t="e">
        <f>'DIY Grundmodell'!T944</f>
        <v>#N/A</v>
      </c>
      <c r="AI857" s="89">
        <f>'DIY Grundmodell'!U944</f>
        <v>785.23</v>
      </c>
      <c r="AJ857" s="89">
        <f>'DIY Grundmodell'!V944</f>
        <v>0</v>
      </c>
      <c r="AK857" s="989"/>
      <c r="AL857" s="33">
        <f>'DIY Grundmodell'!X944</f>
        <v>6449.7965800000002</v>
      </c>
    </row>
    <row r="858" spans="32:38" ht="14.1" customHeight="1" x14ac:dyDescent="0.45">
      <c r="AF858" s="988">
        <f>'DIY Grundmodell'!R945</f>
        <v>45887</v>
      </c>
      <c r="AG858" s="89">
        <f>'DIY Grundmodell'!S945</f>
        <v>767.37</v>
      </c>
      <c r="AH858" s="54">
        <f>'DIY Grundmodell'!T945</f>
        <v>12672.146360000001</v>
      </c>
      <c r="AI858" s="89">
        <f>'DIY Grundmodell'!U945</f>
        <v>767.37</v>
      </c>
      <c r="AJ858" s="89">
        <f>'DIY Grundmodell'!V945</f>
        <v>12672.146360000001</v>
      </c>
      <c r="AK858" s="989"/>
      <c r="AL858" s="33">
        <f>'DIY Grundmodell'!X945</f>
        <v>6449.1491500000002</v>
      </c>
    </row>
    <row r="859" spans="32:38" ht="14.1" customHeight="1" x14ac:dyDescent="0.45">
      <c r="AF859" s="988">
        <f>'DIY Grundmodell'!R946</f>
        <v>45888</v>
      </c>
      <c r="AG859" s="89">
        <f>'DIY Grundmodell'!S946</f>
        <v>751.48</v>
      </c>
      <c r="AH859" s="54">
        <f>'DIY Grundmodell'!T946</f>
        <v>9233.2018000000007</v>
      </c>
      <c r="AI859" s="89">
        <f>'DIY Grundmodell'!U946</f>
        <v>751.48</v>
      </c>
      <c r="AJ859" s="89">
        <f>'DIY Grundmodell'!V946</f>
        <v>9233.2018000000007</v>
      </c>
      <c r="AK859" s="989"/>
      <c r="AL859" s="33">
        <f>'DIY Grundmodell'!X946</f>
        <v>6411.3745900000004</v>
      </c>
    </row>
    <row r="860" spans="32:38" ht="14.1" customHeight="1" x14ac:dyDescent="0.45">
      <c r="AF860" s="988">
        <f>'DIY Grundmodell'!R947</f>
        <v>45889</v>
      </c>
      <c r="AG860" s="89">
        <f>'DIY Grundmodell'!S947</f>
        <v>747.72</v>
      </c>
      <c r="AH860" s="54">
        <f>'DIY Grundmodell'!T947</f>
        <v>8896.5146299999997</v>
      </c>
      <c r="AI860" s="89">
        <f>'DIY Grundmodell'!U947</f>
        <v>747.72</v>
      </c>
      <c r="AJ860" s="89">
        <f>'DIY Grundmodell'!V947</f>
        <v>8896.5146299999997</v>
      </c>
      <c r="AK860" s="989"/>
      <c r="AL860" s="33">
        <f>'DIY Grundmodell'!X947</f>
        <v>6395.7811899999997</v>
      </c>
    </row>
    <row r="861" spans="32:38" ht="14.1" customHeight="1" x14ac:dyDescent="0.45">
      <c r="AF861" s="988">
        <f>'DIY Grundmodell'!R948</f>
        <v>45890</v>
      </c>
      <c r="AG861" s="89">
        <f>'DIY Grundmodell'!S948</f>
        <v>739.1</v>
      </c>
      <c r="AH861" s="54">
        <f>'DIY Grundmodell'!T948</f>
        <v>6560.4785000000002</v>
      </c>
      <c r="AI861" s="89">
        <f>'DIY Grundmodell'!U948</f>
        <v>739.1</v>
      </c>
      <c r="AJ861" s="89">
        <f>'DIY Grundmodell'!V948</f>
        <v>6560.4785000000002</v>
      </c>
      <c r="AK861" s="989"/>
      <c r="AL861" s="33">
        <f>'DIY Grundmodell'!X948</f>
        <v>6370.1726699999999</v>
      </c>
    </row>
    <row r="862" spans="32:38" ht="14.1" customHeight="1" x14ac:dyDescent="0.45">
      <c r="AF862" s="988">
        <f>'DIY Grundmodell'!R949</f>
        <v>45891</v>
      </c>
      <c r="AG862" s="89">
        <f>'DIY Grundmodell'!S949</f>
        <v>754.79</v>
      </c>
      <c r="AH862" s="54">
        <f>'DIY Grundmodell'!T949</f>
        <v>8010.33493</v>
      </c>
      <c r="AI862" s="89">
        <f>'DIY Grundmodell'!U949</f>
        <v>754.79</v>
      </c>
      <c r="AJ862" s="89">
        <f>'DIY Grundmodell'!V949</f>
        <v>8010.33493</v>
      </c>
      <c r="AK862" s="989"/>
      <c r="AL862" s="33">
        <f>'DIY Grundmodell'!X949</f>
        <v>6466.9129700000003</v>
      </c>
    </row>
    <row r="863" spans="32:38" ht="14.1" customHeight="1" x14ac:dyDescent="0.45">
      <c r="AF863" s="988">
        <f>'DIY Grundmodell'!R950</f>
        <v>45892</v>
      </c>
      <c r="AG863" s="89" t="e">
        <f>'DIY Grundmodell'!S950</f>
        <v>#N/A</v>
      </c>
      <c r="AH863" s="54" t="e">
        <f>'DIY Grundmodell'!T950</f>
        <v>#N/A</v>
      </c>
      <c r="AI863" s="89">
        <f>'DIY Grundmodell'!U950</f>
        <v>754.79</v>
      </c>
      <c r="AJ863" s="89">
        <f>'DIY Grundmodell'!V950</f>
        <v>0</v>
      </c>
      <c r="AK863" s="989"/>
      <c r="AL863" s="33">
        <f>'DIY Grundmodell'!X950</f>
        <v>6466.9129700000003</v>
      </c>
    </row>
    <row r="864" spans="32:38" ht="14.1" customHeight="1" x14ac:dyDescent="0.45">
      <c r="AF864" s="988">
        <f>'DIY Grundmodell'!R951</f>
        <v>45893</v>
      </c>
      <c r="AG864" s="89" t="e">
        <f>'DIY Grundmodell'!S951</f>
        <v>#N/A</v>
      </c>
      <c r="AH864" s="54" t="e">
        <f>'DIY Grundmodell'!T951</f>
        <v>#N/A</v>
      </c>
      <c r="AI864" s="89">
        <f>'DIY Grundmodell'!U951</f>
        <v>754.79</v>
      </c>
      <c r="AJ864" s="89">
        <f>'DIY Grundmodell'!V951</f>
        <v>0</v>
      </c>
      <c r="AK864" s="989"/>
      <c r="AL864" s="33">
        <f>'DIY Grundmodell'!X951</f>
        <v>6466.9129700000003</v>
      </c>
    </row>
    <row r="865" spans="32:38" ht="14.1" customHeight="1" x14ac:dyDescent="0.45">
      <c r="AF865" s="988">
        <f>'DIY Grundmodell'!R952</f>
        <v>45894</v>
      </c>
      <c r="AG865" s="89">
        <f>'DIY Grundmodell'!S952</f>
        <v>753.3</v>
      </c>
      <c r="AH865" s="54">
        <f>'DIY Grundmodell'!T952</f>
        <v>5168.5103200000003</v>
      </c>
      <c r="AI865" s="89">
        <f>'DIY Grundmodell'!U952</f>
        <v>753.3</v>
      </c>
      <c r="AJ865" s="89">
        <f>'DIY Grundmodell'!V952</f>
        <v>5168.5103200000003</v>
      </c>
      <c r="AK865" s="989"/>
      <c r="AL865" s="33">
        <f>'DIY Grundmodell'!X952</f>
        <v>6439.31988</v>
      </c>
    </row>
    <row r="866" spans="32:38" ht="14.1" customHeight="1" x14ac:dyDescent="0.45">
      <c r="AF866" s="988">
        <f>'DIY Grundmodell'!R953</f>
        <v>45895</v>
      </c>
      <c r="AG866" s="89">
        <f>'DIY Grundmodell'!S953</f>
        <v>754.1</v>
      </c>
      <c r="AH866" s="54">
        <f>'DIY Grundmodell'!T953</f>
        <v>5732.5173800000002</v>
      </c>
      <c r="AI866" s="89">
        <f>'DIY Grundmodell'!U953</f>
        <v>754.1</v>
      </c>
      <c r="AJ866" s="89">
        <f>'DIY Grundmodell'!V953</f>
        <v>5732.5173800000002</v>
      </c>
      <c r="AK866" s="989"/>
      <c r="AL866" s="33">
        <f>'DIY Grundmodell'!X953</f>
        <v>6465.9352799999997</v>
      </c>
    </row>
    <row r="867" spans="32:38" ht="14.1" customHeight="1" x14ac:dyDescent="0.45">
      <c r="AF867" s="988">
        <f>'DIY Grundmodell'!R954</f>
        <v>45896</v>
      </c>
      <c r="AG867" s="89">
        <f>'DIY Grundmodell'!S954</f>
        <v>747.38</v>
      </c>
      <c r="AH867" s="54">
        <f>'DIY Grundmodell'!T954</f>
        <v>6214.7898100000002</v>
      </c>
      <c r="AI867" s="89">
        <f>'DIY Grundmodell'!U954</f>
        <v>747.38</v>
      </c>
      <c r="AJ867" s="89">
        <f>'DIY Grundmodell'!V954</f>
        <v>6214.7898100000002</v>
      </c>
      <c r="AK867" s="989"/>
      <c r="AL867" s="33">
        <f>'DIY Grundmodell'!X954</f>
        <v>6481.40319</v>
      </c>
    </row>
    <row r="868" spans="32:38" ht="14.1" customHeight="1" x14ac:dyDescent="0.45">
      <c r="AF868" s="988">
        <f>'DIY Grundmodell'!R955</f>
        <v>45897</v>
      </c>
      <c r="AG868" s="89">
        <f>'DIY Grundmodell'!S955</f>
        <v>751.11</v>
      </c>
      <c r="AH868" s="54">
        <f>'DIY Grundmodell'!T955</f>
        <v>5609.2556800000002</v>
      </c>
      <c r="AI868" s="89">
        <f>'DIY Grundmodell'!U955</f>
        <v>751.11</v>
      </c>
      <c r="AJ868" s="89">
        <f>'DIY Grundmodell'!V955</f>
        <v>5609.2556800000002</v>
      </c>
      <c r="AK868" s="989"/>
      <c r="AL868" s="33">
        <f>'DIY Grundmodell'!X955</f>
        <v>6501.8594199999998</v>
      </c>
    </row>
    <row r="869" spans="32:38" ht="14.1" customHeight="1" x14ac:dyDescent="0.45">
      <c r="AF869" s="988">
        <f>'DIY Grundmodell'!R956</f>
        <v>45898</v>
      </c>
      <c r="AG869" s="89">
        <f>'DIY Grundmodell'!S956</f>
        <v>738.7</v>
      </c>
      <c r="AH869" s="54">
        <f>'DIY Grundmodell'!T956</f>
        <v>6700.4123300000001</v>
      </c>
      <c r="AI869" s="89">
        <f>'DIY Grundmodell'!U956</f>
        <v>738.7</v>
      </c>
      <c r="AJ869" s="89">
        <f>'DIY Grundmodell'!V956</f>
        <v>6700.4123300000001</v>
      </c>
      <c r="AK869" s="989"/>
      <c r="AL869" s="33">
        <f>'DIY Grundmodell'!X956</f>
        <v>6460.2626700000001</v>
      </c>
    </row>
    <row r="870" spans="32:38" ht="14.1" customHeight="1" x14ac:dyDescent="0.45">
      <c r="AF870" s="988">
        <f>'DIY Grundmodell'!R957</f>
        <v>45899</v>
      </c>
      <c r="AG870" s="89" t="e">
        <f>'DIY Grundmodell'!S957</f>
        <v>#N/A</v>
      </c>
      <c r="AH870" s="54" t="e">
        <f>'DIY Grundmodell'!T957</f>
        <v>#N/A</v>
      </c>
      <c r="AI870" s="89">
        <f>'DIY Grundmodell'!U957</f>
        <v>738.7</v>
      </c>
      <c r="AJ870" s="89">
        <f>'DIY Grundmodell'!V957</f>
        <v>0</v>
      </c>
      <c r="AK870" s="989"/>
      <c r="AL870" s="33">
        <f>'DIY Grundmodell'!X957</f>
        <v>6460.2626700000001</v>
      </c>
    </row>
    <row r="871" spans="32:38" ht="14.1" customHeight="1" x14ac:dyDescent="0.45">
      <c r="AF871" s="988">
        <f>'DIY Grundmodell'!R958</f>
        <v>45900</v>
      </c>
      <c r="AG871" s="89" t="e">
        <f>'DIY Grundmodell'!S958</f>
        <v>#N/A</v>
      </c>
      <c r="AH871" s="54" t="e">
        <f>'DIY Grundmodell'!T958</f>
        <v>#N/A</v>
      </c>
      <c r="AI871" s="89">
        <f>'DIY Grundmodell'!U958</f>
        <v>738.7</v>
      </c>
      <c r="AJ871" s="89">
        <f>'DIY Grundmodell'!V958</f>
        <v>0</v>
      </c>
      <c r="AK871" s="989"/>
      <c r="AL871" s="33">
        <f>'DIY Grundmodell'!X958</f>
        <v>6460.2626700000001</v>
      </c>
    </row>
    <row r="872" spans="32:38" ht="14.1" customHeight="1" x14ac:dyDescent="0.45">
      <c r="AF872" s="988">
        <f>'DIY Grundmodell'!R959</f>
        <v>45901</v>
      </c>
      <c r="AG872" s="89" t="e">
        <f>'DIY Grundmodell'!S959</f>
        <v>#N/A</v>
      </c>
      <c r="AH872" s="54" t="e">
        <f>'DIY Grundmodell'!T959</f>
        <v>#N/A</v>
      </c>
      <c r="AI872" s="89">
        <f>'DIY Grundmodell'!U959</f>
        <v>738.7</v>
      </c>
      <c r="AJ872" s="89">
        <f>'DIY Grundmodell'!V959</f>
        <v>0</v>
      </c>
      <c r="AK872" s="989"/>
      <c r="AL872" s="33">
        <f>'DIY Grundmodell'!X959</f>
        <v>6460.2626700000001</v>
      </c>
    </row>
    <row r="873" spans="32:38" ht="14.1" customHeight="1" x14ac:dyDescent="0.45">
      <c r="AF873" s="988">
        <f>'DIY Grundmodell'!R960</f>
        <v>45902</v>
      </c>
      <c r="AG873" s="89">
        <f>'DIY Grundmodell'!S960</f>
        <v>735.11</v>
      </c>
      <c r="AH873" s="54">
        <f>'DIY Grundmodell'!T960</f>
        <v>6873.9084899999998</v>
      </c>
      <c r="AI873" s="89">
        <f>'DIY Grundmodell'!U960</f>
        <v>735.11</v>
      </c>
      <c r="AJ873" s="89">
        <f>'DIY Grundmodell'!V960</f>
        <v>6873.9084899999998</v>
      </c>
      <c r="AK873" s="989"/>
      <c r="AL873" s="33">
        <f>'DIY Grundmodell'!X960</f>
        <v>6415.5413399999998</v>
      </c>
    </row>
    <row r="874" spans="32:38" ht="14.1" customHeight="1" x14ac:dyDescent="0.45">
      <c r="AF874" s="988">
        <f>'DIY Grundmodell'!R961</f>
        <v>45903</v>
      </c>
      <c r="AG874" s="89">
        <f>'DIY Grundmodell'!S961</f>
        <v>737.05</v>
      </c>
      <c r="AH874" s="54">
        <f>'DIY Grundmodell'!T961</f>
        <v>5674.7926500000003</v>
      </c>
      <c r="AI874" s="89">
        <f>'DIY Grundmodell'!U961</f>
        <v>737.05</v>
      </c>
      <c r="AJ874" s="89">
        <f>'DIY Grundmodell'!V961</f>
        <v>5674.7926500000003</v>
      </c>
      <c r="AK874" s="989"/>
      <c r="AL874" s="33">
        <f>'DIY Grundmodell'!X961</f>
        <v>6448.2608499999997</v>
      </c>
    </row>
    <row r="875" spans="32:38" ht="14.1" customHeight="1" x14ac:dyDescent="0.45">
      <c r="AF875" s="988">
        <f>'DIY Grundmodell'!R962</f>
        <v>45904</v>
      </c>
      <c r="AG875" s="89">
        <f>'DIY Grundmodell'!S962</f>
        <v>748.65</v>
      </c>
      <c r="AH875" s="54">
        <f>'DIY Grundmodell'!T962</f>
        <v>8563.8657500000008</v>
      </c>
      <c r="AI875" s="89">
        <f>'DIY Grundmodell'!U962</f>
        <v>748.65</v>
      </c>
      <c r="AJ875" s="89">
        <f>'DIY Grundmodell'!V962</f>
        <v>8563.8657500000008</v>
      </c>
      <c r="AK875" s="989"/>
      <c r="AL875" s="33">
        <f>'DIY Grundmodell'!X962</f>
        <v>6502.0829199999998</v>
      </c>
    </row>
    <row r="876" spans="32:38" ht="14.1" customHeight="1" x14ac:dyDescent="0.45">
      <c r="AF876" s="988">
        <f>'DIY Grundmodell'!R963</f>
        <v>45905</v>
      </c>
      <c r="AG876" s="89">
        <f>'DIY Grundmodell'!S963</f>
        <v>752.45</v>
      </c>
      <c r="AH876" s="54">
        <f>'DIY Grundmodell'!T963</f>
        <v>7271.2561800000003</v>
      </c>
      <c r="AI876" s="89">
        <f>'DIY Grundmodell'!U963</f>
        <v>752.45</v>
      </c>
      <c r="AJ876" s="89">
        <f>'DIY Grundmodell'!V963</f>
        <v>7271.2561800000003</v>
      </c>
      <c r="AK876" s="989"/>
      <c r="AL876" s="33">
        <f>'DIY Grundmodell'!X963</f>
        <v>6481.4955300000001</v>
      </c>
    </row>
    <row r="877" spans="32:38" ht="14.1" customHeight="1" x14ac:dyDescent="0.45">
      <c r="AF877" s="988">
        <f>'DIY Grundmodell'!R964</f>
        <v>45906</v>
      </c>
      <c r="AG877" s="89" t="e">
        <f>'DIY Grundmodell'!S964</f>
        <v>#N/A</v>
      </c>
      <c r="AH877" s="54" t="e">
        <f>'DIY Grundmodell'!T964</f>
        <v>#N/A</v>
      </c>
      <c r="AI877" s="89">
        <f>'DIY Grundmodell'!U964</f>
        <v>752.45</v>
      </c>
      <c r="AJ877" s="89">
        <f>'DIY Grundmodell'!V964</f>
        <v>0</v>
      </c>
      <c r="AK877" s="989"/>
      <c r="AL877" s="33">
        <f>'DIY Grundmodell'!X964</f>
        <v>6481.4955300000001</v>
      </c>
    </row>
    <row r="878" spans="32:38" ht="14.1" customHeight="1" x14ac:dyDescent="0.45">
      <c r="AF878" s="988">
        <f>'DIY Grundmodell'!R965</f>
        <v>45907</v>
      </c>
      <c r="AG878" s="89" t="e">
        <f>'DIY Grundmodell'!S965</f>
        <v>#N/A</v>
      </c>
      <c r="AH878" s="54" t="e">
        <f>'DIY Grundmodell'!T965</f>
        <v>#N/A</v>
      </c>
      <c r="AI878" s="89">
        <f>'DIY Grundmodell'!U965</f>
        <v>752.45</v>
      </c>
      <c r="AJ878" s="89">
        <f>'DIY Grundmodell'!V965</f>
        <v>0</v>
      </c>
      <c r="AK878" s="989"/>
      <c r="AL878" s="33">
        <f>'DIY Grundmodell'!X965</f>
        <v>6481.4955300000001</v>
      </c>
    </row>
    <row r="879" spans="32:38" ht="14.1" customHeight="1" x14ac:dyDescent="0.45">
      <c r="AF879" s="988">
        <f>'DIY Grundmodell'!R966</f>
        <v>45908</v>
      </c>
      <c r="AG879" s="89">
        <f>'DIY Grundmodell'!S966</f>
        <v>752.3</v>
      </c>
      <c r="AH879" s="54">
        <f>'DIY Grundmodell'!T966</f>
        <v>9845.9639800000004</v>
      </c>
      <c r="AI879" s="89">
        <f>'DIY Grundmodell'!U966</f>
        <v>752.3</v>
      </c>
      <c r="AJ879" s="89">
        <f>'DIY Grundmodell'!V966</f>
        <v>9845.9639800000004</v>
      </c>
      <c r="AK879" s="989"/>
      <c r="AL879" s="33">
        <f>'DIY Grundmodell'!X966</f>
        <v>6495.1548300000004</v>
      </c>
    </row>
    <row r="880" spans="32:38" ht="14.1" customHeight="1" x14ac:dyDescent="0.45">
      <c r="AF880" s="988">
        <f>'DIY Grundmodell'!R967</f>
        <v>45909</v>
      </c>
      <c r="AG880" s="89">
        <f>'DIY Grundmodell'!S967</f>
        <v>765.7</v>
      </c>
      <c r="AH880" s="54">
        <f>'DIY Grundmodell'!T967</f>
        <v>8421.9542099999999</v>
      </c>
      <c r="AI880" s="89">
        <f>'DIY Grundmodell'!U967</f>
        <v>765.7</v>
      </c>
      <c r="AJ880" s="89">
        <f>'DIY Grundmodell'!V967</f>
        <v>8421.9542099999999</v>
      </c>
      <c r="AK880" s="989"/>
      <c r="AL880" s="33">
        <f>'DIY Grundmodell'!X967</f>
        <v>6512.6107499999998</v>
      </c>
    </row>
    <row r="881" spans="32:38" ht="14.1" customHeight="1" x14ac:dyDescent="0.45">
      <c r="AF881" s="988">
        <f>'DIY Grundmodell'!R968</f>
        <v>45910</v>
      </c>
      <c r="AG881" s="89">
        <f>'DIY Grundmodell'!S968</f>
        <v>751.98</v>
      </c>
      <c r="AH881" s="54">
        <f>'DIY Grundmodell'!T968</f>
        <v>9383.4139899999991</v>
      </c>
      <c r="AI881" s="89">
        <f>'DIY Grundmodell'!U968</f>
        <v>751.98</v>
      </c>
      <c r="AJ881" s="89">
        <f>'DIY Grundmodell'!V968</f>
        <v>9383.4139899999991</v>
      </c>
      <c r="AK881" s="989"/>
      <c r="AL881" s="33">
        <f>'DIY Grundmodell'!X968</f>
        <v>6532.0433400000002</v>
      </c>
    </row>
    <row r="882" spans="32:38" ht="14.1" customHeight="1" x14ac:dyDescent="0.45">
      <c r="AF882" s="988">
        <f>'DIY Grundmodell'!R969</f>
        <v>45911</v>
      </c>
      <c r="AG882" s="89">
        <f>'DIY Grundmodell'!S969</f>
        <v>750.9</v>
      </c>
      <c r="AH882" s="54">
        <f>'DIY Grundmodell'!T969</f>
        <v>5949.5939600000002</v>
      </c>
      <c r="AI882" s="89">
        <f>'DIY Grundmodell'!U969</f>
        <v>750.9</v>
      </c>
      <c r="AJ882" s="89">
        <f>'DIY Grundmodell'!V969</f>
        <v>5949.5939600000002</v>
      </c>
      <c r="AK882" s="989"/>
      <c r="AL882" s="33">
        <f>'DIY Grundmodell'!X969</f>
        <v>6587.4708700000001</v>
      </c>
    </row>
    <row r="883" spans="32:38" ht="14.1" customHeight="1" x14ac:dyDescent="0.45">
      <c r="AF883" s="988">
        <f>'DIY Grundmodell'!R970</f>
        <v>45912</v>
      </c>
      <c r="AG883" s="89">
        <f>'DIY Grundmodell'!S970</f>
        <v>755.59</v>
      </c>
      <c r="AH883" s="54">
        <f>'DIY Grundmodell'!T970</f>
        <v>6232.52718</v>
      </c>
      <c r="AI883" s="89">
        <f>'DIY Grundmodell'!U970</f>
        <v>755.59</v>
      </c>
      <c r="AJ883" s="89">
        <f>'DIY Grundmodell'!V970</f>
        <v>6232.52718</v>
      </c>
      <c r="AK883" s="989"/>
      <c r="AL883" s="33">
        <f>'DIY Grundmodell'!X970</f>
        <v>6584.2850200000003</v>
      </c>
    </row>
    <row r="884" spans="32:38" ht="14.1" customHeight="1" x14ac:dyDescent="0.45">
      <c r="AF884" s="988">
        <f>'DIY Grundmodell'!R971</f>
        <v>45913</v>
      </c>
      <c r="AG884" s="89" t="e">
        <f>'DIY Grundmodell'!S971</f>
        <v>#N/A</v>
      </c>
      <c r="AH884" s="54" t="e">
        <f>'DIY Grundmodell'!T971</f>
        <v>#N/A</v>
      </c>
      <c r="AI884" s="89">
        <f>'DIY Grundmodell'!U971</f>
        <v>755.59</v>
      </c>
      <c r="AJ884" s="89">
        <f>'DIY Grundmodell'!V971</f>
        <v>0</v>
      </c>
      <c r="AK884" s="989"/>
      <c r="AL884" s="33">
        <f>'DIY Grundmodell'!X971</f>
        <v>6584.2850200000003</v>
      </c>
    </row>
    <row r="885" spans="32:38" ht="14.1" customHeight="1" x14ac:dyDescent="0.45">
      <c r="AF885" s="988">
        <f>'DIY Grundmodell'!R972</f>
        <v>45914</v>
      </c>
      <c r="AG885" s="89" t="e">
        <f>'DIY Grundmodell'!S972</f>
        <v>#N/A</v>
      </c>
      <c r="AH885" s="54" t="e">
        <f>'DIY Grundmodell'!T972</f>
        <v>#N/A</v>
      </c>
      <c r="AI885" s="89">
        <f>'DIY Grundmodell'!U972</f>
        <v>755.59</v>
      </c>
      <c r="AJ885" s="89">
        <f>'DIY Grundmodell'!V972</f>
        <v>0</v>
      </c>
      <c r="AK885" s="989"/>
      <c r="AL885" s="33">
        <f>'DIY Grundmodell'!X972</f>
        <v>6584.2850200000003</v>
      </c>
    </row>
    <row r="886" spans="32:38" ht="14.1" customHeight="1" x14ac:dyDescent="0.45">
      <c r="AF886" s="988">
        <f>'DIY Grundmodell'!R973</f>
        <v>45915</v>
      </c>
      <c r="AG886" s="89">
        <f>'DIY Grundmodell'!S973</f>
        <v>764.7</v>
      </c>
      <c r="AH886" s="54">
        <f>'DIY Grundmodell'!T973</f>
        <v>8055.1815699999997</v>
      </c>
      <c r="AI886" s="89">
        <f>'DIY Grundmodell'!U973</f>
        <v>764.7</v>
      </c>
      <c r="AJ886" s="89">
        <f>'DIY Grundmodell'!V973</f>
        <v>8055.1815699999997</v>
      </c>
      <c r="AK886" s="989"/>
      <c r="AL886" s="33">
        <f>'DIY Grundmodell'!X973</f>
        <v>6615.2767599999997</v>
      </c>
    </row>
    <row r="887" spans="32:38" ht="14.1" customHeight="1" x14ac:dyDescent="0.45">
      <c r="AF887" s="988">
        <f>'DIY Grundmodell'!R974</f>
        <v>45916</v>
      </c>
      <c r="AG887" s="89">
        <f>'DIY Grundmodell'!S974</f>
        <v>779</v>
      </c>
      <c r="AH887" s="54">
        <f>'DIY Grundmodell'!T974</f>
        <v>9178.5534800000005</v>
      </c>
      <c r="AI887" s="89">
        <f>'DIY Grundmodell'!U974</f>
        <v>779</v>
      </c>
      <c r="AJ887" s="89">
        <f>'DIY Grundmodell'!V974</f>
        <v>9178.5534800000005</v>
      </c>
      <c r="AK887" s="989"/>
      <c r="AL887" s="33">
        <f>'DIY Grundmodell'!X974</f>
        <v>6606.75594</v>
      </c>
    </row>
    <row r="888" spans="32:38" ht="14.1" customHeight="1" x14ac:dyDescent="0.45">
      <c r="AF888" s="988">
        <f>'DIY Grundmodell'!R975</f>
        <v>45917</v>
      </c>
      <c r="AG888" s="89">
        <f>'DIY Grundmodell'!S975</f>
        <v>775.71500000000003</v>
      </c>
      <c r="AH888" s="54">
        <f>'DIY Grundmodell'!T975</f>
        <v>7292.3935499999998</v>
      </c>
      <c r="AI888" s="89">
        <f>'DIY Grundmodell'!U975</f>
        <v>775.71500000000003</v>
      </c>
      <c r="AJ888" s="89">
        <f>'DIY Grundmodell'!V975</f>
        <v>7292.3935499999998</v>
      </c>
      <c r="AK888" s="989"/>
      <c r="AL888" s="33">
        <f>'DIY Grundmodell'!X975</f>
        <v>6600.3470900000002</v>
      </c>
    </row>
    <row r="889" spans="32:38" ht="14.1" customHeight="1" x14ac:dyDescent="0.45">
      <c r="AF889" s="988">
        <f>'DIY Grundmodell'!R976</f>
        <v>45918</v>
      </c>
      <c r="AG889" s="89">
        <f>'DIY Grundmodell'!S976</f>
        <v>780.25</v>
      </c>
      <c r="AH889" s="54">
        <f>'DIY Grundmodell'!T976</f>
        <v>8547.5997399999997</v>
      </c>
      <c r="AI889" s="89">
        <f>'DIY Grundmodell'!U976</f>
        <v>780.25</v>
      </c>
      <c r="AJ889" s="89">
        <f>'DIY Grundmodell'!V976</f>
        <v>8547.5997399999997</v>
      </c>
      <c r="AK889" s="989"/>
      <c r="AL889" s="33">
        <f>'DIY Grundmodell'!X976</f>
        <v>6631.9628899999998</v>
      </c>
    </row>
    <row r="890" spans="32:38" ht="14.1" customHeight="1" x14ac:dyDescent="0.45">
      <c r="AF890" s="988">
        <f>'DIY Grundmodell'!R977</f>
        <v>45919</v>
      </c>
      <c r="AG890" s="89">
        <f>'DIY Grundmodell'!S977</f>
        <v>778.38</v>
      </c>
      <c r="AH890" s="54">
        <f>'DIY Grundmodell'!T977</f>
        <v>18445.133870000001</v>
      </c>
      <c r="AI890" s="89">
        <f>'DIY Grundmodell'!U977</f>
        <v>778.38</v>
      </c>
      <c r="AJ890" s="89">
        <f>'DIY Grundmodell'!V977</f>
        <v>18445.133870000001</v>
      </c>
      <c r="AK890" s="989"/>
      <c r="AL890" s="33">
        <f>'DIY Grundmodell'!X977</f>
        <v>6664.3648000000003</v>
      </c>
    </row>
    <row r="891" spans="32:38" ht="14.1" customHeight="1" x14ac:dyDescent="0.45">
      <c r="AF891" s="988">
        <f>'DIY Grundmodell'!R978</f>
        <v>45920</v>
      </c>
      <c r="AG891" s="89" t="e">
        <f>'DIY Grundmodell'!S978</f>
        <v>#N/A</v>
      </c>
      <c r="AH891" s="54" t="e">
        <f>'DIY Grundmodell'!T978</f>
        <v>#N/A</v>
      </c>
      <c r="AI891" s="89">
        <f>'DIY Grundmodell'!U978</f>
        <v>778.38</v>
      </c>
      <c r="AJ891" s="89">
        <f>'DIY Grundmodell'!V978</f>
        <v>0</v>
      </c>
      <c r="AK891" s="989"/>
      <c r="AL891" s="33">
        <f>'DIY Grundmodell'!X978</f>
        <v>6664.3648000000003</v>
      </c>
    </row>
    <row r="892" spans="32:38" ht="14.1" customHeight="1" x14ac:dyDescent="0.45">
      <c r="AF892" s="988">
        <f>'DIY Grundmodell'!R979</f>
        <v>45921</v>
      </c>
      <c r="AG892" s="89" t="e">
        <f>'DIY Grundmodell'!S979</f>
        <v>#N/A</v>
      </c>
      <c r="AH892" s="54" t="e">
        <f>'DIY Grundmodell'!T979</f>
        <v>#N/A</v>
      </c>
      <c r="AI892" s="89">
        <f>'DIY Grundmodell'!U979</f>
        <v>778.38</v>
      </c>
      <c r="AJ892" s="89">
        <f>'DIY Grundmodell'!V979</f>
        <v>0</v>
      </c>
      <c r="AK892" s="989"/>
      <c r="AL892" s="33">
        <f>'DIY Grundmodell'!X979</f>
        <v>6664.3648000000003</v>
      </c>
    </row>
    <row r="893" spans="32:38" ht="14.1" customHeight="1" x14ac:dyDescent="0.45">
      <c r="AF893" s="988">
        <f>'DIY Grundmodell'!R980</f>
        <v>45922</v>
      </c>
      <c r="AG893" s="89">
        <f>'DIY Grundmodell'!S980</f>
        <v>765.16</v>
      </c>
      <c r="AH893" s="54">
        <f>'DIY Grundmodell'!T980</f>
        <v>8957.6867999999995</v>
      </c>
      <c r="AI893" s="89">
        <f>'DIY Grundmodell'!U980</f>
        <v>765.16</v>
      </c>
      <c r="AJ893" s="89">
        <f>'DIY Grundmodell'!V980</f>
        <v>8957.6867999999995</v>
      </c>
      <c r="AK893" s="989"/>
      <c r="AL893" s="33">
        <f>'DIY Grundmodell'!X980</f>
        <v>6693.7533400000002</v>
      </c>
    </row>
    <row r="894" spans="32:38" ht="14.1" customHeight="1" x14ac:dyDescent="0.45">
      <c r="AF894" s="988">
        <f>'DIY Grundmodell'!R981</f>
        <v>45923</v>
      </c>
      <c r="AG894" s="89">
        <f>'DIY Grundmodell'!S981</f>
        <v>755.4</v>
      </c>
      <c r="AH894" s="54">
        <f>'DIY Grundmodell'!T981</f>
        <v>8213.1560000000009</v>
      </c>
      <c r="AI894" s="89">
        <f>'DIY Grundmodell'!U981</f>
        <v>755.4</v>
      </c>
      <c r="AJ894" s="89">
        <f>'DIY Grundmodell'!V981</f>
        <v>8213.1560000000009</v>
      </c>
      <c r="AK894" s="989"/>
      <c r="AL894" s="33">
        <f>'DIY Grundmodell'!X981</f>
        <v>6656.9198800000004</v>
      </c>
    </row>
    <row r="895" spans="32:38" ht="14.1" customHeight="1" x14ac:dyDescent="0.45">
      <c r="AF895" s="988">
        <f>'DIY Grundmodell'!R982</f>
        <v>45924</v>
      </c>
      <c r="AG895" s="89">
        <f>'DIY Grundmodell'!S982</f>
        <v>760.66</v>
      </c>
      <c r="AH895" s="54">
        <f>'DIY Grundmodell'!T982</f>
        <v>6715.2791500000003</v>
      </c>
      <c r="AI895" s="89">
        <f>'DIY Grundmodell'!U982</f>
        <v>760.66</v>
      </c>
      <c r="AJ895" s="89">
        <f>'DIY Grundmodell'!V982</f>
        <v>6715.2791500000003</v>
      </c>
      <c r="AK895" s="989"/>
      <c r="AL895" s="33">
        <f>'DIY Grundmodell'!X982</f>
        <v>6637.9736700000003</v>
      </c>
    </row>
    <row r="896" spans="32:38" ht="14.1" customHeight="1" x14ac:dyDescent="0.45">
      <c r="AF896" s="988">
        <f>'DIY Grundmodell'!R983</f>
        <v>45925</v>
      </c>
      <c r="AG896" s="89">
        <f>'DIY Grundmodell'!S983</f>
        <v>748.91</v>
      </c>
      <c r="AH896" s="54">
        <f>'DIY Grundmodell'!T983</f>
        <v>7931.7544900000003</v>
      </c>
      <c r="AI896" s="89">
        <f>'DIY Grundmodell'!U983</f>
        <v>748.91</v>
      </c>
      <c r="AJ896" s="89">
        <f>'DIY Grundmodell'!V983</f>
        <v>7931.7544900000003</v>
      </c>
      <c r="AK896" s="989"/>
      <c r="AL896" s="33">
        <f>'DIY Grundmodell'!X983</f>
        <v>6604.7172399999999</v>
      </c>
    </row>
    <row r="897" spans="32:38" ht="14.1" customHeight="1" x14ac:dyDescent="0.45">
      <c r="AF897" s="988">
        <f>'DIY Grundmodell'!R984</f>
        <v>45926</v>
      </c>
      <c r="AG897" s="89">
        <f>'DIY Grundmodell'!S984</f>
        <v>743.75</v>
      </c>
      <c r="AH897" s="54">
        <f>'DIY Grundmodell'!T984</f>
        <v>7211.65139</v>
      </c>
      <c r="AI897" s="89">
        <f>'DIY Grundmodell'!U984</f>
        <v>743.75</v>
      </c>
      <c r="AJ897" s="89">
        <f>'DIY Grundmodell'!V984</f>
        <v>7211.65139</v>
      </c>
      <c r="AK897" s="989"/>
      <c r="AL897" s="33">
        <f>'DIY Grundmodell'!X984</f>
        <v>6643.6975400000001</v>
      </c>
    </row>
    <row r="898" spans="32:38" ht="14.1" customHeight="1" x14ac:dyDescent="0.45">
      <c r="AF898" s="988">
        <f>'DIY Grundmodell'!R985</f>
        <v>45927</v>
      </c>
      <c r="AG898" s="89" t="e">
        <f>'DIY Grundmodell'!S985</f>
        <v>#N/A</v>
      </c>
      <c r="AH898" s="54" t="e">
        <f>'DIY Grundmodell'!T985</f>
        <v>#N/A</v>
      </c>
      <c r="AI898" s="89">
        <f>'DIY Grundmodell'!U985</f>
        <v>743.75</v>
      </c>
      <c r="AJ898" s="89">
        <f>'DIY Grundmodell'!V985</f>
        <v>0</v>
      </c>
      <c r="AK898" s="989"/>
      <c r="AL898" s="33">
        <f>'DIY Grundmodell'!X985</f>
        <v>6643.6975400000001</v>
      </c>
    </row>
    <row r="899" spans="32:38" ht="14.1" customHeight="1" x14ac:dyDescent="0.45">
      <c r="AF899" s="988">
        <f>'DIY Grundmodell'!R986</f>
        <v>45928</v>
      </c>
      <c r="AG899" s="89" t="e">
        <f>'DIY Grundmodell'!S986</f>
        <v>#N/A</v>
      </c>
      <c r="AH899" s="54" t="e">
        <f>'DIY Grundmodell'!T986</f>
        <v>#N/A</v>
      </c>
      <c r="AI899" s="89">
        <f>'DIY Grundmodell'!U986</f>
        <v>743.75</v>
      </c>
      <c r="AJ899" s="89">
        <f>'DIY Grundmodell'!V986</f>
        <v>0</v>
      </c>
      <c r="AK899" s="989"/>
      <c r="AL899" s="33">
        <f>'DIY Grundmodell'!X986</f>
        <v>6643.6975400000001</v>
      </c>
    </row>
    <row r="900" spans="32:38" ht="14.1" customHeight="1" x14ac:dyDescent="0.45">
      <c r="AF900" s="988">
        <f>'DIY Grundmodell'!R987</f>
        <v>45929</v>
      </c>
      <c r="AG900" s="89">
        <f>'DIY Grundmodell'!S987</f>
        <v>743.4</v>
      </c>
      <c r="AH900" s="54">
        <f>'DIY Grundmodell'!T987</f>
        <v>6874.0473300000003</v>
      </c>
      <c r="AI900" s="89">
        <f>'DIY Grundmodell'!U987</f>
        <v>743.4</v>
      </c>
      <c r="AJ900" s="89">
        <f>'DIY Grundmodell'!V987</f>
        <v>6874.0473300000003</v>
      </c>
      <c r="AK900" s="989"/>
      <c r="AL900" s="33">
        <f>'DIY Grundmodell'!X987</f>
        <v>6661.2073300000002</v>
      </c>
    </row>
    <row r="901" spans="32:38" ht="14.1" customHeight="1" x14ac:dyDescent="0.45">
      <c r="AF901" s="988">
        <f>'DIY Grundmodell'!R988</f>
        <v>45930</v>
      </c>
      <c r="AG901" s="89">
        <f>'DIY Grundmodell'!S988</f>
        <v>734.38</v>
      </c>
      <c r="AH901" s="54">
        <f>'DIY Grundmodell'!T988</f>
        <v>11916.60067</v>
      </c>
      <c r="AI901" s="89">
        <f>'DIY Grundmodell'!U988</f>
        <v>734.38</v>
      </c>
      <c r="AJ901" s="89">
        <f>'DIY Grundmodell'!V988</f>
        <v>11916.60067</v>
      </c>
      <c r="AK901" s="989"/>
      <c r="AL901" s="33">
        <f>'DIY Grundmodell'!X988</f>
        <v>6688.4590399999997</v>
      </c>
    </row>
    <row r="902" spans="32:38" ht="14.1" customHeight="1" x14ac:dyDescent="0.45">
      <c r="AF902" s="988">
        <f>'DIY Grundmodell'!R989</f>
        <v>45931</v>
      </c>
      <c r="AG902" s="89">
        <f>'DIY Grundmodell'!S989</f>
        <v>717.34</v>
      </c>
      <c r="AH902" s="54">
        <f>'DIY Grundmodell'!T989</f>
        <v>14647.81954</v>
      </c>
      <c r="AI902" s="89">
        <f>'DIY Grundmodell'!U989</f>
        <v>717.34</v>
      </c>
      <c r="AJ902" s="89">
        <f>'DIY Grundmodell'!V989</f>
        <v>14647.81954</v>
      </c>
      <c r="AK902" s="989"/>
      <c r="AL902" s="33">
        <f>'DIY Grundmodell'!X989</f>
        <v>6711.2039100000002</v>
      </c>
    </row>
    <row r="903" spans="32:38" ht="14.1" customHeight="1" x14ac:dyDescent="0.45">
      <c r="AF903" s="988">
        <f>'DIY Grundmodell'!R990</f>
        <v>45932</v>
      </c>
      <c r="AG903" s="89">
        <f>'DIY Grundmodell'!S990</f>
        <v>727.05</v>
      </c>
      <c r="AH903" s="54">
        <f>'DIY Grundmodell'!T990</f>
        <v>8299.4727800000001</v>
      </c>
      <c r="AI903" s="89">
        <f>'DIY Grundmodell'!U990</f>
        <v>727.05</v>
      </c>
      <c r="AJ903" s="89">
        <f>'DIY Grundmodell'!V990</f>
        <v>8299.4727800000001</v>
      </c>
      <c r="AK903" s="989"/>
      <c r="AL903" s="33">
        <f>'DIY Grundmodell'!X990</f>
        <v>6715.3463000000002</v>
      </c>
    </row>
    <row r="904" spans="32:38" ht="14.1" customHeight="1" x14ac:dyDescent="0.45">
      <c r="AF904" s="988">
        <f>'DIY Grundmodell'!R991</f>
        <v>45933</v>
      </c>
      <c r="AG904" s="89">
        <f>'DIY Grundmodell'!S991</f>
        <v>710.56</v>
      </c>
      <c r="AH904" s="54">
        <f>'DIY Grundmodell'!T991</f>
        <v>11478.60296</v>
      </c>
      <c r="AI904" s="89">
        <f>'DIY Grundmodell'!U991</f>
        <v>710.56</v>
      </c>
      <c r="AJ904" s="89">
        <f>'DIY Grundmodell'!V991</f>
        <v>11478.60296</v>
      </c>
      <c r="AK904" s="989"/>
      <c r="AL904" s="33">
        <f>'DIY Grundmodell'!X991</f>
        <v>6715.7892599999996</v>
      </c>
    </row>
    <row r="905" spans="32:38" ht="14.1" customHeight="1" x14ac:dyDescent="0.45">
      <c r="AF905" s="988">
        <f>'DIY Grundmodell'!R992</f>
        <v>45934</v>
      </c>
      <c r="AG905" s="89" t="e">
        <f>'DIY Grundmodell'!S992</f>
        <v>#N/A</v>
      </c>
      <c r="AH905" s="54" t="e">
        <f>'DIY Grundmodell'!T992</f>
        <v>#N/A</v>
      </c>
      <c r="AI905" s="89">
        <f>'DIY Grundmodell'!U992</f>
        <v>710.56</v>
      </c>
      <c r="AJ905" s="89">
        <f>'DIY Grundmodell'!V992</f>
        <v>0</v>
      </c>
      <c r="AK905" s="989"/>
      <c r="AL905" s="33">
        <f>'DIY Grundmodell'!X992</f>
        <v>6715.7892599999996</v>
      </c>
    </row>
    <row r="906" spans="32:38" ht="14.1" customHeight="1" x14ac:dyDescent="0.45">
      <c r="AF906" s="988">
        <f>'DIY Grundmodell'!R993</f>
        <v>45935</v>
      </c>
      <c r="AG906" s="89" t="e">
        <f>'DIY Grundmodell'!S993</f>
        <v>#N/A</v>
      </c>
      <c r="AH906" s="54" t="e">
        <f>'DIY Grundmodell'!T993</f>
        <v>#N/A</v>
      </c>
      <c r="AI906" s="89">
        <f>'DIY Grundmodell'!U993</f>
        <v>710.56</v>
      </c>
      <c r="AJ906" s="89">
        <f>'DIY Grundmodell'!V993</f>
        <v>0</v>
      </c>
      <c r="AK906" s="989"/>
      <c r="AL906" s="33">
        <f>'DIY Grundmodell'!X993</f>
        <v>6715.7892599999996</v>
      </c>
    </row>
    <row r="907" spans="32:38" ht="14.1" customHeight="1" x14ac:dyDescent="0.45">
      <c r="AF907" s="988">
        <f>'DIY Grundmodell'!R994</f>
        <v>45936</v>
      </c>
      <c r="AG907" s="89">
        <f>'DIY Grundmodell'!S994</f>
        <v>715.66</v>
      </c>
      <c r="AH907" s="54">
        <f>'DIY Grundmodell'!T994</f>
        <v>15497.4298</v>
      </c>
      <c r="AI907" s="89">
        <f>'DIY Grundmodell'!U994</f>
        <v>715.66</v>
      </c>
      <c r="AJ907" s="89">
        <f>'DIY Grundmodell'!V994</f>
        <v>15497.4298</v>
      </c>
      <c r="AK907" s="989"/>
      <c r="AL907" s="33">
        <f>'DIY Grundmodell'!X994</f>
        <v>6740.2813599999999</v>
      </c>
    </row>
    <row r="908" spans="32:38" ht="14.1" customHeight="1" x14ac:dyDescent="0.45">
      <c r="AF908" s="988">
        <f>'DIY Grundmodell'!R995</f>
        <v>45937</v>
      </c>
      <c r="AG908" s="89">
        <f>'DIY Grundmodell'!S995</f>
        <v>713.08</v>
      </c>
      <c r="AH908" s="54">
        <f>'DIY Grundmodell'!T995</f>
        <v>8601.8327000000008</v>
      </c>
      <c r="AI908" s="89">
        <f>'DIY Grundmodell'!U995</f>
        <v>713.08</v>
      </c>
      <c r="AJ908" s="89">
        <f>'DIY Grundmodell'!V995</f>
        <v>8601.8327000000008</v>
      </c>
      <c r="AK908" s="989"/>
      <c r="AL908" s="33">
        <f>'DIY Grundmodell'!X995</f>
        <v>6714.5879199999999</v>
      </c>
    </row>
    <row r="909" spans="32:38" ht="14.1" customHeight="1" x14ac:dyDescent="0.45">
      <c r="AF909" s="988">
        <f>'DIY Grundmodell'!R996</f>
        <v>45938</v>
      </c>
      <c r="AG909" s="89">
        <f>'DIY Grundmodell'!S996</f>
        <v>717.84</v>
      </c>
      <c r="AH909" s="54">
        <f>'DIY Grundmodell'!T996</f>
        <v>7745.9034899999997</v>
      </c>
      <c r="AI909" s="89">
        <f>'DIY Grundmodell'!U996</f>
        <v>717.84</v>
      </c>
      <c r="AJ909" s="89">
        <f>'DIY Grundmodell'!V996</f>
        <v>7745.9034899999997</v>
      </c>
      <c r="AK909" s="989"/>
      <c r="AL909" s="33">
        <f>'DIY Grundmodell'!X996</f>
        <v>6753.7170699999997</v>
      </c>
    </row>
    <row r="910" spans="32:38" ht="14.1" customHeight="1" x14ac:dyDescent="0.45">
      <c r="AF910" s="988">
        <f>'DIY Grundmodell'!R997</f>
        <v>45939</v>
      </c>
      <c r="AG910" s="89">
        <f>'DIY Grundmodell'!S997</f>
        <v>733.51</v>
      </c>
      <c r="AH910" s="54">
        <f>'DIY Grundmodell'!T997</f>
        <v>9328.1728299999995</v>
      </c>
      <c r="AI910" s="89">
        <f>'DIY Grundmodell'!U997</f>
        <v>733.51</v>
      </c>
      <c r="AJ910" s="89">
        <f>'DIY Grundmodell'!V997</f>
        <v>9328.1728299999995</v>
      </c>
      <c r="AK910" s="989"/>
      <c r="AL910" s="33">
        <f>'DIY Grundmodell'!X997</f>
        <v>6735.1107899999997</v>
      </c>
    </row>
    <row r="911" spans="32:38" ht="14.1" customHeight="1" x14ac:dyDescent="0.45">
      <c r="AF911" s="988">
        <f>'DIY Grundmodell'!R998</f>
        <v>45940</v>
      </c>
      <c r="AG911" s="89">
        <f>'DIY Grundmodell'!S998</f>
        <v>705.3</v>
      </c>
      <c r="AH911" s="54">
        <f>'DIY Grundmodell'!T998</f>
        <v>11976.05818</v>
      </c>
      <c r="AI911" s="89">
        <f>'DIY Grundmodell'!U998</f>
        <v>705.3</v>
      </c>
      <c r="AJ911" s="89">
        <f>'DIY Grundmodell'!V998</f>
        <v>11976.05818</v>
      </c>
      <c r="AK911" s="989"/>
      <c r="AL911" s="33">
        <f>'DIY Grundmodell'!X998</f>
        <v>6552.51325</v>
      </c>
    </row>
    <row r="912" spans="32:38" ht="14.1" customHeight="1" x14ac:dyDescent="0.45">
      <c r="AF912" s="988">
        <f>'DIY Grundmodell'!R999</f>
        <v>45941</v>
      </c>
      <c r="AG912" s="89" t="e">
        <f>'DIY Grundmodell'!S999</f>
        <v>#N/A</v>
      </c>
      <c r="AH912" s="54" t="e">
        <f>'DIY Grundmodell'!T999</f>
        <v>#N/A</v>
      </c>
      <c r="AI912" s="89">
        <f>'DIY Grundmodell'!U999</f>
        <v>705.3</v>
      </c>
      <c r="AJ912" s="89">
        <f>'DIY Grundmodell'!V999</f>
        <v>0</v>
      </c>
      <c r="AK912" s="989"/>
      <c r="AL912" s="33">
        <f>'DIY Grundmodell'!X999</f>
        <v>6552.51325</v>
      </c>
    </row>
    <row r="913" spans="32:38" ht="14.1" customHeight="1" x14ac:dyDescent="0.45">
      <c r="AF913" s="988">
        <f>'DIY Grundmodell'!R1000</f>
        <v>45942</v>
      </c>
      <c r="AG913" s="89" t="e">
        <f>'DIY Grundmodell'!S1000</f>
        <v>#N/A</v>
      </c>
      <c r="AH913" s="54" t="e">
        <f>'DIY Grundmodell'!T1000</f>
        <v>#N/A</v>
      </c>
      <c r="AI913" s="89">
        <f>'DIY Grundmodell'!U1000</f>
        <v>705.3</v>
      </c>
      <c r="AJ913" s="89">
        <f>'DIY Grundmodell'!V1000</f>
        <v>0</v>
      </c>
      <c r="AK913" s="989"/>
      <c r="AL913" s="33">
        <f>'DIY Grundmodell'!X1000</f>
        <v>6552.51325</v>
      </c>
    </row>
    <row r="914" spans="32:38" ht="14.1" customHeight="1" x14ac:dyDescent="0.45">
      <c r="AF914" s="988">
        <f>'DIY Grundmodell'!R1001</f>
        <v>45943</v>
      </c>
      <c r="AG914" s="89">
        <f>'DIY Grundmodell'!S1001</f>
        <v>715.7</v>
      </c>
      <c r="AH914" s="54">
        <f>'DIY Grundmodell'!T1001</f>
        <v>6621.5104000000001</v>
      </c>
      <c r="AI914" s="89">
        <f>'DIY Grundmodell'!U1001</f>
        <v>715.7</v>
      </c>
      <c r="AJ914" s="89">
        <f>'DIY Grundmodell'!V1001</f>
        <v>6621.5104000000001</v>
      </c>
      <c r="AK914" s="989"/>
      <c r="AL914" s="33">
        <f>'DIY Grundmodell'!X1001</f>
        <v>6654.7190899999996</v>
      </c>
    </row>
    <row r="915" spans="32:38" ht="14.1" customHeight="1" x14ac:dyDescent="0.45">
      <c r="AF915" s="988">
        <f>'DIY Grundmodell'!R1002</f>
        <v>45944</v>
      </c>
      <c r="AG915" s="89">
        <f>'DIY Grundmodell'!S1002</f>
        <v>708.65</v>
      </c>
      <c r="AH915" s="54">
        <f>'DIY Grundmodell'!T1002</f>
        <v>6257.2073</v>
      </c>
      <c r="AI915" s="89">
        <f>'DIY Grundmodell'!U1002</f>
        <v>708.65</v>
      </c>
      <c r="AJ915" s="89">
        <f>'DIY Grundmodell'!V1002</f>
        <v>6257.2073</v>
      </c>
      <c r="AK915" s="989"/>
      <c r="AL915" s="33">
        <f>'DIY Grundmodell'!X1002</f>
        <v>6644.3083999999999</v>
      </c>
    </row>
    <row r="916" spans="32:38" ht="14.1" customHeight="1" x14ac:dyDescent="0.45">
      <c r="AF916" s="988">
        <f>'DIY Grundmodell'!R1003</f>
        <v>45945</v>
      </c>
      <c r="AG916" s="89">
        <f>'DIY Grundmodell'!S1003</f>
        <v>717.55</v>
      </c>
      <c r="AH916" s="54">
        <f>'DIY Grundmodell'!T1003</f>
        <v>7352.5669399999997</v>
      </c>
      <c r="AI916" s="89">
        <f>'DIY Grundmodell'!U1003</f>
        <v>717.55</v>
      </c>
      <c r="AJ916" s="89">
        <f>'DIY Grundmodell'!V1003</f>
        <v>7352.5669399999997</v>
      </c>
      <c r="AK916" s="989"/>
      <c r="AL916" s="33">
        <f>'DIY Grundmodell'!X1003</f>
        <v>6671.0582800000002</v>
      </c>
    </row>
    <row r="917" spans="32:38" ht="14.1" customHeight="1" x14ac:dyDescent="0.45">
      <c r="AF917" s="988">
        <f>'DIY Grundmodell'!R1004</f>
        <v>45946</v>
      </c>
      <c r="AG917" s="89">
        <f>'DIY Grundmodell'!S1004</f>
        <v>712.07</v>
      </c>
      <c r="AH917" s="54">
        <f>'DIY Grundmodell'!T1004</f>
        <v>6420.7423099999996</v>
      </c>
      <c r="AI917" s="89">
        <f>'DIY Grundmodell'!U1004</f>
        <v>712.07</v>
      </c>
      <c r="AJ917" s="89">
        <f>'DIY Grundmodell'!V1004</f>
        <v>6420.7423099999996</v>
      </c>
      <c r="AK917" s="989"/>
      <c r="AL917" s="33">
        <f>'DIY Grundmodell'!X1004</f>
        <v>6629.0742300000002</v>
      </c>
    </row>
    <row r="918" spans="32:38" ht="14.1" customHeight="1" x14ac:dyDescent="0.45">
      <c r="AF918" s="988">
        <f>'DIY Grundmodell'!R1005</f>
        <v>45947</v>
      </c>
      <c r="AG918" s="89">
        <f>'DIY Grundmodell'!S1005</f>
        <v>716.91499999999996</v>
      </c>
      <c r="AH918" s="54">
        <f>'DIY Grundmodell'!T1005</f>
        <v>8769.6204400000006</v>
      </c>
      <c r="AI918" s="89">
        <f>'DIY Grundmodell'!U1005</f>
        <v>716.91499999999996</v>
      </c>
      <c r="AJ918" s="89">
        <f>'DIY Grundmodell'!V1005</f>
        <v>8769.6204400000006</v>
      </c>
      <c r="AK918" s="989"/>
      <c r="AL918" s="33">
        <f>'DIY Grundmodell'!X1005</f>
        <v>6664.01098</v>
      </c>
    </row>
    <row r="919" spans="32:38" ht="14.1" customHeight="1" x14ac:dyDescent="0.45">
      <c r="AF919" s="988">
        <f>'DIY Grundmodell'!R1006</f>
        <v>45948</v>
      </c>
      <c r="AG919" s="89" t="e">
        <f>'DIY Grundmodell'!S1006</f>
        <v>#N/A</v>
      </c>
      <c r="AH919" s="54" t="e">
        <f>'DIY Grundmodell'!T1006</f>
        <v>#N/A</v>
      </c>
      <c r="AI919" s="89">
        <f>'DIY Grundmodell'!U1006</f>
        <v>716.91499999999996</v>
      </c>
      <c r="AJ919" s="89">
        <f>'DIY Grundmodell'!V1006</f>
        <v>0</v>
      </c>
      <c r="AK919" s="989"/>
      <c r="AL919" s="33">
        <f>'DIY Grundmodell'!X1006</f>
        <v>6664.01098</v>
      </c>
    </row>
    <row r="920" spans="32:38" ht="14.1" customHeight="1" x14ac:dyDescent="0.45">
      <c r="AF920" s="988">
        <f>'DIY Grundmodell'!R1007</f>
        <v>45949</v>
      </c>
      <c r="AG920" s="89" t="e">
        <f>'DIY Grundmodell'!S1007</f>
        <v>#N/A</v>
      </c>
      <c r="AH920" s="54" t="e">
        <f>'DIY Grundmodell'!T1007</f>
        <v>#N/A</v>
      </c>
      <c r="AI920" s="89">
        <f>'DIY Grundmodell'!U1007</f>
        <v>716.91499999999996</v>
      </c>
      <c r="AJ920" s="89">
        <f>'DIY Grundmodell'!V1007</f>
        <v>0</v>
      </c>
      <c r="AK920" s="989"/>
      <c r="AL920" s="33">
        <f>'DIY Grundmodell'!X1007</f>
        <v>6664.01098</v>
      </c>
    </row>
    <row r="921" spans="32:38" ht="14.1" customHeight="1" x14ac:dyDescent="0.45">
      <c r="AF921" s="988">
        <f>'DIY Grundmodell'!R1008</f>
        <v>45950</v>
      </c>
      <c r="AG921" s="89">
        <f>'DIY Grundmodell'!S1008</f>
        <v>732.17</v>
      </c>
      <c r="AH921" s="54">
        <f>'DIY Grundmodell'!T1008</f>
        <v>6516.4623600000004</v>
      </c>
      <c r="AI921" s="89">
        <f>'DIY Grundmodell'!U1008</f>
        <v>732.17</v>
      </c>
      <c r="AJ921" s="89">
        <f>'DIY Grundmodell'!V1008</f>
        <v>6516.4623600000004</v>
      </c>
      <c r="AK921" s="989"/>
      <c r="AL921" s="33">
        <f>'DIY Grundmodell'!X1008</f>
        <v>6735.1265100000001</v>
      </c>
    </row>
    <row r="922" spans="32:38" ht="14.1" customHeight="1" x14ac:dyDescent="0.45">
      <c r="AF922" s="988">
        <f>'DIY Grundmodell'!R1009</f>
        <v>45951</v>
      </c>
      <c r="AG922" s="89">
        <f>'DIY Grundmodell'!S1009</f>
        <v>733.27</v>
      </c>
      <c r="AH922" s="54">
        <f>'DIY Grundmodell'!T1009</f>
        <v>5607.5129399999996</v>
      </c>
      <c r="AI922" s="89">
        <f>'DIY Grundmodell'!U1009</f>
        <v>733.27</v>
      </c>
      <c r="AJ922" s="89">
        <f>'DIY Grundmodell'!V1009</f>
        <v>5607.5129399999996</v>
      </c>
      <c r="AK922" s="989"/>
      <c r="AL922" s="33">
        <f>'DIY Grundmodell'!X1009</f>
        <v>6735.3514999999998</v>
      </c>
    </row>
    <row r="923" spans="32:38" ht="14.1" customHeight="1" x14ac:dyDescent="0.45">
      <c r="AF923" s="988">
        <f>'DIY Grundmodell'!R1010</f>
        <v>45952</v>
      </c>
      <c r="AG923" s="89">
        <f>'DIY Grundmodell'!S1010</f>
        <v>733.41</v>
      </c>
      <c r="AH923" s="54">
        <f>'DIY Grundmodell'!T1010</f>
        <v>6405.9630399999996</v>
      </c>
      <c r="AI923" s="89">
        <f>'DIY Grundmodell'!U1010</f>
        <v>733.41</v>
      </c>
      <c r="AJ923" s="89">
        <f>'DIY Grundmodell'!V1010</f>
        <v>6405.9630399999996</v>
      </c>
      <c r="AK923" s="989"/>
      <c r="AL923" s="33">
        <f>'DIY Grundmodell'!X1010</f>
        <v>6699.4023999999999</v>
      </c>
    </row>
    <row r="924" spans="32:38" ht="14.1" customHeight="1" x14ac:dyDescent="0.45">
      <c r="AF924" s="988">
        <f>'DIY Grundmodell'!R1011</f>
        <v>45953</v>
      </c>
      <c r="AG924" s="89">
        <f>'DIY Grundmodell'!S1011</f>
        <v>734</v>
      </c>
      <c r="AH924" s="54">
        <f>'DIY Grundmodell'!T1011</f>
        <v>7234.2849200000001</v>
      </c>
      <c r="AI924" s="89">
        <f>'DIY Grundmodell'!U1011</f>
        <v>734</v>
      </c>
      <c r="AJ924" s="89">
        <f>'DIY Grundmodell'!V1011</f>
        <v>7234.2849200000001</v>
      </c>
      <c r="AK924" s="989"/>
      <c r="AL924" s="33">
        <f>'DIY Grundmodell'!X1011</f>
        <v>6738.4377100000002</v>
      </c>
    </row>
    <row r="925" spans="32:38" ht="14.1" customHeight="1" x14ac:dyDescent="0.45">
      <c r="AF925" s="988">
        <f>'DIY Grundmodell'!R1012</f>
        <v>45954</v>
      </c>
      <c r="AG925" s="89">
        <f>'DIY Grundmodell'!S1012</f>
        <v>738.36</v>
      </c>
      <c r="AH925" s="54">
        <f>'DIY Grundmodell'!T1012</f>
        <v>6756.9295000000002</v>
      </c>
      <c r="AI925" s="89">
        <f>'DIY Grundmodell'!U1012</f>
        <v>738.36</v>
      </c>
      <c r="AJ925" s="89">
        <f>'DIY Grundmodell'!V1012</f>
        <v>6756.9295000000002</v>
      </c>
      <c r="AK925" s="989"/>
      <c r="AL925" s="33">
        <f>'DIY Grundmodell'!X1012</f>
        <v>6791.6938099999998</v>
      </c>
    </row>
    <row r="926" spans="32:38" ht="14.1" customHeight="1" x14ac:dyDescent="0.45">
      <c r="AF926" s="988">
        <f>'DIY Grundmodell'!R1013</f>
        <v>45955</v>
      </c>
      <c r="AG926" s="89" t="e">
        <f>'DIY Grundmodell'!S1013</f>
        <v>#N/A</v>
      </c>
      <c r="AH926" s="54" t="e">
        <f>'DIY Grundmodell'!T1013</f>
        <v>#N/A</v>
      </c>
      <c r="AI926" s="89">
        <f>'DIY Grundmodell'!U1013</f>
        <v>738.36</v>
      </c>
      <c r="AJ926" s="89">
        <f>'DIY Grundmodell'!V1013</f>
        <v>0</v>
      </c>
      <c r="AK926" s="989"/>
      <c r="AL926" s="33">
        <f>'DIY Grundmodell'!X1013</f>
        <v>6791.6938099999998</v>
      </c>
    </row>
    <row r="927" spans="32:38" ht="14.1" customHeight="1" x14ac:dyDescent="0.45">
      <c r="AF927" s="988">
        <f>'DIY Grundmodell'!R1014</f>
        <v>45956</v>
      </c>
      <c r="AG927" s="89" t="e">
        <f>'DIY Grundmodell'!S1014</f>
        <v>#N/A</v>
      </c>
      <c r="AH927" s="54" t="e">
        <f>'DIY Grundmodell'!T1014</f>
        <v>#N/A</v>
      </c>
      <c r="AI927" s="89">
        <f>'DIY Grundmodell'!U1014</f>
        <v>738.36</v>
      </c>
      <c r="AJ927" s="89">
        <f>'DIY Grundmodell'!V1014</f>
        <v>0</v>
      </c>
      <c r="AK927" s="989"/>
      <c r="AL927" s="33">
        <f>'DIY Grundmodell'!X1014</f>
        <v>6791.6938099999998</v>
      </c>
    </row>
    <row r="928" spans="32:38" ht="14.1" customHeight="1" x14ac:dyDescent="0.45">
      <c r="AF928" s="988">
        <f>'DIY Grundmodell'!R1015</f>
        <v>45957</v>
      </c>
      <c r="AG928" s="89">
        <f>'DIY Grundmodell'!S1015</f>
        <v>750.82</v>
      </c>
      <c r="AH928" s="54">
        <f>'DIY Grundmodell'!T1015</f>
        <v>8500.0932900000007</v>
      </c>
      <c r="AI928" s="89">
        <f>'DIY Grundmodell'!U1015</f>
        <v>750.82</v>
      </c>
      <c r="AJ928" s="89">
        <f>'DIY Grundmodell'!V1015</f>
        <v>8500.0932900000007</v>
      </c>
      <c r="AK928" s="989"/>
      <c r="AL928" s="33">
        <f>'DIY Grundmodell'!X1015</f>
        <v>6875.1568900000002</v>
      </c>
    </row>
    <row r="929" spans="32:38" ht="14.1" customHeight="1" x14ac:dyDescent="0.45">
      <c r="AF929" s="988">
        <f>'DIY Grundmodell'!R1016</f>
        <v>45958</v>
      </c>
      <c r="AG929" s="89">
        <f>'DIY Grundmodell'!S1016</f>
        <v>751.44</v>
      </c>
      <c r="AH929" s="54">
        <f>'DIY Grundmodell'!T1016</f>
        <v>9162.9225999999999</v>
      </c>
      <c r="AI929" s="89">
        <f>'DIY Grundmodell'!U1016</f>
        <v>751.44</v>
      </c>
      <c r="AJ929" s="89">
        <f>'DIY Grundmodell'!V1016</f>
        <v>9162.9225999999999</v>
      </c>
      <c r="AK929" s="989"/>
      <c r="AL929" s="33">
        <f>'DIY Grundmodell'!X1016</f>
        <v>6890.8883699999997</v>
      </c>
    </row>
    <row r="930" spans="32:38" ht="14.1" customHeight="1" x14ac:dyDescent="0.45">
      <c r="AF930" s="988">
        <f>'DIY Grundmodell'!R1017</f>
        <v>45959</v>
      </c>
      <c r="AG930" s="89">
        <f>'DIY Grundmodell'!S1017</f>
        <v>751.67</v>
      </c>
      <c r="AH930" s="54">
        <f>'DIY Grundmodell'!T1017</f>
        <v>20158.731049999999</v>
      </c>
      <c r="AI930" s="89">
        <f>'DIY Grundmodell'!U1017</f>
        <v>751.67</v>
      </c>
      <c r="AJ930" s="89">
        <f>'DIY Grundmodell'!V1017</f>
        <v>20158.731049999999</v>
      </c>
      <c r="AK930" s="989"/>
      <c r="AL930" s="33">
        <f>'DIY Grundmodell'!X1017</f>
        <v>6890.5870500000001</v>
      </c>
    </row>
    <row r="931" spans="32:38" ht="14.1" customHeight="1" x14ac:dyDescent="0.45">
      <c r="AF931" s="988">
        <f>'DIY Grundmodell'!R1018</f>
        <v>45960</v>
      </c>
      <c r="AG931" s="89">
        <f>'DIY Grundmodell'!S1018</f>
        <v>666.47</v>
      </c>
      <c r="AH931" s="54">
        <f>'DIY Grundmodell'!T1018</f>
        <v>58942.669450000001</v>
      </c>
      <c r="AI931" s="89">
        <f>'DIY Grundmodell'!U1018</f>
        <v>666.47</v>
      </c>
      <c r="AJ931" s="89">
        <f>'DIY Grundmodell'!V1018</f>
        <v>58942.669450000001</v>
      </c>
      <c r="AK931" s="989"/>
      <c r="AL931" s="33">
        <f>'DIY Grundmodell'!X1018</f>
        <v>6822.34033</v>
      </c>
    </row>
    <row r="932" spans="32:38" ht="14.1" customHeight="1" x14ac:dyDescent="0.45">
      <c r="AF932" s="988">
        <f>'DIY Grundmodell'!R1019</f>
        <v>45961</v>
      </c>
      <c r="AG932" s="89">
        <f>'DIY Grundmodell'!S1019</f>
        <v>648.35</v>
      </c>
      <c r="AH932" s="54">
        <f>'DIY Grundmodell'!T1019</f>
        <v>36925.587119999997</v>
      </c>
      <c r="AI932" s="89">
        <f>'DIY Grundmodell'!U1019</f>
        <v>648.35</v>
      </c>
      <c r="AJ932" s="89">
        <f>'DIY Grundmodell'!V1019</f>
        <v>36925.587119999997</v>
      </c>
      <c r="AK932" s="989"/>
      <c r="AL932" s="33">
        <f>'DIY Grundmodell'!X1019</f>
        <v>6840.1987399999998</v>
      </c>
    </row>
    <row r="933" spans="32:38" ht="14.1" customHeight="1" x14ac:dyDescent="0.45">
      <c r="AF933" s="988">
        <f>'DIY Grundmodell'!R1020</f>
        <v>45962</v>
      </c>
      <c r="AG933" s="89" t="e">
        <f>'DIY Grundmodell'!S1020</f>
        <v>#N/A</v>
      </c>
      <c r="AH933" s="54" t="e">
        <f>'DIY Grundmodell'!T1020</f>
        <v>#N/A</v>
      </c>
      <c r="AI933" s="89">
        <f>'DIY Grundmodell'!U1020</f>
        <v>648.35</v>
      </c>
      <c r="AJ933" s="89">
        <f>'DIY Grundmodell'!V1020</f>
        <v>0</v>
      </c>
      <c r="AK933" s="989"/>
      <c r="AL933" s="33">
        <f>'DIY Grundmodell'!X1020</f>
        <v>6840.1987399999998</v>
      </c>
    </row>
    <row r="934" spans="32:38" ht="14.1" customHeight="1" x14ac:dyDescent="0.45">
      <c r="AF934" s="988">
        <f>'DIY Grundmodell'!R1021</f>
        <v>45963</v>
      </c>
      <c r="AG934" s="89" t="e">
        <f>'DIY Grundmodell'!S1021</f>
        <v>#N/A</v>
      </c>
      <c r="AH934" s="54" t="e">
        <f>'DIY Grundmodell'!T1021</f>
        <v>#N/A</v>
      </c>
      <c r="AI934" s="89">
        <f>'DIY Grundmodell'!U1021</f>
        <v>648.35</v>
      </c>
      <c r="AJ934" s="89">
        <f>'DIY Grundmodell'!V1021</f>
        <v>0</v>
      </c>
      <c r="AK934" s="989"/>
      <c r="AL934" s="33">
        <f>'DIY Grundmodell'!X1021</f>
        <v>6840.1987399999998</v>
      </c>
    </row>
    <row r="935" spans="32:38" ht="14.1" customHeight="1" x14ac:dyDescent="0.45">
      <c r="AF935" s="988">
        <f>'DIY Grundmodell'!R1022</f>
        <v>45964</v>
      </c>
      <c r="AG935" s="89">
        <f>'DIY Grundmodell'!S1022</f>
        <v>637.71</v>
      </c>
      <c r="AH935" s="54">
        <f>'DIY Grundmodell'!T1022</f>
        <v>21046.725119999999</v>
      </c>
      <c r="AI935" s="89">
        <f>'DIY Grundmodell'!U1022</f>
        <v>637.71</v>
      </c>
      <c r="AJ935" s="89">
        <f>'DIY Grundmodell'!V1022</f>
        <v>21046.725119999999</v>
      </c>
      <c r="AK935" s="989"/>
      <c r="AL935" s="33">
        <f>'DIY Grundmodell'!X1022</f>
        <v>6851.96666</v>
      </c>
    </row>
    <row r="936" spans="32:38" ht="14.1" customHeight="1" x14ac:dyDescent="0.45">
      <c r="AF936" s="988">
        <f>'DIY Grundmodell'!R1023</f>
        <v>45965</v>
      </c>
      <c r="AG936" s="89">
        <f>'DIY Grundmodell'!S1023</f>
        <v>627.32000000000005</v>
      </c>
      <c r="AH936" s="54">
        <f>'DIY Grundmodell'!T1023</f>
        <v>17161.312829999999</v>
      </c>
      <c r="AI936" s="89">
        <f>'DIY Grundmodell'!U1023</f>
        <v>627.32000000000005</v>
      </c>
      <c r="AJ936" s="89">
        <f>'DIY Grundmodell'!V1023</f>
        <v>17161.312829999999</v>
      </c>
      <c r="AK936" s="989"/>
      <c r="AL936" s="33">
        <f>'DIY Grundmodell'!X1023</f>
        <v>6771.5474899999999</v>
      </c>
    </row>
    <row r="937" spans="32:38" ht="14.1" customHeight="1" x14ac:dyDescent="0.45">
      <c r="AF937" s="988">
        <f>'DIY Grundmodell'!R1024</f>
        <v>45966</v>
      </c>
      <c r="AG937" s="89">
        <f>'DIY Grundmodell'!S1024</f>
        <v>635.95000000000005</v>
      </c>
      <c r="AH937" s="54">
        <f>'DIY Grundmodell'!T1024</f>
        <v>12858.816790000001</v>
      </c>
      <c r="AI937" s="89">
        <f>'DIY Grundmodell'!U1024</f>
        <v>635.95000000000005</v>
      </c>
      <c r="AJ937" s="89">
        <f>'DIY Grundmodell'!V1024</f>
        <v>12858.816790000001</v>
      </c>
      <c r="AK937" s="989"/>
      <c r="AL937" s="33">
        <f>'DIY Grundmodell'!X1024</f>
        <v>6796.2894299999998</v>
      </c>
    </row>
    <row r="938" spans="32:38" ht="14.1" customHeight="1" x14ac:dyDescent="0.45">
      <c r="AF938" s="988">
        <f>'DIY Grundmodell'!R1025</f>
        <v>45967</v>
      </c>
      <c r="AG938" s="89">
        <f>'DIY Grundmodell'!S1025</f>
        <v>618.94000000000005</v>
      </c>
      <c r="AH938" s="54">
        <f>'DIY Grundmodell'!T1025</f>
        <v>14624.77853</v>
      </c>
      <c r="AI938" s="89">
        <f>'DIY Grundmodell'!U1025</f>
        <v>618.94000000000005</v>
      </c>
      <c r="AJ938" s="89">
        <f>'DIY Grundmodell'!V1025</f>
        <v>14624.77853</v>
      </c>
      <c r="AK938" s="989"/>
      <c r="AL938" s="33">
        <f>'DIY Grundmodell'!X1025</f>
        <v>6720.3201499999996</v>
      </c>
    </row>
    <row r="939" spans="32:38" ht="14.1" customHeight="1" x14ac:dyDescent="0.45">
      <c r="AF939" s="988">
        <f>'DIY Grundmodell'!R1026</f>
        <v>45968</v>
      </c>
      <c r="AG939" s="89">
        <f>'DIY Grundmodell'!S1026</f>
        <v>621.71</v>
      </c>
      <c r="AH939" s="54">
        <f>'DIY Grundmodell'!T1026</f>
        <v>18618.241190000001</v>
      </c>
      <c r="AI939" s="89">
        <f>'DIY Grundmodell'!U1026</f>
        <v>621.71</v>
      </c>
      <c r="AJ939" s="89">
        <f>'DIY Grundmodell'!V1026</f>
        <v>18618.241190000001</v>
      </c>
      <c r="AK939" s="989"/>
      <c r="AL939" s="33">
        <f>'DIY Grundmodell'!X1026</f>
        <v>6728.8011100000003</v>
      </c>
    </row>
    <row r="940" spans="32:38" ht="14.1" customHeight="1" x14ac:dyDescent="0.45">
      <c r="AF940" s="988">
        <f>'DIY Grundmodell'!R1027</f>
        <v>45969</v>
      </c>
      <c r="AG940" s="89" t="e">
        <f>'DIY Grundmodell'!S1027</f>
        <v>#N/A</v>
      </c>
      <c r="AH940" s="54" t="e">
        <f>'DIY Grundmodell'!T1027</f>
        <v>#N/A</v>
      </c>
      <c r="AI940" s="89">
        <f>'DIY Grundmodell'!U1027</f>
        <v>621.71</v>
      </c>
      <c r="AJ940" s="89">
        <f>'DIY Grundmodell'!V1027</f>
        <v>0</v>
      </c>
      <c r="AK940" s="989"/>
      <c r="AL940" s="33">
        <f>'DIY Grundmodell'!X1027</f>
        <v>6728.8011100000003</v>
      </c>
    </row>
    <row r="941" spans="32:38" ht="14.1" customHeight="1" x14ac:dyDescent="0.45">
      <c r="AF941" s="988">
        <f>'DIY Grundmodell'!R1028</f>
        <v>45970</v>
      </c>
      <c r="AG941" s="89" t="e">
        <f>'DIY Grundmodell'!S1028</f>
        <v>#N/A</v>
      </c>
      <c r="AH941" s="54" t="e">
        <f>'DIY Grundmodell'!T1028</f>
        <v>#N/A</v>
      </c>
      <c r="AI941" s="89">
        <f>'DIY Grundmodell'!U1028</f>
        <v>621.71</v>
      </c>
      <c r="AJ941" s="89">
        <f>'DIY Grundmodell'!V1028</f>
        <v>0</v>
      </c>
      <c r="AK941" s="989"/>
      <c r="AL941" s="33">
        <f>'DIY Grundmodell'!X1028</f>
        <v>6728.8011100000003</v>
      </c>
    </row>
    <row r="942" spans="32:38" ht="14.1" customHeight="1" x14ac:dyDescent="0.45">
      <c r="AF942" s="988">
        <f>'DIY Grundmodell'!R1029</f>
        <v>45971</v>
      </c>
      <c r="AG942" s="89">
        <f>'DIY Grundmodell'!S1029</f>
        <v>631.76</v>
      </c>
      <c r="AH942" s="54">
        <f>'DIY Grundmodell'!T1029</f>
        <v>12158.2212</v>
      </c>
      <c r="AI942" s="89">
        <f>'DIY Grundmodell'!U1029</f>
        <v>631.76</v>
      </c>
      <c r="AJ942" s="89">
        <f>'DIY Grundmodell'!V1029</f>
        <v>12158.2212</v>
      </c>
      <c r="AK942" s="989"/>
      <c r="AL942" s="33">
        <f>'DIY Grundmodell'!X1029</f>
        <v>6832.4301599999999</v>
      </c>
    </row>
    <row r="943" spans="32:38" ht="14.1" customHeight="1" x14ac:dyDescent="0.45">
      <c r="AF943" s="988">
        <f>'DIY Grundmodell'!R1030</f>
        <v>45972</v>
      </c>
      <c r="AG943" s="89">
        <f>'DIY Grundmodell'!S1030</f>
        <v>627.08000000000004</v>
      </c>
      <c r="AH943" s="54">
        <f>'DIY Grundmodell'!T1030</f>
        <v>8341.5354200000002</v>
      </c>
      <c r="AI943" s="89">
        <f>'DIY Grundmodell'!U1030</f>
        <v>627.08000000000004</v>
      </c>
      <c r="AJ943" s="89">
        <f>'DIY Grundmodell'!V1030</f>
        <v>8341.5354200000002</v>
      </c>
      <c r="AK943" s="989"/>
      <c r="AL943" s="33">
        <f>'DIY Grundmodell'!X1030</f>
        <v>6846.6142300000001</v>
      </c>
    </row>
    <row r="944" spans="32:38" ht="14.1" customHeight="1" x14ac:dyDescent="0.45">
      <c r="AF944" s="988">
        <f>'DIY Grundmodell'!R1031</f>
        <v>45973</v>
      </c>
      <c r="AG944" s="89">
        <f>'DIY Grundmodell'!S1031</f>
        <v>609.01</v>
      </c>
      <c r="AH944" s="54">
        <f>'DIY Grundmodell'!T1031</f>
        <v>14916.647580000001</v>
      </c>
      <c r="AI944" s="89">
        <f>'DIY Grundmodell'!U1031</f>
        <v>609.01</v>
      </c>
      <c r="AJ944" s="89">
        <f>'DIY Grundmodell'!V1031</f>
        <v>14916.647580000001</v>
      </c>
      <c r="AK944" s="989"/>
      <c r="AL944" s="33">
        <f>'DIY Grundmodell'!X1031</f>
        <v>6850.9164799999999</v>
      </c>
    </row>
    <row r="945" spans="32:38" ht="14.1" customHeight="1" x14ac:dyDescent="0.45">
      <c r="AF945" s="988">
        <f>'DIY Grundmodell'!R1032</f>
        <v>45974</v>
      </c>
      <c r="AG945" s="89">
        <f>'DIY Grundmodell'!S1032</f>
        <v>609.89</v>
      </c>
      <c r="AH945" s="54">
        <f>'DIY Grundmodell'!T1032</f>
        <v>12791.73833</v>
      </c>
      <c r="AI945" s="89">
        <f>'DIY Grundmodell'!U1032</f>
        <v>609.89</v>
      </c>
      <c r="AJ945" s="89">
        <f>'DIY Grundmodell'!V1032</f>
        <v>12791.73833</v>
      </c>
      <c r="AK945" s="989"/>
      <c r="AL945" s="33">
        <f>'DIY Grundmodell'!X1032</f>
        <v>6737.4887200000003</v>
      </c>
    </row>
    <row r="946" spans="32:38" ht="14.1" customHeight="1" x14ac:dyDescent="0.45">
      <c r="AF946" s="988">
        <f>'DIY Grundmodell'!R1033</f>
        <v>45975</v>
      </c>
      <c r="AG946" s="89">
        <f>'DIY Grundmodell'!S1033</f>
        <v>609.46</v>
      </c>
      <c r="AH946" s="54">
        <f>'DIY Grundmodell'!T1033</f>
        <v>12630.53802</v>
      </c>
      <c r="AI946" s="89">
        <f>'DIY Grundmodell'!U1033</f>
        <v>609.46</v>
      </c>
      <c r="AJ946" s="89">
        <f>'DIY Grundmodell'!V1033</f>
        <v>12630.53802</v>
      </c>
      <c r="AK946" s="989"/>
      <c r="AL946" s="33">
        <f>'DIY Grundmodell'!X1033</f>
        <v>6734.11067</v>
      </c>
    </row>
    <row r="947" spans="32:38" ht="14.1" customHeight="1" x14ac:dyDescent="0.45">
      <c r="AF947" s="988">
        <f>'DIY Grundmodell'!R1034</f>
        <v>45976</v>
      </c>
      <c r="AG947" s="89" t="e">
        <f>'DIY Grundmodell'!S1034</f>
        <v>#N/A</v>
      </c>
      <c r="AH947" s="54" t="e">
        <f>'DIY Grundmodell'!T1034</f>
        <v>#N/A</v>
      </c>
      <c r="AI947" s="89">
        <f>'DIY Grundmodell'!U1034</f>
        <v>609.46</v>
      </c>
      <c r="AJ947" s="89">
        <f>'DIY Grundmodell'!V1034</f>
        <v>0</v>
      </c>
      <c r="AK947" s="989"/>
      <c r="AL947" s="33">
        <f>'DIY Grundmodell'!X1034</f>
        <v>6734.11067</v>
      </c>
    </row>
    <row r="948" spans="32:38" ht="14.1" customHeight="1" x14ac:dyDescent="0.45">
      <c r="AF948" s="988">
        <f>'DIY Grundmodell'!R1035</f>
        <v>45977</v>
      </c>
      <c r="AG948" s="89" t="e">
        <f>'DIY Grundmodell'!S1035</f>
        <v>#N/A</v>
      </c>
      <c r="AH948" s="54" t="e">
        <f>'DIY Grundmodell'!T1035</f>
        <v>#N/A</v>
      </c>
      <c r="AI948" s="89">
        <f>'DIY Grundmodell'!U1035</f>
        <v>609.46</v>
      </c>
      <c r="AJ948" s="89">
        <f>'DIY Grundmodell'!V1035</f>
        <v>0</v>
      </c>
      <c r="AK948" s="989"/>
      <c r="AL948" s="33">
        <f>'DIY Grundmodell'!X1035</f>
        <v>6734.11067</v>
      </c>
    </row>
    <row r="949" spans="32:38" ht="14.1" customHeight="1" x14ac:dyDescent="0.45">
      <c r="AF949" s="988">
        <f>'DIY Grundmodell'!R1036</f>
        <v>45978</v>
      </c>
      <c r="AG949" s="89">
        <f>'DIY Grundmodell'!S1036</f>
        <v>602.01</v>
      </c>
      <c r="AH949" s="54">
        <f>'DIY Grundmodell'!T1036</f>
        <v>9933.9662800000006</v>
      </c>
      <c r="AI949" s="89">
        <f>'DIY Grundmodell'!U1036</f>
        <v>602.01</v>
      </c>
      <c r="AJ949" s="89">
        <f>'DIY Grundmodell'!V1036</f>
        <v>9933.9662800000006</v>
      </c>
      <c r="AK949" s="989"/>
      <c r="AL949" s="33">
        <f>'DIY Grundmodell'!X1036</f>
        <v>6672.4116299999996</v>
      </c>
    </row>
    <row r="950" spans="32:38" ht="14.1" customHeight="1" x14ac:dyDescent="0.45">
      <c r="AF950" s="988">
        <f>'DIY Grundmodell'!R1037</f>
        <v>45979</v>
      </c>
      <c r="AG950" s="89">
        <f>'DIY Grundmodell'!S1037</f>
        <v>597.69000000000005</v>
      </c>
      <c r="AH950" s="54">
        <f>'DIY Grundmodell'!T1037</f>
        <v>15241.48171</v>
      </c>
      <c r="AI950" s="89">
        <f>'DIY Grundmodell'!U1037</f>
        <v>597.69000000000005</v>
      </c>
      <c r="AJ950" s="89">
        <f>'DIY Grundmodell'!V1037</f>
        <v>15241.48171</v>
      </c>
      <c r="AK950" s="989"/>
      <c r="AL950" s="33">
        <f>'DIY Grundmodell'!X1037</f>
        <v>6617.32006</v>
      </c>
    </row>
    <row r="951" spans="32:38" ht="14.1" customHeight="1" x14ac:dyDescent="0.45">
      <c r="AF951" s="988">
        <f>'DIY Grundmodell'!R1038</f>
        <v>45980</v>
      </c>
      <c r="AG951" s="89">
        <f>'DIY Grundmodell'!S1038</f>
        <v>590.32000000000005</v>
      </c>
      <c r="AH951" s="54">
        <f>'DIY Grundmodell'!T1038</f>
        <v>14607.293079999999</v>
      </c>
      <c r="AI951" s="89">
        <f>'DIY Grundmodell'!U1038</f>
        <v>590.32000000000005</v>
      </c>
      <c r="AJ951" s="89">
        <f>'DIY Grundmodell'!V1038</f>
        <v>14607.293079999999</v>
      </c>
      <c r="AK951" s="989"/>
      <c r="AL951" s="33">
        <f>'DIY Grundmodell'!X1038</f>
        <v>6642.1585100000002</v>
      </c>
    </row>
    <row r="952" spans="32:38" ht="14.1" customHeight="1" x14ac:dyDescent="0.45">
      <c r="AF952" s="988">
        <f>'DIY Grundmodell'!R1039</f>
        <v>45981</v>
      </c>
      <c r="AG952" s="89">
        <f>'DIY Grundmodell'!S1039</f>
        <v>589.15</v>
      </c>
      <c r="AH952" s="54">
        <f>'DIY Grundmodell'!T1039</f>
        <v>12138.27159</v>
      </c>
      <c r="AI952" s="89">
        <f>'DIY Grundmodell'!U1039</f>
        <v>589.15</v>
      </c>
      <c r="AJ952" s="89">
        <f>'DIY Grundmodell'!V1039</f>
        <v>12138.27159</v>
      </c>
      <c r="AK952" s="989"/>
      <c r="AL952" s="33">
        <f>'DIY Grundmodell'!X1039</f>
        <v>6538.7626700000001</v>
      </c>
    </row>
    <row r="953" spans="32:38" ht="14.1" customHeight="1" x14ac:dyDescent="0.45">
      <c r="AF953" s="988">
        <f>'DIY Grundmodell'!R1040</f>
        <v>45982</v>
      </c>
      <c r="AG953" s="89">
        <f>'DIY Grundmodell'!S1040</f>
        <v>594.25</v>
      </c>
      <c r="AH953" s="54">
        <f>'DIY Grundmodell'!T1040</f>
        <v>12510.52181</v>
      </c>
      <c r="AI953" s="89">
        <f>'DIY Grundmodell'!U1040</f>
        <v>594.25</v>
      </c>
      <c r="AJ953" s="89">
        <f>'DIY Grundmodell'!V1040</f>
        <v>12510.52181</v>
      </c>
      <c r="AK953" s="989"/>
      <c r="AL953" s="33">
        <f>'DIY Grundmodell'!X1040</f>
        <v>6602.9863299999997</v>
      </c>
    </row>
    <row r="954" spans="32:38" ht="14.1" customHeight="1" x14ac:dyDescent="0.45">
      <c r="AF954" s="988">
        <f>'DIY Grundmodell'!R1041</f>
        <v>45983</v>
      </c>
      <c r="AG954" s="89" t="e">
        <f>'DIY Grundmodell'!S1041</f>
        <v>#N/A</v>
      </c>
      <c r="AH954" s="54" t="e">
        <f>'DIY Grundmodell'!T1041</f>
        <v>#N/A</v>
      </c>
      <c r="AI954" s="89">
        <f>'DIY Grundmodell'!U1041</f>
        <v>594.25</v>
      </c>
      <c r="AJ954" s="89">
        <f>'DIY Grundmodell'!V1041</f>
        <v>0</v>
      </c>
      <c r="AK954" s="989"/>
      <c r="AL954" s="33">
        <f>'DIY Grundmodell'!X1041</f>
        <v>6602.9863299999997</v>
      </c>
    </row>
    <row r="955" spans="32:38" ht="14.1" customHeight="1" x14ac:dyDescent="0.45">
      <c r="AF955" s="988">
        <f>'DIY Grundmodell'!R1042</f>
        <v>45984</v>
      </c>
      <c r="AG955" s="89" t="e">
        <f>'DIY Grundmodell'!S1042</f>
        <v>#N/A</v>
      </c>
      <c r="AH955" s="54" t="e">
        <f>'DIY Grundmodell'!T1042</f>
        <v>#N/A</v>
      </c>
      <c r="AI955" s="89">
        <f>'DIY Grundmodell'!U1042</f>
        <v>594.25</v>
      </c>
      <c r="AJ955" s="89">
        <f>'DIY Grundmodell'!V1042</f>
        <v>0</v>
      </c>
      <c r="AK955" s="989"/>
      <c r="AL955" s="33">
        <f>'DIY Grundmodell'!X1042</f>
        <v>6602.9863299999997</v>
      </c>
    </row>
    <row r="956" spans="32:38" ht="14.1" customHeight="1" x14ac:dyDescent="0.45">
      <c r="AF956" s="988">
        <f>'DIY Grundmodell'!R1043</f>
        <v>45985</v>
      </c>
      <c r="AG956" s="89">
        <f>'DIY Grundmodell'!S1043</f>
        <v>613.04999999999995</v>
      </c>
      <c r="AH956" s="54">
        <f>'DIY Grundmodell'!T1043</f>
        <v>14440.351060000001</v>
      </c>
      <c r="AI956" s="89">
        <f>'DIY Grundmodell'!U1043</f>
        <v>613.04999999999995</v>
      </c>
      <c r="AJ956" s="89">
        <f>'DIY Grundmodell'!V1043</f>
        <v>14440.351060000001</v>
      </c>
      <c r="AK956" s="989"/>
      <c r="AL956" s="33">
        <f>'DIY Grundmodell'!X1043</f>
        <v>6705.1170899999997</v>
      </c>
    </row>
    <row r="957" spans="32:38" ht="14.1" customHeight="1" x14ac:dyDescent="0.45">
      <c r="AF957" s="988">
        <f>'DIY Grundmodell'!R1044</f>
        <v>45986</v>
      </c>
      <c r="AG957" s="89">
        <f>'DIY Grundmodell'!S1044</f>
        <v>636.22</v>
      </c>
      <c r="AH957" s="54">
        <f>'DIY Grundmodell'!T1044</f>
        <v>16041.00086</v>
      </c>
      <c r="AI957" s="89">
        <f>'DIY Grundmodell'!U1044</f>
        <v>636.22</v>
      </c>
      <c r="AJ957" s="89">
        <f>'DIY Grundmodell'!V1044</f>
        <v>16041.00086</v>
      </c>
      <c r="AK957" s="989"/>
      <c r="AL957" s="33">
        <f>'DIY Grundmodell'!X1044</f>
        <v>6765.8759700000001</v>
      </c>
    </row>
    <row r="958" spans="32:38" ht="14.1" customHeight="1" x14ac:dyDescent="0.45">
      <c r="AF958" s="988">
        <f>'DIY Grundmodell'!R1045</f>
        <v>45987</v>
      </c>
      <c r="AG958" s="89">
        <f>'DIY Grundmodell'!S1045</f>
        <v>633.61</v>
      </c>
      <c r="AH958" s="54">
        <f>'DIY Grundmodell'!T1045</f>
        <v>9636.8792599999997</v>
      </c>
      <c r="AI958" s="89">
        <f>'DIY Grundmodell'!U1045</f>
        <v>633.61</v>
      </c>
      <c r="AJ958" s="89">
        <f>'DIY Grundmodell'!V1045</f>
        <v>9636.8792599999997</v>
      </c>
      <c r="AK958" s="989"/>
      <c r="AL958" s="33">
        <f>'DIY Grundmodell'!X1045</f>
        <v>6812.6130899999998</v>
      </c>
    </row>
    <row r="959" spans="32:38" ht="14.1" customHeight="1" x14ac:dyDescent="0.45">
      <c r="AF959" s="988">
        <f>'DIY Grundmodell'!R1046</f>
        <v>45988</v>
      </c>
      <c r="AG959" s="89" t="e">
        <f>'DIY Grundmodell'!S1046</f>
        <v>#N/A</v>
      </c>
      <c r="AH959" s="54" t="e">
        <f>'DIY Grundmodell'!T1046</f>
        <v>#N/A</v>
      </c>
      <c r="AI959" s="89">
        <f>'DIY Grundmodell'!U1046</f>
        <v>633.61</v>
      </c>
      <c r="AJ959" s="89">
        <f>'DIY Grundmodell'!V1046</f>
        <v>0</v>
      </c>
      <c r="AK959" s="989"/>
      <c r="AL959" s="33">
        <f>'DIY Grundmodell'!X1046</f>
        <v>6812.6130899999998</v>
      </c>
    </row>
    <row r="960" spans="32:38" ht="14.1" customHeight="1" x14ac:dyDescent="0.45">
      <c r="AF960" s="988">
        <f>'DIY Grundmodell'!R1047</f>
        <v>45989</v>
      </c>
      <c r="AG960" s="89">
        <f>'DIY Grundmodell'!S1047</f>
        <v>647.95000000000005</v>
      </c>
      <c r="AH960" s="54">
        <f>'DIY Grundmodell'!T1047</f>
        <v>7148.9606400000002</v>
      </c>
      <c r="AI960" s="89">
        <f>'DIY Grundmodell'!U1047</f>
        <v>647.95000000000005</v>
      </c>
      <c r="AJ960" s="89">
        <f>'DIY Grundmodell'!V1047</f>
        <v>7148.9606400000002</v>
      </c>
      <c r="AK960" s="989"/>
      <c r="AL960" s="33">
        <f>'DIY Grundmodell'!X1047</f>
        <v>6849.0873700000002</v>
      </c>
    </row>
    <row r="961" spans="32:38" ht="14.1" customHeight="1" x14ac:dyDescent="0.45">
      <c r="AF961" s="988">
        <f>'DIY Grundmodell'!R1048</f>
        <v>45990</v>
      </c>
      <c r="AG961" s="89" t="e">
        <f>'DIY Grundmodell'!S1048</f>
        <v>#N/A</v>
      </c>
      <c r="AH961" s="54" t="e">
        <f>'DIY Grundmodell'!T1048</f>
        <v>#N/A</v>
      </c>
      <c r="AI961" s="89">
        <f>'DIY Grundmodell'!U1048</f>
        <v>647.95000000000005</v>
      </c>
      <c r="AJ961" s="89">
        <f>'DIY Grundmodell'!V1048</f>
        <v>0</v>
      </c>
      <c r="AK961" s="989"/>
      <c r="AL961" s="33">
        <f>'DIY Grundmodell'!X1048</f>
        <v>6849.0873700000002</v>
      </c>
    </row>
    <row r="962" spans="32:38" ht="14.1" customHeight="1" x14ac:dyDescent="0.45">
      <c r="AF962" s="988">
        <f>'DIY Grundmodell'!R1049</f>
        <v>45991</v>
      </c>
      <c r="AG962" s="89" t="e">
        <f>'DIY Grundmodell'!S1049</f>
        <v>#N/A</v>
      </c>
      <c r="AH962" s="54" t="e">
        <f>'DIY Grundmodell'!T1049</f>
        <v>#N/A</v>
      </c>
      <c r="AI962" s="89">
        <f>'DIY Grundmodell'!U1049</f>
        <v>647.95000000000005</v>
      </c>
      <c r="AJ962" s="89">
        <f>'DIY Grundmodell'!V1049</f>
        <v>0</v>
      </c>
      <c r="AK962" s="989"/>
      <c r="AL962" s="33">
        <f>'DIY Grundmodell'!X1049</f>
        <v>6849.0873700000002</v>
      </c>
    </row>
    <row r="963" spans="32:38" ht="14.1" customHeight="1" x14ac:dyDescent="0.45">
      <c r="AF963" s="988">
        <f>'DIY Grundmodell'!R1050</f>
        <v>45992</v>
      </c>
      <c r="AG963" s="89">
        <f>'DIY Grundmodell'!S1050</f>
        <v>640.87</v>
      </c>
      <c r="AH963" s="54">
        <f>'DIY Grundmodell'!T1050</f>
        <v>8350.4861099999998</v>
      </c>
      <c r="AI963" s="89">
        <f>'DIY Grundmodell'!U1050</f>
        <v>640.87</v>
      </c>
      <c r="AJ963" s="89">
        <f>'DIY Grundmodell'!V1050</f>
        <v>8350.4861099999998</v>
      </c>
      <c r="AK963" s="989"/>
      <c r="AL963" s="33">
        <f>'DIY Grundmodell'!X1050</f>
        <v>6812.6258500000004</v>
      </c>
    </row>
    <row r="964" spans="32:38" ht="14.1" customHeight="1" x14ac:dyDescent="0.45">
      <c r="AF964" s="988">
        <f>'DIY Grundmodell'!R1051</f>
        <v>45993</v>
      </c>
      <c r="AG964" s="89">
        <f>'DIY Grundmodell'!S1051</f>
        <v>647.1</v>
      </c>
      <c r="AH964" s="54">
        <f>'DIY Grundmodell'!T1051</f>
        <v>7532.8063300000003</v>
      </c>
      <c r="AI964" s="89">
        <f>'DIY Grundmodell'!U1051</f>
        <v>647.1</v>
      </c>
      <c r="AJ964" s="89">
        <f>'DIY Grundmodell'!V1051</f>
        <v>7532.8063300000003</v>
      </c>
      <c r="AK964" s="989"/>
      <c r="AL964" s="33">
        <f>'DIY Grundmodell'!X1051</f>
        <v>6829.3705799999998</v>
      </c>
    </row>
    <row r="965" spans="32:38" ht="14.1" customHeight="1" x14ac:dyDescent="0.45">
      <c r="AF965" s="988">
        <f>'DIY Grundmodell'!R1052</f>
        <v>45994</v>
      </c>
      <c r="AG965" s="89">
        <f>'DIY Grundmodell'!S1052</f>
        <v>639.6</v>
      </c>
      <c r="AH965" s="54">
        <f>'DIY Grundmodell'!T1052</f>
        <v>7121.5014799999999</v>
      </c>
      <c r="AI965" s="89">
        <f>'DIY Grundmodell'!U1052</f>
        <v>639.6</v>
      </c>
      <c r="AJ965" s="89">
        <f>'DIY Grundmodell'!V1052</f>
        <v>7121.5014799999999</v>
      </c>
      <c r="AK965" s="989"/>
      <c r="AL965" s="33">
        <f>'DIY Grundmodell'!X1052</f>
        <v>6849.7227199999998</v>
      </c>
    </row>
    <row r="966" spans="32:38" ht="14.1" customHeight="1" x14ac:dyDescent="0.45">
      <c r="AF966" s="988">
        <f>'DIY Grundmodell'!R1053</f>
        <v>45995</v>
      </c>
      <c r="AG966" s="89">
        <f>'DIY Grundmodell'!S1053</f>
        <v>661.53</v>
      </c>
      <c r="AH966" s="54">
        <f>'DIY Grundmodell'!T1053</f>
        <v>19762.958689999999</v>
      </c>
      <c r="AI966" s="89">
        <f>'DIY Grundmodell'!U1053</f>
        <v>661.53</v>
      </c>
      <c r="AJ966" s="89">
        <f>'DIY Grundmodell'!V1053</f>
        <v>19762.958689999999</v>
      </c>
      <c r="AK966" s="989"/>
      <c r="AL966" s="33">
        <f>'DIY Grundmodell'!X1053</f>
        <v>6857.1196900000004</v>
      </c>
    </row>
    <row r="967" spans="32:38" ht="14.1" customHeight="1" x14ac:dyDescent="0.45">
      <c r="AF967" s="988">
        <f>'DIY Grundmodell'!R1054</f>
        <v>45996</v>
      </c>
      <c r="AG967" s="89">
        <f>'DIY Grundmodell'!S1054</f>
        <v>673.42</v>
      </c>
      <c r="AH967" s="54">
        <f>'DIY Grundmodell'!T1054</f>
        <v>14281.797759999999</v>
      </c>
      <c r="AI967" s="89">
        <f>'DIY Grundmodell'!U1054</f>
        <v>673.42</v>
      </c>
      <c r="AJ967" s="89">
        <f>'DIY Grundmodell'!V1054</f>
        <v>14281.797759999999</v>
      </c>
      <c r="AK967" s="989"/>
      <c r="AL967" s="33">
        <f>'DIY Grundmodell'!X1054</f>
        <v>6870.4042099999997</v>
      </c>
    </row>
    <row r="968" spans="32:38" ht="14.1" customHeight="1" x14ac:dyDescent="0.45">
      <c r="AF968" s="988">
        <f>'DIY Grundmodell'!R1055</f>
        <v>45997</v>
      </c>
      <c r="AG968" s="89" t="e">
        <f>'DIY Grundmodell'!S1055</f>
        <v>#N/A</v>
      </c>
      <c r="AH968" s="54" t="e">
        <f>'DIY Grundmodell'!T1055</f>
        <v>#N/A</v>
      </c>
      <c r="AI968" s="89">
        <f>'DIY Grundmodell'!U1055</f>
        <v>673.42</v>
      </c>
      <c r="AJ968" s="89">
        <f>'DIY Grundmodell'!V1055</f>
        <v>0</v>
      </c>
      <c r="AK968" s="989"/>
      <c r="AL968" s="33">
        <f>'DIY Grundmodell'!X1055</f>
        <v>6870.4042099999997</v>
      </c>
    </row>
    <row r="969" spans="32:38" ht="14.1" customHeight="1" x14ac:dyDescent="0.45">
      <c r="AF969" s="988">
        <f>'DIY Grundmodell'!R1056</f>
        <v>45998</v>
      </c>
      <c r="AG969" s="89" t="e">
        <f>'DIY Grundmodell'!S1056</f>
        <v>#N/A</v>
      </c>
      <c r="AH969" s="54" t="e">
        <f>'DIY Grundmodell'!T1056</f>
        <v>#N/A</v>
      </c>
      <c r="AI969" s="89">
        <f>'DIY Grundmodell'!U1056</f>
        <v>673.42</v>
      </c>
      <c r="AJ969" s="89">
        <f>'DIY Grundmodell'!V1056</f>
        <v>0</v>
      </c>
      <c r="AK969" s="989"/>
      <c r="AL969" s="33">
        <f>'DIY Grundmodell'!X1056</f>
        <v>6870.4042099999997</v>
      </c>
    </row>
    <row r="970" spans="32:38" ht="14.1" customHeight="1" x14ac:dyDescent="0.45">
      <c r="AF970" s="988">
        <f>'DIY Grundmodell'!R1057</f>
        <v>45999</v>
      </c>
      <c r="AG970" s="89">
        <f>'DIY Grundmodell'!S1057</f>
        <v>666.8</v>
      </c>
      <c r="AH970" s="54">
        <f>'DIY Grundmodell'!T1057</f>
        <v>8775.7387999999992</v>
      </c>
      <c r="AI970" s="89">
        <f>'DIY Grundmodell'!U1057</f>
        <v>666.8</v>
      </c>
      <c r="AJ970" s="89">
        <f>'DIY Grundmodell'!V1057</f>
        <v>8775.7387999999992</v>
      </c>
      <c r="AK970" s="989"/>
      <c r="AL970" s="33">
        <f>'DIY Grundmodell'!X1057</f>
        <v>6846.5061699999997</v>
      </c>
    </row>
    <row r="971" spans="32:38" ht="14.1" customHeight="1" x14ac:dyDescent="0.45">
      <c r="AF971" s="988">
        <f>'DIY Grundmodell'!R1058</f>
        <v>46000</v>
      </c>
      <c r="AG971" s="89">
        <f>'DIY Grundmodell'!S1058</f>
        <v>656.96</v>
      </c>
      <c r="AH971" s="54">
        <f>'DIY Grundmodell'!T1058</f>
        <v>8538.5853299999999</v>
      </c>
      <c r="AI971" s="89">
        <f>'DIY Grundmodell'!U1058</f>
        <v>656.96</v>
      </c>
      <c r="AJ971" s="89">
        <f>'DIY Grundmodell'!V1058</f>
        <v>8538.5853299999999</v>
      </c>
      <c r="AK971" s="989"/>
      <c r="AL971" s="33">
        <f>'DIY Grundmodell'!X1058</f>
        <v>6840.5096199999998</v>
      </c>
    </row>
    <row r="972" spans="32:38" ht="14.1" customHeight="1" x14ac:dyDescent="0.45">
      <c r="AF972" s="988">
        <f>'DIY Grundmodell'!R1059</f>
        <v>46001</v>
      </c>
      <c r="AG972" s="89">
        <f>'DIY Grundmodell'!S1059</f>
        <v>650.13</v>
      </c>
      <c r="AH972" s="54">
        <f>'DIY Grundmodell'!T1059</f>
        <v>10994.272370000001</v>
      </c>
      <c r="AI972" s="89">
        <f>'DIY Grundmodell'!U1059</f>
        <v>650.13</v>
      </c>
      <c r="AJ972" s="89">
        <f>'DIY Grundmodell'!V1059</f>
        <v>10994.272370000001</v>
      </c>
      <c r="AK972" s="989"/>
      <c r="AL972" s="33">
        <f>'DIY Grundmodell'!X1059</f>
        <v>6886.6829900000002</v>
      </c>
    </row>
    <row r="973" spans="32:38" ht="14.1" customHeight="1" x14ac:dyDescent="0.45">
      <c r="AF973" s="988">
        <f>'DIY Grundmodell'!R1060</f>
        <v>46002</v>
      </c>
      <c r="AG973" s="89">
        <f>'DIY Grundmodell'!S1060</f>
        <v>652.71</v>
      </c>
      <c r="AH973" s="54">
        <f>'DIY Grundmodell'!T1060</f>
        <v>8522.2556299999997</v>
      </c>
      <c r="AI973" s="89">
        <f>'DIY Grundmodell'!U1060</f>
        <v>652.71</v>
      </c>
      <c r="AJ973" s="89">
        <f>'DIY Grundmodell'!V1060</f>
        <v>8522.2556299999997</v>
      </c>
      <c r="AK973" s="989"/>
      <c r="AL973" s="33">
        <f>'DIY Grundmodell'!X1060</f>
        <v>6900.9951899999996</v>
      </c>
    </row>
    <row r="974" spans="32:38" ht="14.1" customHeight="1" x14ac:dyDescent="0.45">
      <c r="AF974" s="988">
        <f>'DIY Grundmodell'!R1061</f>
        <v>46003</v>
      </c>
      <c r="AG974" s="89">
        <f>'DIY Grundmodell'!S1061</f>
        <v>644.23</v>
      </c>
      <c r="AH974" s="54">
        <f>'DIY Grundmodell'!T1061</f>
        <v>9030.11715</v>
      </c>
      <c r="AI974" s="89">
        <f>'DIY Grundmodell'!U1061</f>
        <v>644.23</v>
      </c>
      <c r="AJ974" s="89">
        <f>'DIY Grundmodell'!V1061</f>
        <v>9030.11715</v>
      </c>
      <c r="AK974" s="989"/>
      <c r="AL974" s="33">
        <f>'DIY Grundmodell'!X1061</f>
        <v>6827.4064600000002</v>
      </c>
    </row>
    <row r="975" spans="32:38" ht="14.1" customHeight="1" x14ac:dyDescent="0.45">
      <c r="AF975" s="988">
        <f>'DIY Grundmodell'!R1062</f>
        <v>46004</v>
      </c>
      <c r="AG975" s="89" t="e">
        <f>'DIY Grundmodell'!S1062</f>
        <v>#N/A</v>
      </c>
      <c r="AH975" s="54" t="e">
        <f>'DIY Grundmodell'!T1062</f>
        <v>#N/A</v>
      </c>
      <c r="AI975" s="89">
        <f>'DIY Grundmodell'!U1062</f>
        <v>644.23</v>
      </c>
      <c r="AJ975" s="89">
        <f>'DIY Grundmodell'!V1062</f>
        <v>0</v>
      </c>
      <c r="AK975" s="989"/>
      <c r="AL975" s="33">
        <f>'DIY Grundmodell'!X1062</f>
        <v>6827.4064600000002</v>
      </c>
    </row>
    <row r="976" spans="32:38" ht="14.1" customHeight="1" x14ac:dyDescent="0.45">
      <c r="AF976" s="988">
        <f>'DIY Grundmodell'!R1063</f>
        <v>46005</v>
      </c>
      <c r="AG976" s="89" t="e">
        <f>'DIY Grundmodell'!S1063</f>
        <v>#N/A</v>
      </c>
      <c r="AH976" s="54" t="e">
        <f>'DIY Grundmodell'!T1063</f>
        <v>#N/A</v>
      </c>
      <c r="AI976" s="89">
        <f>'DIY Grundmodell'!U1063</f>
        <v>644.23</v>
      </c>
      <c r="AJ976" s="89">
        <f>'DIY Grundmodell'!V1063</f>
        <v>0</v>
      </c>
      <c r="AK976" s="989"/>
      <c r="AL976" s="33">
        <f>'DIY Grundmodell'!X1063</f>
        <v>6827.4064600000002</v>
      </c>
    </row>
    <row r="977" spans="32:38" ht="14.1" customHeight="1" x14ac:dyDescent="0.45">
      <c r="AF977" s="988">
        <f>'DIY Grundmodell'!R1064</f>
        <v>46006</v>
      </c>
      <c r="AG977" s="89">
        <f>'DIY Grundmodell'!S1064</f>
        <v>647.51</v>
      </c>
      <c r="AH977" s="54">
        <f>'DIY Grundmodell'!T1064</f>
        <v>10068.189969999999</v>
      </c>
      <c r="AI977" s="89">
        <f>'DIY Grundmodell'!U1064</f>
        <v>647.51</v>
      </c>
      <c r="AJ977" s="89">
        <f>'DIY Grundmodell'!V1064</f>
        <v>10068.189969999999</v>
      </c>
      <c r="AK977" s="989"/>
      <c r="AL977" s="33">
        <f>'DIY Grundmodell'!X1064</f>
        <v>6816.5083000000004</v>
      </c>
    </row>
    <row r="978" spans="32:38" ht="14.1" customHeight="1" x14ac:dyDescent="0.45">
      <c r="AF978" s="988">
        <f>'DIY Grundmodell'!R1065</f>
        <v>46007</v>
      </c>
      <c r="AG978" s="89">
        <f>'DIY Grundmodell'!S1065</f>
        <v>657.15</v>
      </c>
      <c r="AH978" s="54">
        <f>'DIY Grundmodell'!T1065</f>
        <v>9403.2487199999996</v>
      </c>
      <c r="AI978" s="89">
        <f>'DIY Grundmodell'!U1065</f>
        <v>657.15</v>
      </c>
      <c r="AJ978" s="89">
        <f>'DIY Grundmodell'!V1065</f>
        <v>9403.2487199999996</v>
      </c>
      <c r="AK978" s="989"/>
      <c r="AL978" s="33">
        <f>'DIY Grundmodell'!X1065</f>
        <v>6800.2572200000004</v>
      </c>
    </row>
    <row r="979" spans="32:38" ht="14.1" customHeight="1" x14ac:dyDescent="0.45">
      <c r="AF979" s="988">
        <f>'DIY Grundmodell'!R1066</f>
        <v>46008</v>
      </c>
      <c r="AG979" s="89">
        <f>'DIY Grundmodell'!S1066</f>
        <v>649.5</v>
      </c>
      <c r="AH979" s="54">
        <f>'DIY Grundmodell'!T1066</f>
        <v>10131.25693</v>
      </c>
      <c r="AI979" s="89">
        <f>'DIY Grundmodell'!U1066</f>
        <v>649.5</v>
      </c>
      <c r="AJ979" s="89">
        <f>'DIY Grundmodell'!V1066</f>
        <v>10131.25693</v>
      </c>
      <c r="AK979" s="989"/>
      <c r="AL979" s="33">
        <f>'DIY Grundmodell'!X1066</f>
        <v>6721.4295499999998</v>
      </c>
    </row>
    <row r="980" spans="32:38" ht="14.1" customHeight="1" x14ac:dyDescent="0.45">
      <c r="AF980" s="988">
        <f>'DIY Grundmodell'!R1067</f>
        <v>46009</v>
      </c>
      <c r="AG980" s="89">
        <f>'DIY Grundmodell'!S1067</f>
        <v>664.45</v>
      </c>
      <c r="AH980" s="54">
        <f>'DIY Grundmodell'!T1067</f>
        <v>13461.953009999999</v>
      </c>
      <c r="AI980" s="89">
        <f>'DIY Grundmodell'!U1067</f>
        <v>664.45</v>
      </c>
      <c r="AJ980" s="89">
        <f>'DIY Grundmodell'!V1067</f>
        <v>13461.953009999999</v>
      </c>
      <c r="AK980" s="989"/>
      <c r="AL980" s="33">
        <f>'DIY Grundmodell'!X1067</f>
        <v>6774.7575699999998</v>
      </c>
    </row>
    <row r="981" spans="32:38" ht="14.1" customHeight="1" x14ac:dyDescent="0.45">
      <c r="AF981" s="988">
        <f>'DIY Grundmodell'!R1068</f>
        <v>46010</v>
      </c>
      <c r="AG981" s="89">
        <f>'DIY Grundmodell'!S1068</f>
        <v>658.77</v>
      </c>
      <c r="AH981" s="54">
        <f>'DIY Grundmodell'!T1068</f>
        <v>32923.381889999997</v>
      </c>
      <c r="AI981" s="89">
        <f>'DIY Grundmodell'!U1068</f>
        <v>658.77</v>
      </c>
      <c r="AJ981" s="89">
        <f>'DIY Grundmodell'!V1068</f>
        <v>32923.381889999997</v>
      </c>
      <c r="AK981" s="989"/>
      <c r="AL981" s="33">
        <f>'DIY Grundmodell'!X1068</f>
        <v>6834.4961899999998</v>
      </c>
    </row>
    <row r="982" spans="32:38" ht="14.1" customHeight="1" x14ac:dyDescent="0.45">
      <c r="AF982" s="988">
        <f>'DIY Grundmodell'!R1069</f>
        <v>46011</v>
      </c>
      <c r="AG982" s="89" t="e">
        <f>'DIY Grundmodell'!S1069</f>
        <v>#N/A</v>
      </c>
      <c r="AH982" s="54" t="e">
        <f>'DIY Grundmodell'!T1069</f>
        <v>#N/A</v>
      </c>
      <c r="AI982" s="89">
        <f>'DIY Grundmodell'!U1069</f>
        <v>658.77</v>
      </c>
      <c r="AJ982" s="89">
        <f>'DIY Grundmodell'!V1069</f>
        <v>0</v>
      </c>
      <c r="AK982" s="989"/>
      <c r="AL982" s="33">
        <f>'DIY Grundmodell'!X1069</f>
        <v>6834.4961899999998</v>
      </c>
    </row>
    <row r="983" spans="32:38" ht="14.1" customHeight="1" x14ac:dyDescent="0.45">
      <c r="AF983" s="988">
        <f>'DIY Grundmodell'!R1070</f>
        <v>46012</v>
      </c>
      <c r="AG983" s="89" t="e">
        <f>'DIY Grundmodell'!S1070</f>
        <v>#N/A</v>
      </c>
      <c r="AH983" s="54" t="e">
        <f>'DIY Grundmodell'!T1070</f>
        <v>#N/A</v>
      </c>
      <c r="AI983" s="89">
        <f>'DIY Grundmodell'!U1070</f>
        <v>658.77</v>
      </c>
      <c r="AJ983" s="89">
        <f>'DIY Grundmodell'!V1070</f>
        <v>0</v>
      </c>
      <c r="AK983" s="989"/>
      <c r="AL983" s="33">
        <f>'DIY Grundmodell'!X1070</f>
        <v>6834.4961899999998</v>
      </c>
    </row>
    <row r="984" spans="32:38" ht="14.1" customHeight="1" x14ac:dyDescent="0.45">
      <c r="AF984" s="988">
        <f>'DIY Grundmodell'!R1071</f>
        <v>46013</v>
      </c>
      <c r="AG984" s="89">
        <f>'DIY Grundmodell'!S1071</f>
        <v>661.5</v>
      </c>
      <c r="AH984" s="54">
        <f>'DIY Grundmodell'!T1071</f>
        <v>10358.68318</v>
      </c>
      <c r="AI984" s="89">
        <f>'DIY Grundmodell'!U1071</f>
        <v>661.5</v>
      </c>
      <c r="AJ984" s="89">
        <f>'DIY Grundmodell'!V1071</f>
        <v>10358.68318</v>
      </c>
      <c r="AK984" s="989"/>
      <c r="AL984" s="33">
        <f>'DIY Grundmodell'!X1071</f>
        <v>6878.4894800000002</v>
      </c>
    </row>
    <row r="985" spans="32:38" ht="14.1" customHeight="1" x14ac:dyDescent="0.45">
      <c r="AF985" s="988">
        <f>'DIY Grundmodell'!R1072</f>
        <v>46014</v>
      </c>
      <c r="AG985" s="89">
        <f>'DIY Grundmodell'!S1072</f>
        <v>664.94</v>
      </c>
      <c r="AH985" s="54">
        <f>'DIY Grundmodell'!T1072</f>
        <v>5643.2440399999996</v>
      </c>
      <c r="AI985" s="89">
        <f>'DIY Grundmodell'!U1072</f>
        <v>664.94</v>
      </c>
      <c r="AJ985" s="89">
        <f>'DIY Grundmodell'!V1072</f>
        <v>5643.2440399999996</v>
      </c>
      <c r="AK985" s="989"/>
      <c r="AL985" s="33">
        <f>'DIY Grundmodell'!X1072</f>
        <v>6909.7920700000004</v>
      </c>
    </row>
    <row r="986" spans="32:38" ht="14.1" customHeight="1" x14ac:dyDescent="0.45">
      <c r="AF986" s="988">
        <f>'DIY Grundmodell'!R1073</f>
        <v>46015</v>
      </c>
      <c r="AG986" s="89">
        <f>'DIY Grundmodell'!S1073</f>
        <v>667.55</v>
      </c>
      <c r="AH986" s="54">
        <f>'DIY Grundmodell'!T1073</f>
        <v>3756.6456400000002</v>
      </c>
      <c r="AI986" s="89">
        <f>'DIY Grundmodell'!U1073</f>
        <v>667.55</v>
      </c>
      <c r="AJ986" s="89">
        <f>'DIY Grundmodell'!V1073</f>
        <v>3756.6456400000002</v>
      </c>
      <c r="AK986" s="989"/>
      <c r="AL986" s="33">
        <f>'DIY Grundmodell'!X1073</f>
        <v>6932.04918</v>
      </c>
    </row>
    <row r="987" spans="32:38" ht="14.1" customHeight="1" x14ac:dyDescent="0.45">
      <c r="AF987" s="988">
        <f>'DIY Grundmodell'!R1074</f>
        <v>46016</v>
      </c>
      <c r="AG987" s="89" t="e">
        <f>'DIY Grundmodell'!S1074</f>
        <v>#N/A</v>
      </c>
      <c r="AH987" s="54" t="e">
        <f>'DIY Grundmodell'!T1074</f>
        <v>#N/A</v>
      </c>
      <c r="AI987" s="89">
        <f>'DIY Grundmodell'!U1074</f>
        <v>667.55</v>
      </c>
      <c r="AJ987" s="89">
        <f>'DIY Grundmodell'!V1074</f>
        <v>0</v>
      </c>
      <c r="AK987" s="989"/>
      <c r="AL987" s="33">
        <f>'DIY Grundmodell'!X1074</f>
        <v>6932.04918</v>
      </c>
    </row>
    <row r="988" spans="32:38" ht="14.1" customHeight="1" x14ac:dyDescent="0.45">
      <c r="AF988" s="988">
        <f>'DIY Grundmodell'!R1075</f>
        <v>46017</v>
      </c>
      <c r="AG988" s="89">
        <f>'DIY Grundmodell'!S1075</f>
        <v>663.29</v>
      </c>
      <c r="AH988" s="54">
        <f>'DIY Grundmodell'!T1075</f>
        <v>4731.78683</v>
      </c>
      <c r="AI988" s="89">
        <f>'DIY Grundmodell'!U1075</f>
        <v>663.29</v>
      </c>
      <c r="AJ988" s="89">
        <f>'DIY Grundmodell'!V1075</f>
        <v>4731.78683</v>
      </c>
      <c r="AK988" s="989"/>
      <c r="AL988" s="33">
        <f>'DIY Grundmodell'!X1075</f>
        <v>6929.9361200000003</v>
      </c>
    </row>
    <row r="989" spans="32:38" ht="14.1" customHeight="1" x14ac:dyDescent="0.45">
      <c r="AF989" s="988">
        <f>'DIY Grundmodell'!R1076</f>
        <v>46018</v>
      </c>
      <c r="AG989" s="89" t="e">
        <f>'DIY Grundmodell'!S1076</f>
        <v>#N/A</v>
      </c>
      <c r="AH989" s="54" t="e">
        <f>'DIY Grundmodell'!T1076</f>
        <v>#N/A</v>
      </c>
      <c r="AI989" s="89">
        <f>'DIY Grundmodell'!U1076</f>
        <v>663.29</v>
      </c>
      <c r="AJ989" s="89">
        <f>'DIY Grundmodell'!V1076</f>
        <v>0</v>
      </c>
      <c r="AK989" s="989"/>
      <c r="AL989" s="33">
        <f>'DIY Grundmodell'!X1076</f>
        <v>6929.9361200000003</v>
      </c>
    </row>
    <row r="990" spans="32:38" ht="14.1" customHeight="1" x14ac:dyDescent="0.45">
      <c r="AF990" s="988">
        <f>'DIY Grundmodell'!R1077</f>
        <v>46019</v>
      </c>
      <c r="AG990" s="89" t="e">
        <f>'DIY Grundmodell'!S1077</f>
        <v>#N/A</v>
      </c>
      <c r="AH990" s="54" t="e">
        <f>'DIY Grundmodell'!T1077</f>
        <v>#N/A</v>
      </c>
      <c r="AI990" s="89">
        <f>'DIY Grundmodell'!U1077</f>
        <v>663.29</v>
      </c>
      <c r="AJ990" s="89">
        <f>'DIY Grundmodell'!V1077</f>
        <v>0</v>
      </c>
      <c r="AK990" s="989"/>
      <c r="AL990" s="33">
        <f>'DIY Grundmodell'!X1077</f>
        <v>6929.9361200000003</v>
      </c>
    </row>
    <row r="991" spans="32:38" ht="14.1" customHeight="1" x14ac:dyDescent="0.45">
      <c r="AF991" s="988">
        <f>'DIY Grundmodell'!R1078</f>
        <v>46020</v>
      </c>
      <c r="AG991" s="89">
        <f>'DIY Grundmodell'!S1078</f>
        <v>658.69</v>
      </c>
      <c r="AH991" s="54">
        <f>'DIY Grundmodell'!T1078</f>
        <v>5603.1313399999999</v>
      </c>
      <c r="AI991" s="89">
        <f>'DIY Grundmodell'!U1078</f>
        <v>658.69</v>
      </c>
      <c r="AJ991" s="89">
        <f>'DIY Grundmodell'!V1078</f>
        <v>5603.1313399999999</v>
      </c>
      <c r="AK991" s="989"/>
      <c r="AL991" s="33">
        <f>'DIY Grundmodell'!X1078</f>
        <v>6905.7440500000002</v>
      </c>
    </row>
    <row r="992" spans="32:38" ht="14.1" customHeight="1" x14ac:dyDescent="0.45">
      <c r="AF992" s="988">
        <f>'DIY Grundmodell'!R1079</f>
        <v>46021</v>
      </c>
      <c r="AG992" s="89">
        <f>'DIY Grundmodell'!S1079</f>
        <v>665.95</v>
      </c>
      <c r="AH992" s="54">
        <f>'DIY Grundmodell'!T1079</f>
        <v>6118.4043000000001</v>
      </c>
      <c r="AI992" s="89">
        <f>'DIY Grundmodell'!U1079</f>
        <v>665.95</v>
      </c>
      <c r="AJ992" s="89">
        <f>'DIY Grundmodell'!V1079</f>
        <v>6118.4043000000001</v>
      </c>
      <c r="AK992" s="989"/>
      <c r="AL992" s="33">
        <f>'DIY Grundmodell'!X1079</f>
        <v>6896.2417400000004</v>
      </c>
    </row>
    <row r="993" spans="32:38" ht="14.1" customHeight="1" x14ac:dyDescent="0.45">
      <c r="AF993" s="988">
        <f>'DIY Grundmodell'!R1080</f>
        <v>46022</v>
      </c>
      <c r="AG993" s="89">
        <f>'DIY Grundmodell'!S1080</f>
        <v>660.09</v>
      </c>
      <c r="AH993" s="54">
        <f>'DIY Grundmodell'!T1080</f>
        <v>5241.3515699999998</v>
      </c>
      <c r="AI993" s="89">
        <f>'DIY Grundmodell'!U1080</f>
        <v>660.09</v>
      </c>
      <c r="AJ993" s="89">
        <f>'DIY Grundmodell'!V1080</f>
        <v>5241.3515699999998</v>
      </c>
      <c r="AK993" s="989"/>
      <c r="AL993" s="33">
        <f>'DIY Grundmodell'!X1080</f>
        <v>6845.5047100000002</v>
      </c>
    </row>
    <row r="994" spans="32:38" ht="14.1" customHeight="1" x14ac:dyDescent="0.45">
      <c r="AF994" s="988">
        <f>'DIY Grundmodell'!R1081</f>
        <v>46023</v>
      </c>
      <c r="AG994" s="89" t="e">
        <f>'DIY Grundmodell'!S1081</f>
        <v>#N/A</v>
      </c>
      <c r="AH994" s="54" t="e">
        <f>'DIY Grundmodell'!T1081</f>
        <v>#N/A</v>
      </c>
      <c r="AI994" s="89">
        <f>'DIY Grundmodell'!U1081</f>
        <v>660.09</v>
      </c>
      <c r="AJ994" s="89">
        <f>'DIY Grundmodell'!V1081</f>
        <v>0</v>
      </c>
      <c r="AK994" s="989"/>
      <c r="AL994" s="33">
        <f>'DIY Grundmodell'!X1081</f>
        <v>6845.5047100000002</v>
      </c>
    </row>
    <row r="995" spans="32:38" ht="14.1" customHeight="1" x14ac:dyDescent="0.45">
      <c r="AF995" s="988">
        <f>'DIY Grundmodell'!R1082</f>
        <v>46024</v>
      </c>
      <c r="AG995" s="89">
        <f>'DIY Grundmodell'!S1082</f>
        <v>650.41</v>
      </c>
      <c r="AH995" s="54">
        <f>'DIY Grundmodell'!T1082</f>
        <v>8927.8639199999998</v>
      </c>
      <c r="AI995" s="89">
        <f>'DIY Grundmodell'!U1082</f>
        <v>650.41</v>
      </c>
      <c r="AJ995" s="89">
        <f>'DIY Grundmodell'!V1082</f>
        <v>8927.8639199999998</v>
      </c>
      <c r="AK995" s="989"/>
      <c r="AL995" s="33">
        <f>'DIY Grundmodell'!X1082</f>
        <v>6858.4723100000001</v>
      </c>
    </row>
    <row r="996" spans="32:38" ht="14.1" customHeight="1" x14ac:dyDescent="0.45">
      <c r="AF996" s="988">
        <f>'DIY Grundmodell'!R1083</f>
        <v>46025</v>
      </c>
      <c r="AG996" s="89" t="e">
        <f>'DIY Grundmodell'!S1083</f>
        <v>#N/A</v>
      </c>
      <c r="AH996" s="54" t="e">
        <f>'DIY Grundmodell'!T1083</f>
        <v>#N/A</v>
      </c>
      <c r="AI996" s="89">
        <f>'DIY Grundmodell'!U1083</f>
        <v>650.41</v>
      </c>
      <c r="AJ996" s="89">
        <f>'DIY Grundmodell'!V1083</f>
        <v>0</v>
      </c>
      <c r="AK996" s="989"/>
      <c r="AL996" s="33">
        <f>'DIY Grundmodell'!X1083</f>
        <v>6858.4723100000001</v>
      </c>
    </row>
    <row r="997" spans="32:38" ht="14.1" customHeight="1" x14ac:dyDescent="0.45">
      <c r="AF997" s="988">
        <f>'DIY Grundmodell'!R1084</f>
        <v>46026</v>
      </c>
      <c r="AG997" s="89" t="e">
        <f>'DIY Grundmodell'!S1084</f>
        <v>#N/A</v>
      </c>
      <c r="AH997" s="54" t="e">
        <f>'DIY Grundmodell'!T1084</f>
        <v>#N/A</v>
      </c>
      <c r="AI997" s="89">
        <f>'DIY Grundmodell'!U1084</f>
        <v>650.41</v>
      </c>
      <c r="AJ997" s="89">
        <f>'DIY Grundmodell'!V1084</f>
        <v>0</v>
      </c>
      <c r="AK997" s="989"/>
      <c r="AL997" s="33">
        <f>'DIY Grundmodell'!X1084</f>
        <v>6858.4723100000001</v>
      </c>
    </row>
    <row r="998" spans="32:38" ht="14.1" customHeight="1" x14ac:dyDescent="0.45">
      <c r="AF998" s="988">
        <f>'DIY Grundmodell'!R1085</f>
        <v>46027</v>
      </c>
      <c r="AG998" s="89">
        <f>'DIY Grundmodell'!S1085</f>
        <v>658.79</v>
      </c>
      <c r="AH998" s="54">
        <f>'DIY Grundmodell'!T1085</f>
        <v>8046.2930699999997</v>
      </c>
      <c r="AI998" s="89">
        <f>'DIY Grundmodell'!U1085</f>
        <v>658.79</v>
      </c>
      <c r="AJ998" s="89">
        <f>'DIY Grundmodell'!V1085</f>
        <v>8046.2930699999997</v>
      </c>
      <c r="AK998" s="989"/>
      <c r="AL998" s="33">
        <f>'DIY Grundmodell'!X1085</f>
        <v>6902.0508499999996</v>
      </c>
    </row>
    <row r="999" spans="32:38" ht="14.1" customHeight="1" x14ac:dyDescent="0.45">
      <c r="AF999" s="988">
        <f>'DIY Grundmodell'!R1086</f>
        <v>46028</v>
      </c>
      <c r="AG999" s="89">
        <f>'DIY Grundmodell'!S1086</f>
        <v>660.62</v>
      </c>
      <c r="AH999" s="54">
        <f>'DIY Grundmodell'!T1086</f>
        <v>7315.9826800000001</v>
      </c>
      <c r="AI999" s="89">
        <f>'DIY Grundmodell'!U1086</f>
        <v>660.62</v>
      </c>
      <c r="AJ999" s="89">
        <f>'DIY Grundmodell'!V1086</f>
        <v>7315.9826800000001</v>
      </c>
      <c r="AK999" s="989"/>
      <c r="AL999" s="33">
        <f>'DIY Grundmodell'!X1086</f>
        <v>6944.8192200000003</v>
      </c>
    </row>
    <row r="1000" spans="32:38" ht="14.1" customHeight="1" x14ac:dyDescent="0.45">
      <c r="AF1000" s="988">
        <f>'DIY Grundmodell'!R1087</f>
        <v>46029</v>
      </c>
      <c r="AG1000" s="89">
        <f>'DIY Grundmodell'!S1087</f>
        <v>648.69000000000005</v>
      </c>
      <c r="AH1000" s="54">
        <f>'DIY Grundmodell'!T1087</f>
        <v>8333.2488300000005</v>
      </c>
      <c r="AI1000" s="89">
        <f>'DIY Grundmodell'!U1087</f>
        <v>648.69000000000005</v>
      </c>
      <c r="AJ1000" s="89">
        <f>'DIY Grundmodell'!V1087</f>
        <v>8333.2488300000005</v>
      </c>
      <c r="AK1000" s="989"/>
      <c r="AL1000" s="33">
        <f>'DIY Grundmodell'!X1087</f>
        <v>6920.9292599999999</v>
      </c>
    </row>
    <row r="1001" spans="32:38" ht="14.1" customHeight="1" x14ac:dyDescent="0.45">
      <c r="AF1001" s="988">
        <f>'DIY Grundmodell'!R1088</f>
        <v>46030</v>
      </c>
      <c r="AG1001" s="89">
        <f>'DIY Grundmodell'!S1088</f>
        <v>646.05999999999995</v>
      </c>
      <c r="AH1001" s="54">
        <f>'DIY Grundmodell'!T1088</f>
        <v>7702.1386700000003</v>
      </c>
      <c r="AI1001" s="89">
        <f>'DIY Grundmodell'!U1088</f>
        <v>646.05999999999995</v>
      </c>
      <c r="AJ1001" s="89">
        <f>'DIY Grundmodell'!V1088</f>
        <v>7702.1386700000003</v>
      </c>
      <c r="AK1001" s="989"/>
      <c r="AL1001" s="33">
        <f>'DIY Grundmodell'!X1088</f>
        <v>6921.4570899999999</v>
      </c>
    </row>
    <row r="1002" spans="32:38" ht="14.1" customHeight="1" x14ac:dyDescent="0.45">
      <c r="AF1002" s="988">
        <f>'DIY Grundmodell'!R1089</f>
        <v>46031</v>
      </c>
      <c r="AG1002" s="89">
        <f>'DIY Grundmodell'!S1089</f>
        <v>653.05999999999995</v>
      </c>
      <c r="AH1002" s="54">
        <f>'DIY Grundmodell'!T1089</f>
        <v>7598.3165300000001</v>
      </c>
      <c r="AI1002" s="89">
        <f>'DIY Grundmodell'!U1089</f>
        <v>653.05999999999995</v>
      </c>
      <c r="AJ1002" s="89">
        <f>'DIY Grundmodell'!V1089</f>
        <v>7598.3165300000001</v>
      </c>
      <c r="AK1002" s="989"/>
      <c r="AL1002" s="33">
        <f>'DIY Grundmodell'!X1089</f>
        <v>6966.2839199999999</v>
      </c>
    </row>
    <row r="1003" spans="32:38" ht="14.1" customHeight="1" x14ac:dyDescent="0.45">
      <c r="AF1003" s="988">
        <f>'DIY Grundmodell'!R1090</f>
        <v>46032</v>
      </c>
      <c r="AG1003" s="89" t="e">
        <f>'DIY Grundmodell'!S1090</f>
        <v>#N/A</v>
      </c>
      <c r="AH1003" s="54" t="e">
        <f>'DIY Grundmodell'!T1090</f>
        <v>#N/A</v>
      </c>
      <c r="AI1003" s="89">
        <f>'DIY Grundmodell'!U1090</f>
        <v>653.05999999999995</v>
      </c>
      <c r="AJ1003" s="89">
        <f>'DIY Grundmodell'!V1090</f>
        <v>0</v>
      </c>
      <c r="AK1003" s="989"/>
      <c r="AL1003" s="33">
        <f>'DIY Grundmodell'!X1090</f>
        <v>6966.2839199999999</v>
      </c>
    </row>
    <row r="1004" spans="32:38" ht="14.1" customHeight="1" x14ac:dyDescent="0.45">
      <c r="AF1004" s="988">
        <f>'DIY Grundmodell'!R1091</f>
        <v>46033</v>
      </c>
      <c r="AG1004" s="89" t="e">
        <f>'DIY Grundmodell'!S1091</f>
        <v>#N/A</v>
      </c>
      <c r="AH1004" s="54" t="e">
        <f>'DIY Grundmodell'!T1091</f>
        <v>#N/A</v>
      </c>
      <c r="AI1004" s="89">
        <f>'DIY Grundmodell'!U1091</f>
        <v>653.05999999999995</v>
      </c>
      <c r="AJ1004" s="89">
        <f>'DIY Grundmodell'!V1091</f>
        <v>0</v>
      </c>
      <c r="AK1004" s="989"/>
      <c r="AL1004" s="33">
        <f>'DIY Grundmodell'!X1091</f>
        <v>6966.2839199999999</v>
      </c>
    </row>
    <row r="1005" spans="32:38" ht="14.1" customHeight="1" x14ac:dyDescent="0.45">
      <c r="AF1005" s="988">
        <f>'DIY Grundmodell'!R1092</f>
        <v>46034</v>
      </c>
      <c r="AG1005" s="89">
        <f>'DIY Grundmodell'!S1092</f>
        <v>641.97</v>
      </c>
      <c r="AH1005" s="54">
        <f>'DIY Grundmodell'!T1092</f>
        <v>9499.3565600000002</v>
      </c>
      <c r="AI1005" s="89">
        <f>'DIY Grundmodell'!U1092</f>
        <v>641.97</v>
      </c>
      <c r="AJ1005" s="89">
        <f>'DIY Grundmodell'!V1092</f>
        <v>9499.3565600000002</v>
      </c>
      <c r="AK1005" s="989"/>
      <c r="AL1005" s="33">
        <f>'DIY Grundmodell'!X1092</f>
        <v>6977.2650299999996</v>
      </c>
    </row>
    <row r="1006" spans="32:38" ht="14.1" customHeight="1" x14ac:dyDescent="0.45">
      <c r="AF1006" s="988">
        <f>'DIY Grundmodell'!R1093</f>
        <v>46035</v>
      </c>
      <c r="AG1006" s="89">
        <f>'DIY Grundmodell'!S1093</f>
        <v>631.09</v>
      </c>
      <c r="AH1006" s="54">
        <f>'DIY Grundmodell'!T1093</f>
        <v>11378.80198</v>
      </c>
      <c r="AI1006" s="89">
        <f>'DIY Grundmodell'!U1093</f>
        <v>631.09</v>
      </c>
      <c r="AJ1006" s="89">
        <f>'DIY Grundmodell'!V1093</f>
        <v>11378.80198</v>
      </c>
      <c r="AK1006" s="989"/>
      <c r="AL1006" s="33">
        <f>'DIY Grundmodell'!X1093</f>
        <v>6963.7350999999999</v>
      </c>
    </row>
    <row r="1007" spans="32:38" ht="14.1" customHeight="1" x14ac:dyDescent="0.45">
      <c r="AF1007" s="988">
        <f>'DIY Grundmodell'!R1094</f>
        <v>46036</v>
      </c>
      <c r="AG1007" s="89">
        <f>'DIY Grundmodell'!S1094</f>
        <v>615.52</v>
      </c>
      <c r="AH1007" s="54">
        <f>'DIY Grundmodell'!T1094</f>
        <v>9557.7176199999994</v>
      </c>
      <c r="AI1007" s="89">
        <f>'DIY Grundmodell'!U1094</f>
        <v>615.52</v>
      </c>
      <c r="AJ1007" s="89">
        <f>'DIY Grundmodell'!V1094</f>
        <v>9557.7176199999994</v>
      </c>
      <c r="AK1007" s="989"/>
      <c r="AL1007" s="33">
        <f>'DIY Grundmodell'!X1094</f>
        <v>6926.5961500000003</v>
      </c>
    </row>
    <row r="1008" spans="32:38" ht="14.1" customHeight="1" x14ac:dyDescent="0.45">
      <c r="AF1008" s="988">
        <f>'DIY Grundmodell'!R1095</f>
        <v>46037</v>
      </c>
      <c r="AG1008" s="89">
        <f>'DIY Grundmodell'!S1095</f>
        <v>620.79999999999995</v>
      </c>
      <c r="AH1008" s="54">
        <f>'DIY Grundmodell'!T1095</f>
        <v>8117.6168100000004</v>
      </c>
      <c r="AI1008" s="89">
        <f>'DIY Grundmodell'!U1095</f>
        <v>620.79999999999995</v>
      </c>
      <c r="AJ1008" s="89">
        <f>'DIY Grundmodell'!V1095</f>
        <v>8117.6168100000004</v>
      </c>
      <c r="AK1008" s="989"/>
      <c r="AL1008" s="33">
        <f>'DIY Grundmodell'!X1095</f>
        <v>6944.4718800000001</v>
      </c>
    </row>
    <row r="1009" spans="32:38" ht="14.1" customHeight="1" x14ac:dyDescent="0.45">
      <c r="AF1009" s="988">
        <f>'DIY Grundmodell'!R1096</f>
        <v>46038</v>
      </c>
      <c r="AG1009" s="89">
        <f>'DIY Grundmodell'!S1096</f>
        <v>620.25</v>
      </c>
      <c r="AH1009" s="54">
        <f>'DIY Grundmodell'!T1096</f>
        <v>10552.01305</v>
      </c>
      <c r="AI1009" s="89">
        <f>'DIY Grundmodell'!U1096</f>
        <v>620.25</v>
      </c>
      <c r="AJ1009" s="89">
        <f>'DIY Grundmodell'!V1096</f>
        <v>10552.01305</v>
      </c>
      <c r="AK1009" s="989"/>
      <c r="AL1009" s="33">
        <f>'DIY Grundmodell'!X1096</f>
        <v>6940.0095099999999</v>
      </c>
    </row>
    <row r="1010" spans="32:38" ht="14.1" customHeight="1" x14ac:dyDescent="0.45">
      <c r="AF1010" s="988">
        <f>'DIY Grundmodell'!R1097</f>
        <v>46039</v>
      </c>
      <c r="AG1010" s="89" t="e">
        <f>'DIY Grundmodell'!S1097</f>
        <v>#N/A</v>
      </c>
      <c r="AH1010" s="54" t="e">
        <f>'DIY Grundmodell'!T1097</f>
        <v>#N/A</v>
      </c>
      <c r="AI1010" s="89">
        <f>'DIY Grundmodell'!U1097</f>
        <v>620.25</v>
      </c>
      <c r="AJ1010" s="89">
        <f>'DIY Grundmodell'!V1097</f>
        <v>0</v>
      </c>
      <c r="AK1010" s="989"/>
      <c r="AL1010" s="33">
        <f>'DIY Grundmodell'!X1097</f>
        <v>6940.0095099999999</v>
      </c>
    </row>
    <row r="1011" spans="32:38" ht="14.1" customHeight="1" x14ac:dyDescent="0.45">
      <c r="AF1011" s="988">
        <f>'DIY Grundmodell'!R1098</f>
        <v>46040</v>
      </c>
      <c r="AG1011" s="89" t="e">
        <f>'DIY Grundmodell'!S1098</f>
        <v>#N/A</v>
      </c>
      <c r="AH1011" s="54" t="e">
        <f>'DIY Grundmodell'!T1098</f>
        <v>#N/A</v>
      </c>
      <c r="AI1011" s="89">
        <f>'DIY Grundmodell'!U1098</f>
        <v>620.25</v>
      </c>
      <c r="AJ1011" s="89">
        <f>'DIY Grundmodell'!V1098</f>
        <v>0</v>
      </c>
      <c r="AK1011" s="989"/>
      <c r="AL1011" s="33">
        <f>'DIY Grundmodell'!X1098</f>
        <v>6940.0095099999999</v>
      </c>
    </row>
    <row r="1012" spans="32:38" ht="14.1" customHeight="1" x14ac:dyDescent="0.45">
      <c r="AF1012" s="988">
        <f>'DIY Grundmodell'!R1099</f>
        <v>46041</v>
      </c>
      <c r="AG1012" s="89" t="e">
        <f>'DIY Grundmodell'!S1099</f>
        <v>#N/A</v>
      </c>
      <c r="AH1012" s="54" t="e">
        <f>'DIY Grundmodell'!T1099</f>
        <v>#N/A</v>
      </c>
      <c r="AI1012" s="89">
        <f>'DIY Grundmodell'!U1099</f>
        <v>620.25</v>
      </c>
      <c r="AJ1012" s="89">
        <f>'DIY Grundmodell'!V1099</f>
        <v>0</v>
      </c>
      <c r="AK1012" s="989"/>
      <c r="AL1012" s="33">
        <f>'DIY Grundmodell'!X1099</f>
        <v>6940.0095099999999</v>
      </c>
    </row>
    <row r="1013" spans="32:38" ht="14.1" customHeight="1" x14ac:dyDescent="0.45">
      <c r="AF1013" s="988">
        <f>'DIY Grundmodell'!R1100</f>
        <v>46042</v>
      </c>
      <c r="AG1013" s="89">
        <f>'DIY Grundmodell'!S1100</f>
        <v>604.12</v>
      </c>
      <c r="AH1013" s="54">
        <f>'DIY Grundmodell'!T1100</f>
        <v>9164.2376100000001</v>
      </c>
      <c r="AI1013" s="89">
        <f>'DIY Grundmodell'!U1100</f>
        <v>604.12</v>
      </c>
      <c r="AJ1013" s="89">
        <f>'DIY Grundmodell'!V1100</f>
        <v>9164.2376100000001</v>
      </c>
      <c r="AK1013" s="989"/>
      <c r="AL1013" s="33">
        <f>'DIY Grundmodell'!X1100</f>
        <v>6796.8608100000001</v>
      </c>
    </row>
    <row r="1014" spans="32:38" ht="14.1" customHeight="1" x14ac:dyDescent="0.45">
      <c r="AF1014" s="988">
        <f>'DIY Grundmodell'!R1101</f>
        <v>46043</v>
      </c>
      <c r="AG1014" s="89">
        <f>'DIY Grundmodell'!S1101</f>
        <v>612.96</v>
      </c>
      <c r="AH1014" s="54">
        <f>'DIY Grundmodell'!T1101</f>
        <v>8884.6437299999998</v>
      </c>
      <c r="AI1014" s="89">
        <f>'DIY Grundmodell'!U1101</f>
        <v>612.96</v>
      </c>
      <c r="AJ1014" s="89">
        <f>'DIY Grundmodell'!V1101</f>
        <v>8884.6437299999998</v>
      </c>
      <c r="AK1014" s="989"/>
      <c r="AL1014" s="33">
        <f>'DIY Grundmodell'!X1101</f>
        <v>6875.6152700000002</v>
      </c>
    </row>
    <row r="1015" spans="32:38" ht="14.1" customHeight="1" x14ac:dyDescent="0.45">
      <c r="AF1015" s="988">
        <f>'DIY Grundmodell'!R1102</f>
        <v>46044</v>
      </c>
      <c r="AG1015" s="89">
        <f>'DIY Grundmodell'!S1102</f>
        <v>647.63</v>
      </c>
      <c r="AH1015" s="54">
        <f>'DIY Grundmodell'!T1102</f>
        <v>13855.82948</v>
      </c>
      <c r="AI1015" s="89">
        <f>'DIY Grundmodell'!U1102</f>
        <v>647.63</v>
      </c>
      <c r="AJ1015" s="89">
        <f>'DIY Grundmodell'!V1102</f>
        <v>13855.82948</v>
      </c>
      <c r="AK1015" s="989"/>
      <c r="AL1015" s="33">
        <f>'DIY Grundmodell'!X1102</f>
        <v>6913.3520399999998</v>
      </c>
    </row>
    <row r="1016" spans="32:38" ht="14.1" customHeight="1" x14ac:dyDescent="0.45">
      <c r="AF1016" s="988">
        <f>'DIY Grundmodell'!R1103</f>
        <v>46045</v>
      </c>
      <c r="AG1016" s="89">
        <f>'DIY Grundmodell'!S1103</f>
        <v>658.76</v>
      </c>
      <c r="AH1016" s="54">
        <f>'DIY Grundmodell'!T1103</f>
        <v>15018.227999999999</v>
      </c>
      <c r="AI1016" s="89">
        <f>'DIY Grundmodell'!U1103</f>
        <v>658.76</v>
      </c>
      <c r="AJ1016" s="89">
        <f>'DIY Grundmodell'!V1103</f>
        <v>15018.227999999999</v>
      </c>
      <c r="AK1016" s="989"/>
      <c r="AL1016" s="33">
        <f>'DIY Grundmodell'!X1103</f>
        <v>6915.6106499999996</v>
      </c>
    </row>
    <row r="1017" spans="32:38" ht="14.1" customHeight="1" x14ac:dyDescent="0.45">
      <c r="AF1017" s="988">
        <f>'DIY Grundmodell'!R1104</f>
        <v>46046</v>
      </c>
      <c r="AG1017" s="89" t="e">
        <f>'DIY Grundmodell'!S1104</f>
        <v>#N/A</v>
      </c>
      <c r="AH1017" s="54" t="e">
        <f>'DIY Grundmodell'!T1104</f>
        <v>#N/A</v>
      </c>
      <c r="AI1017" s="89">
        <f>'DIY Grundmodell'!U1104</f>
        <v>658.76</v>
      </c>
      <c r="AJ1017" s="89">
        <f>'DIY Grundmodell'!V1104</f>
        <v>0</v>
      </c>
      <c r="AK1017" s="989"/>
      <c r="AL1017" s="33">
        <f>'DIY Grundmodell'!X1104</f>
        <v>6915.6106499999996</v>
      </c>
    </row>
    <row r="1018" spans="32:38" ht="14.1" customHeight="1" x14ac:dyDescent="0.45">
      <c r="AF1018" s="988">
        <f>'DIY Grundmodell'!R1105</f>
        <v>46047</v>
      </c>
      <c r="AG1018" s="89" t="e">
        <f>'DIY Grundmodell'!S1105</f>
        <v>#N/A</v>
      </c>
      <c r="AH1018" s="54" t="e">
        <f>'DIY Grundmodell'!T1105</f>
        <v>#N/A</v>
      </c>
      <c r="AI1018" s="89">
        <f>'DIY Grundmodell'!U1105</f>
        <v>658.76</v>
      </c>
      <c r="AJ1018" s="89">
        <f>'DIY Grundmodell'!V1105</f>
        <v>0</v>
      </c>
      <c r="AK1018" s="989"/>
      <c r="AL1018" s="33">
        <f>'DIY Grundmodell'!X1105</f>
        <v>6915.6106499999996</v>
      </c>
    </row>
    <row r="1019" spans="32:38" ht="14.1" customHeight="1" x14ac:dyDescent="0.45">
      <c r="AF1019" s="988">
        <f>'DIY Grundmodell'!R1106</f>
        <v>46048</v>
      </c>
      <c r="AG1019" s="89">
        <f>'DIY Grundmodell'!S1106</f>
        <v>672.36</v>
      </c>
      <c r="AH1019" s="54">
        <f>'DIY Grundmodell'!T1106</f>
        <v>10977.87587</v>
      </c>
      <c r="AI1019" s="89">
        <f>'DIY Grundmodell'!U1106</f>
        <v>672.36</v>
      </c>
      <c r="AJ1019" s="89">
        <f>'DIY Grundmodell'!V1106</f>
        <v>10977.87587</v>
      </c>
      <c r="AK1019" s="989"/>
      <c r="AL1019" s="33">
        <f>'DIY Grundmodell'!X1106</f>
        <v>6950.2322000000004</v>
      </c>
    </row>
    <row r="1020" spans="32:38" ht="14.1" customHeight="1" x14ac:dyDescent="0.45">
      <c r="AF1020" s="988">
        <f>'DIY Grundmodell'!R1107</f>
        <v>46049</v>
      </c>
      <c r="AG1020" s="89">
        <f>'DIY Grundmodell'!S1107</f>
        <v>672.97</v>
      </c>
      <c r="AH1020" s="54">
        <f>'DIY Grundmodell'!T1107</f>
        <v>8948.7176299999992</v>
      </c>
      <c r="AI1020" s="89">
        <f>'DIY Grundmodell'!U1107</f>
        <v>672.97</v>
      </c>
      <c r="AJ1020" s="89">
        <f>'DIY Grundmodell'!V1107</f>
        <v>8948.7176299999992</v>
      </c>
      <c r="AK1020" s="989"/>
      <c r="AL1020" s="33">
        <f>'DIY Grundmodell'!X1107</f>
        <v>6978.5969299999997</v>
      </c>
    </row>
    <row r="1021" spans="32:38" ht="14.1" customHeight="1" x14ac:dyDescent="0.45">
      <c r="AF1021" s="988">
        <f>'DIY Grundmodell'!R1108</f>
        <v>46050</v>
      </c>
      <c r="AG1021" s="89">
        <f>'DIY Grundmodell'!S1108</f>
        <v>668.73</v>
      </c>
      <c r="AH1021" s="54">
        <f>'DIY Grundmodell'!T1108</f>
        <v>17192.78081</v>
      </c>
      <c r="AI1021" s="89">
        <f>'DIY Grundmodell'!U1108</f>
        <v>668.73</v>
      </c>
      <c r="AJ1021" s="89">
        <f>'DIY Grundmodell'!V1108</f>
        <v>17192.78081</v>
      </c>
      <c r="AK1021" s="989"/>
      <c r="AL1021" s="33">
        <f>'DIY Grundmodell'!X1108</f>
        <v>6978.0293899999997</v>
      </c>
    </row>
    <row r="1022" spans="32:38" ht="14.1" customHeight="1" x14ac:dyDescent="0.45">
      <c r="AF1022" s="988">
        <f>'DIY Grundmodell'!R1109</f>
        <v>46051</v>
      </c>
      <c r="AG1022" s="89">
        <f>'DIY Grundmodell'!S1109</f>
        <v>738.31</v>
      </c>
      <c r="AH1022" s="54">
        <f>'DIY Grundmodell'!T1109</f>
        <v>44189.996809999997</v>
      </c>
      <c r="AI1022" s="89">
        <f>'DIY Grundmodell'!U1109</f>
        <v>738.31</v>
      </c>
      <c r="AJ1022" s="89">
        <f>'DIY Grundmodell'!V1109</f>
        <v>44189.996809999997</v>
      </c>
      <c r="AK1022" s="989"/>
      <c r="AL1022" s="33">
        <f>'DIY Grundmodell'!X1109</f>
        <v>6969.0068899999997</v>
      </c>
    </row>
    <row r="1023" spans="32:38" ht="14.1" customHeight="1" x14ac:dyDescent="0.45">
      <c r="AF1023" s="988">
        <f>'DIY Grundmodell'!R1110</f>
        <v>46052</v>
      </c>
      <c r="AG1023" s="89">
        <f>'DIY Grundmodell'!S1110</f>
        <v>716.5</v>
      </c>
      <c r="AH1023" s="54">
        <f>'DIY Grundmodell'!T1110</f>
        <v>17012.986560000001</v>
      </c>
      <c r="AI1023" s="89">
        <f>'DIY Grundmodell'!U1110</f>
        <v>716.5</v>
      </c>
      <c r="AJ1023" s="89">
        <f>'DIY Grundmodell'!V1110</f>
        <v>17012.986560000001</v>
      </c>
      <c r="AK1023" s="989"/>
      <c r="AL1023" s="33">
        <f>'DIY Grundmodell'!X1110</f>
        <v>6939.02952</v>
      </c>
    </row>
    <row r="1024" spans="32:38" ht="14.1" customHeight="1" x14ac:dyDescent="0.45">
      <c r="AF1024" s="988">
        <f>'DIY Grundmodell'!R1111</f>
        <v>46053</v>
      </c>
      <c r="AG1024" s="89" t="e">
        <f>'DIY Grundmodell'!S1111</f>
        <v>#N/A</v>
      </c>
      <c r="AH1024" s="54" t="e">
        <f>'DIY Grundmodell'!T1111</f>
        <v>#N/A</v>
      </c>
      <c r="AI1024" s="89">
        <f>'DIY Grundmodell'!U1111</f>
        <v>716.5</v>
      </c>
      <c r="AJ1024" s="89">
        <f>'DIY Grundmodell'!V1111</f>
        <v>0</v>
      </c>
      <c r="AK1024" s="989"/>
      <c r="AL1024" s="33">
        <f>'DIY Grundmodell'!X1111</f>
        <v>6939.02952</v>
      </c>
    </row>
    <row r="1025" spans="32:38" ht="14.1" customHeight="1" x14ac:dyDescent="0.45">
      <c r="AF1025" s="988">
        <f>'DIY Grundmodell'!R1112</f>
        <v>46054</v>
      </c>
      <c r="AG1025" s="89" t="e">
        <f>'DIY Grundmodell'!S1112</f>
        <v>#N/A</v>
      </c>
      <c r="AH1025" s="54" t="e">
        <f>'DIY Grundmodell'!T1112</f>
        <v>#N/A</v>
      </c>
      <c r="AI1025" s="89">
        <f>'DIY Grundmodell'!U1112</f>
        <v>716.5</v>
      </c>
      <c r="AJ1025" s="89">
        <f>'DIY Grundmodell'!V1112</f>
        <v>0</v>
      </c>
      <c r="AK1025" s="989"/>
      <c r="AL1025" s="33">
        <f>'DIY Grundmodell'!X1112</f>
        <v>6939.02952</v>
      </c>
    </row>
    <row r="1026" spans="32:38" ht="14.1" customHeight="1" x14ac:dyDescent="0.45">
      <c r="AF1026" s="988">
        <f>'DIY Grundmodell'!R1113</f>
        <v>46055</v>
      </c>
      <c r="AG1026" s="89">
        <f>'DIY Grundmodell'!S1113</f>
        <v>706.41</v>
      </c>
      <c r="AH1026" s="54">
        <f>'DIY Grundmodell'!T1113</f>
        <v>10147.73789</v>
      </c>
      <c r="AI1026" s="89">
        <f>'DIY Grundmodell'!U1113</f>
        <v>706.41</v>
      </c>
      <c r="AJ1026" s="89">
        <f>'DIY Grundmodell'!V1113</f>
        <v>10147.73789</v>
      </c>
      <c r="AK1026" s="989"/>
      <c r="AL1026" s="33">
        <f>'DIY Grundmodell'!X1113</f>
        <v>6976.4441800000004</v>
      </c>
    </row>
    <row r="1027" spans="32:38" ht="14.1" customHeight="1" x14ac:dyDescent="0.45">
      <c r="AF1027" s="988">
        <f>'DIY Grundmodell'!R1114</f>
        <v>46056</v>
      </c>
      <c r="AG1027" s="89">
        <f>'DIY Grundmodell'!S1114</f>
        <v>691.7</v>
      </c>
      <c r="AH1027" s="54">
        <f>'DIY Grundmodell'!T1114</f>
        <v>9518.2505999999994</v>
      </c>
      <c r="AI1027" s="89">
        <f>'DIY Grundmodell'!U1114</f>
        <v>691.7</v>
      </c>
      <c r="AJ1027" s="89">
        <f>'DIY Grundmodell'!V1114</f>
        <v>9518.2505999999994</v>
      </c>
      <c r="AK1027" s="989"/>
      <c r="AL1027" s="33">
        <f>'DIY Grundmodell'!X1114</f>
        <v>6917.8117000000002</v>
      </c>
    </row>
    <row r="1028" spans="32:38" ht="14.1" customHeight="1" x14ac:dyDescent="0.45">
      <c r="AF1028" s="988">
        <f>'DIY Grundmodell'!R1115</f>
        <v>46057</v>
      </c>
      <c r="AG1028" s="89">
        <f>'DIY Grundmodell'!S1115</f>
        <v>668.99</v>
      </c>
      <c r="AH1028" s="54">
        <f>'DIY Grundmodell'!T1115</f>
        <v>11294.398279999999</v>
      </c>
      <c r="AI1028" s="89">
        <f>'DIY Grundmodell'!U1115</f>
        <v>668.99</v>
      </c>
      <c r="AJ1028" s="89">
        <f>'DIY Grundmodell'!V1115</f>
        <v>11294.398279999999</v>
      </c>
      <c r="AK1028" s="989"/>
      <c r="AL1028" s="33">
        <f>'DIY Grundmodell'!X1115</f>
        <v>6882.7211100000004</v>
      </c>
    </row>
    <row r="1029" spans="32:38" ht="14.1" customHeight="1" x14ac:dyDescent="0.45">
      <c r="AF1029" s="988">
        <f>'DIY Grundmodell'!R1116</f>
        <v>46058</v>
      </c>
      <c r="AG1029" s="89">
        <f>'DIY Grundmodell'!S1116</f>
        <v>670.21</v>
      </c>
      <c r="AH1029" s="54">
        <f>'DIY Grundmodell'!T1116</f>
        <v>11481.897650000001</v>
      </c>
      <c r="AI1029" s="89">
        <f>'DIY Grundmodell'!U1116</f>
        <v>670.21</v>
      </c>
      <c r="AJ1029" s="89">
        <f>'DIY Grundmodell'!V1116</f>
        <v>11481.897650000001</v>
      </c>
      <c r="AK1029" s="989"/>
      <c r="AL1029" s="33">
        <f>'DIY Grundmodell'!X1116</f>
        <v>6798.39948</v>
      </c>
    </row>
    <row r="1030" spans="32:38" ht="14.1" customHeight="1" x14ac:dyDescent="0.45">
      <c r="AF1030" s="988">
        <f>'DIY Grundmodell'!R1117</f>
        <v>46059</v>
      </c>
      <c r="AG1030" s="89">
        <f>'DIY Grundmodell'!S1117</f>
        <v>661.46</v>
      </c>
      <c r="AH1030" s="54">
        <f>'DIY Grundmodell'!T1117</f>
        <v>12011.619489999999</v>
      </c>
      <c r="AI1030" s="89">
        <f>'DIY Grundmodell'!U1117</f>
        <v>661.46</v>
      </c>
      <c r="AJ1030" s="89">
        <f>'DIY Grundmodell'!V1117</f>
        <v>12011.619489999999</v>
      </c>
      <c r="AK1030" s="989"/>
      <c r="AL1030" s="33">
        <f>'DIY Grundmodell'!X1117</f>
        <v>6932.2976699999999</v>
      </c>
    </row>
    <row r="1031" spans="32:38" ht="14.1" customHeight="1" x14ac:dyDescent="0.45">
      <c r="AF1031" s="988">
        <f>'DIY Grundmodell'!R1118</f>
        <v>46060</v>
      </c>
      <c r="AG1031" s="89" t="e">
        <f>'DIY Grundmodell'!S1118</f>
        <v>#N/A</v>
      </c>
      <c r="AH1031" s="54" t="e">
        <f>'DIY Grundmodell'!T1118</f>
        <v>#N/A</v>
      </c>
      <c r="AI1031" s="89">
        <f>'DIY Grundmodell'!U1118</f>
        <v>661.46</v>
      </c>
      <c r="AJ1031" s="89">
        <f>'DIY Grundmodell'!V1118</f>
        <v>0</v>
      </c>
      <c r="AK1031" s="989"/>
      <c r="AL1031" s="33">
        <f>'DIY Grundmodell'!X1118</f>
        <v>6932.2976699999999</v>
      </c>
    </row>
    <row r="1032" spans="32:38" ht="14.1" customHeight="1" x14ac:dyDescent="0.45">
      <c r="AF1032" s="988">
        <f>'DIY Grundmodell'!R1119</f>
        <v>46061</v>
      </c>
      <c r="AG1032" s="89" t="e">
        <f>'DIY Grundmodell'!S1119</f>
        <v>#N/A</v>
      </c>
      <c r="AH1032" s="54" t="e">
        <f>'DIY Grundmodell'!T1119</f>
        <v>#N/A</v>
      </c>
      <c r="AI1032" s="89">
        <f>'DIY Grundmodell'!U1119</f>
        <v>661.46</v>
      </c>
      <c r="AJ1032" s="89">
        <f>'DIY Grundmodell'!V1119</f>
        <v>0</v>
      </c>
      <c r="AK1032" s="989"/>
      <c r="AL1032" s="33">
        <f>'DIY Grundmodell'!X1119</f>
        <v>6932.2976699999999</v>
      </c>
    </row>
    <row r="1033" spans="32:38" ht="14.1" customHeight="1" x14ac:dyDescent="0.45">
      <c r="AF1033" s="988">
        <f>'DIY Grundmodell'!R1120</f>
        <v>46062</v>
      </c>
      <c r="AG1033" s="89">
        <f>'DIY Grundmodell'!S1120</f>
        <v>677.22</v>
      </c>
      <c r="AH1033" s="54">
        <f>'DIY Grundmodell'!T1120</f>
        <v>10048.27139</v>
      </c>
      <c r="AI1033" s="89">
        <f>'DIY Grundmodell'!U1120</f>
        <v>677.22</v>
      </c>
      <c r="AJ1033" s="89">
        <f>'DIY Grundmodell'!V1120</f>
        <v>10048.27139</v>
      </c>
      <c r="AK1033" s="989"/>
      <c r="AL1033" s="33">
        <f>'DIY Grundmodell'!X1120</f>
        <v>6964.8198499999999</v>
      </c>
    </row>
    <row r="1034" spans="32:38" ht="14.1" customHeight="1" x14ac:dyDescent="0.45">
      <c r="AF1034" s="988">
        <f>'DIY Grundmodell'!R1121</f>
        <v>46063</v>
      </c>
      <c r="AG1034" s="89">
        <f>'DIY Grundmodell'!S1121</f>
        <v>670.72</v>
      </c>
      <c r="AH1034" s="54">
        <f>'DIY Grundmodell'!T1121</f>
        <v>7012.9249099999997</v>
      </c>
      <c r="AI1034" s="89">
        <f>'DIY Grundmodell'!U1121</f>
        <v>670.72</v>
      </c>
      <c r="AJ1034" s="89">
        <f>'DIY Grundmodell'!V1121</f>
        <v>7012.9249099999997</v>
      </c>
      <c r="AK1034" s="989"/>
      <c r="AL1034" s="33">
        <f>'DIY Grundmodell'!X1121</f>
        <v>6941.8125099999997</v>
      </c>
    </row>
    <row r="1035" spans="32:38" ht="14.1" customHeight="1" x14ac:dyDescent="0.45">
      <c r="AF1035" s="988">
        <f>'DIY Grundmodell'!R1122</f>
        <v>46064</v>
      </c>
      <c r="AG1035" s="89">
        <f>'DIY Grundmodell'!S1122</f>
        <v>668.69</v>
      </c>
      <c r="AH1035" s="54">
        <f>'DIY Grundmodell'!T1122</f>
        <v>9578.1938599999994</v>
      </c>
      <c r="AI1035" s="89">
        <f>'DIY Grundmodell'!U1122</f>
        <v>668.69</v>
      </c>
      <c r="AJ1035" s="89">
        <f>'DIY Grundmodell'!V1122</f>
        <v>9578.1938599999994</v>
      </c>
      <c r="AK1035" s="989"/>
      <c r="AL1035" s="33">
        <f>'DIY Grundmodell'!X1122</f>
        <v>6941.4710100000002</v>
      </c>
    </row>
    <row r="1036" spans="32:38" ht="14.1" customHeight="1" x14ac:dyDescent="0.45">
      <c r="AF1036" s="988">
        <f>'DIY Grundmodell'!R1123</f>
        <v>46065</v>
      </c>
      <c r="AG1036" s="89">
        <f>'DIY Grundmodell'!S1123</f>
        <v>649.80999999999995</v>
      </c>
      <c r="AH1036" s="54">
        <f>'DIY Grundmodell'!T1123</f>
        <v>9721.2277799999993</v>
      </c>
      <c r="AI1036" s="89">
        <f>'DIY Grundmodell'!U1123</f>
        <v>649.80999999999995</v>
      </c>
      <c r="AJ1036" s="89">
        <f>'DIY Grundmodell'!V1123</f>
        <v>9721.2277799999993</v>
      </c>
      <c r="AK1036" s="989"/>
      <c r="AL1036" s="33">
        <f>'DIY Grundmodell'!X1123</f>
        <v>6832.7614700000004</v>
      </c>
    </row>
    <row r="1037" spans="32:38" ht="14.1" customHeight="1" x14ac:dyDescent="0.45">
      <c r="AF1037" s="988">
        <f>'DIY Grundmodell'!R1124</f>
        <v>46066</v>
      </c>
      <c r="AG1037" s="89">
        <f>'DIY Grundmodell'!S1124</f>
        <v>639.77</v>
      </c>
      <c r="AH1037" s="54">
        <f>'DIY Grundmodell'!T1124</f>
        <v>7892.4349599999996</v>
      </c>
      <c r="AI1037" s="89">
        <f>'DIY Grundmodell'!U1124</f>
        <v>639.77</v>
      </c>
      <c r="AJ1037" s="89">
        <f>'DIY Grundmodell'!V1124</f>
        <v>7892.4349599999996</v>
      </c>
      <c r="AK1037" s="989"/>
      <c r="AL1037" s="33">
        <f>'DIY Grundmodell'!X1124</f>
        <v>6836.17209</v>
      </c>
    </row>
    <row r="1038" spans="32:38" ht="14.1" customHeight="1" x14ac:dyDescent="0.45">
      <c r="AF1038" s="988">
        <f>'DIY Grundmodell'!R1125</f>
        <v>46067</v>
      </c>
      <c r="AG1038" s="89" t="e">
        <f>'DIY Grundmodell'!S1125</f>
        <v>#N/A</v>
      </c>
      <c r="AH1038" s="54" t="e">
        <f>'DIY Grundmodell'!T1125</f>
        <v>#N/A</v>
      </c>
      <c r="AI1038" s="89">
        <f>'DIY Grundmodell'!U1125</f>
        <v>639.77</v>
      </c>
      <c r="AJ1038" s="89">
        <f>'DIY Grundmodell'!V1125</f>
        <v>0</v>
      </c>
      <c r="AK1038" s="989"/>
      <c r="AL1038" s="33">
        <f>'DIY Grundmodell'!X1125</f>
        <v>6836.17209</v>
      </c>
    </row>
    <row r="1039" spans="32:38" ht="14.1" customHeight="1" x14ac:dyDescent="0.45">
      <c r="AF1039" s="988">
        <f>'DIY Grundmodell'!R1126</f>
        <v>46068</v>
      </c>
      <c r="AG1039" s="89" t="e">
        <f>'DIY Grundmodell'!S1126</f>
        <v>#N/A</v>
      </c>
      <c r="AH1039" s="54" t="e">
        <f>'DIY Grundmodell'!T1126</f>
        <v>#N/A</v>
      </c>
      <c r="AI1039" s="89">
        <f>'DIY Grundmodell'!U1126</f>
        <v>639.77</v>
      </c>
      <c r="AJ1039" s="89">
        <f>'DIY Grundmodell'!V1126</f>
        <v>0</v>
      </c>
      <c r="AK1039" s="989"/>
      <c r="AL1039" s="33">
        <f>'DIY Grundmodell'!X1126</f>
        <v>6836.17209</v>
      </c>
    </row>
    <row r="1040" spans="32:38" ht="14.1" customHeight="1" x14ac:dyDescent="0.45">
      <c r="AF1040" s="988">
        <f>'DIY Grundmodell'!R1127</f>
        <v>46069</v>
      </c>
      <c r="AG1040" s="89" t="e">
        <f>'DIY Grundmodell'!S1127</f>
        <v>#N/A</v>
      </c>
      <c r="AH1040" s="54" t="e">
        <f>'DIY Grundmodell'!T1127</f>
        <v>#N/A</v>
      </c>
      <c r="AI1040" s="89">
        <f>'DIY Grundmodell'!U1127</f>
        <v>639.77</v>
      </c>
      <c r="AJ1040" s="89">
        <f>'DIY Grundmodell'!V1127</f>
        <v>0</v>
      </c>
      <c r="AK1040" s="989"/>
      <c r="AL1040" s="33">
        <f>'DIY Grundmodell'!X1127</f>
        <v>6836.17209</v>
      </c>
    </row>
    <row r="1041" spans="32:38" ht="14.1" customHeight="1" x14ac:dyDescent="0.45">
      <c r="AF1041" s="988">
        <f>'DIY Grundmodell'!R1128</f>
        <v>46070</v>
      </c>
      <c r="AG1041" s="89">
        <f>'DIY Grundmodell'!S1128</f>
        <v>639.29</v>
      </c>
      <c r="AH1041" s="54">
        <f>'DIY Grundmodell'!T1128</f>
        <v>8102.8338999999996</v>
      </c>
      <c r="AI1041" s="89">
        <f>'DIY Grundmodell'!U1128</f>
        <v>639.29</v>
      </c>
      <c r="AJ1041" s="89">
        <f>'DIY Grundmodell'!V1128</f>
        <v>8102.8338999999996</v>
      </c>
      <c r="AK1041" s="989"/>
      <c r="AL1041" s="33">
        <f>'DIY Grundmodell'!X1128</f>
        <v>6843.2232599999998</v>
      </c>
    </row>
    <row r="1042" spans="32:38" ht="14.1" customHeight="1" x14ac:dyDescent="0.45">
      <c r="AF1042" s="988">
        <f>'DIY Grundmodell'!R1129</f>
        <v>46071</v>
      </c>
      <c r="AG1042" s="89">
        <f>'DIY Grundmodell'!S1129</f>
        <v>643.22</v>
      </c>
      <c r="AH1042" s="54">
        <f>'DIY Grundmodell'!T1129</f>
        <v>9422.6558499999992</v>
      </c>
      <c r="AI1042" s="89">
        <f>'DIY Grundmodell'!U1129</f>
        <v>643.22</v>
      </c>
      <c r="AJ1042" s="89">
        <f>'DIY Grundmodell'!V1129</f>
        <v>9422.6558499999992</v>
      </c>
      <c r="AK1042" s="989"/>
      <c r="AL1042" s="33">
        <f>'DIY Grundmodell'!X1129</f>
        <v>6881.3145599999998</v>
      </c>
    </row>
    <row r="1043" spans="32:38" ht="14.1" customHeight="1" x14ac:dyDescent="0.45">
      <c r="AF1043" s="988">
        <f>'DIY Grundmodell'!R1130</f>
        <v>46072</v>
      </c>
      <c r="AG1043" s="89">
        <f>'DIY Grundmodell'!S1130</f>
        <v>644.78</v>
      </c>
      <c r="AH1043" s="54">
        <f>'DIY Grundmodell'!T1130</f>
        <v>6470.81736</v>
      </c>
      <c r="AI1043" s="89">
        <f>'DIY Grundmodell'!U1130</f>
        <v>644.78</v>
      </c>
      <c r="AJ1043" s="89">
        <f>'DIY Grundmodell'!V1130</f>
        <v>6470.81736</v>
      </c>
      <c r="AK1043" s="989"/>
      <c r="AL1043" s="33">
        <f>'DIY Grundmodell'!X1130</f>
        <v>6861.8937400000004</v>
      </c>
    </row>
    <row r="1044" spans="32:38" ht="14.1" customHeight="1" x14ac:dyDescent="0.45">
      <c r="AF1044" s="988">
        <f>'DIY Grundmodell'!R1131</f>
        <v>46073</v>
      </c>
      <c r="AG1044" s="89">
        <f>'DIY Grundmodell'!S1131</f>
        <v>655.66</v>
      </c>
      <c r="AH1044" s="54">
        <f>'DIY Grundmodell'!T1131</f>
        <v>9299.5614800000003</v>
      </c>
      <c r="AI1044" s="89">
        <f>'DIY Grundmodell'!U1131</f>
        <v>655.66</v>
      </c>
      <c r="AJ1044" s="89">
        <f>'DIY Grundmodell'!V1131</f>
        <v>9299.5614800000003</v>
      </c>
      <c r="AK1044" s="989"/>
      <c r="AL1044" s="33">
        <f>'DIY Grundmodell'!X1131</f>
        <v>6909.5066200000001</v>
      </c>
    </row>
    <row r="1045" spans="32:38" ht="14.1" customHeight="1" x14ac:dyDescent="0.45">
      <c r="AF1045" s="988">
        <f>'DIY Grundmodell'!R1132</f>
        <v>46074</v>
      </c>
      <c r="AG1045" s="89" t="e">
        <f>'DIY Grundmodell'!S1132</f>
        <v>#N/A</v>
      </c>
      <c r="AH1045" s="54" t="e">
        <f>'DIY Grundmodell'!T1132</f>
        <v>#N/A</v>
      </c>
      <c r="AI1045" s="89">
        <f>'DIY Grundmodell'!U1132</f>
        <v>655.66</v>
      </c>
      <c r="AJ1045" s="89">
        <f>'DIY Grundmodell'!V1132</f>
        <v>0</v>
      </c>
      <c r="AK1045" s="989"/>
      <c r="AL1045" s="33">
        <f>'DIY Grundmodell'!X1132</f>
        <v>6909.5066200000001</v>
      </c>
    </row>
    <row r="1046" spans="32:38" ht="14.1" customHeight="1" x14ac:dyDescent="0.45">
      <c r="AF1046" s="988">
        <f>'DIY Grundmodell'!R1133</f>
        <v>46075</v>
      </c>
      <c r="AG1046" s="89" t="e">
        <f>'DIY Grundmodell'!S1133</f>
        <v>#N/A</v>
      </c>
      <c r="AH1046" s="54" t="e">
        <f>'DIY Grundmodell'!T1133</f>
        <v>#N/A</v>
      </c>
      <c r="AI1046" s="89">
        <f>'DIY Grundmodell'!U1133</f>
        <v>655.66</v>
      </c>
      <c r="AJ1046" s="89">
        <f>'DIY Grundmodell'!V1133</f>
        <v>0</v>
      </c>
      <c r="AK1046" s="989"/>
      <c r="AL1046" s="33">
        <f>'DIY Grundmodell'!X1133</f>
        <v>6909.5066200000001</v>
      </c>
    </row>
    <row r="1047" spans="32:38" ht="14.1" customHeight="1" x14ac:dyDescent="0.45">
      <c r="AF1047" s="988">
        <f>'DIY Grundmodell'!R1134</f>
        <v>46076</v>
      </c>
      <c r="AG1047" s="89">
        <f>'DIY Grundmodell'!S1134</f>
        <v>637.25</v>
      </c>
      <c r="AH1047" s="54">
        <f>'DIY Grundmodell'!T1134</f>
        <v>5484.1155099999996</v>
      </c>
      <c r="AI1047" s="89">
        <f>'DIY Grundmodell'!U1134</f>
        <v>637.25</v>
      </c>
      <c r="AJ1047" s="89">
        <f>'DIY Grundmodell'!V1134</f>
        <v>5484.1155099999996</v>
      </c>
      <c r="AK1047" s="989"/>
      <c r="AL1047" s="33">
        <f>'DIY Grundmodell'!X1134</f>
        <v>6837.7545200000004</v>
      </c>
    </row>
    <row r="1048" spans="32:38" ht="14.1" customHeight="1" x14ac:dyDescent="0.45">
      <c r="AF1048" s="988">
        <f>'DIY Grundmodell'!R1135</f>
        <v>46077</v>
      </c>
      <c r="AG1048" s="89">
        <f>'DIY Grundmodell'!S1135</f>
        <v>639.29999999999995</v>
      </c>
      <c r="AH1048" s="54">
        <f>'DIY Grundmodell'!T1135</f>
        <v>6479.7191300000004</v>
      </c>
      <c r="AI1048" s="89">
        <f>'DIY Grundmodell'!U1135</f>
        <v>639.29999999999995</v>
      </c>
      <c r="AJ1048" s="89">
        <f>'DIY Grundmodell'!V1135</f>
        <v>6479.7191300000004</v>
      </c>
      <c r="AK1048" s="989"/>
      <c r="AL1048" s="33">
        <f>'DIY Grundmodell'!X1135</f>
        <v>6890.0723099999996</v>
      </c>
    </row>
    <row r="1049" spans="32:38" ht="14.1" customHeight="1" x14ac:dyDescent="0.45">
      <c r="AF1049" s="988">
        <f>'DIY Grundmodell'!R1136</f>
        <v>46078</v>
      </c>
      <c r="AG1049" s="89">
        <f>'DIY Grundmodell'!S1136</f>
        <v>653.69000000000005</v>
      </c>
      <c r="AH1049" s="54">
        <f>'DIY Grundmodell'!T1136</f>
        <v>7406.7607099999996</v>
      </c>
      <c r="AI1049" s="89">
        <f>'DIY Grundmodell'!U1136</f>
        <v>653.69000000000005</v>
      </c>
      <c r="AJ1049" s="89">
        <f>'DIY Grundmodell'!V1136</f>
        <v>7406.7607099999996</v>
      </c>
      <c r="AK1049" s="989"/>
      <c r="AL1049" s="33">
        <f>'DIY Grundmodell'!X1136</f>
        <v>6946.1266900000001</v>
      </c>
    </row>
    <row r="1050" spans="32:38" ht="14.1" customHeight="1" x14ac:dyDescent="0.45">
      <c r="AF1050" s="988">
        <f>'DIY Grundmodell'!R1137</f>
        <v>46079</v>
      </c>
      <c r="AG1050" s="89">
        <f>'DIY Grundmodell'!S1137</f>
        <v>657.01</v>
      </c>
      <c r="AH1050" s="54">
        <f>'DIY Grundmodell'!T1137</f>
        <v>6989.0989300000001</v>
      </c>
      <c r="AI1050" s="89">
        <f>'DIY Grundmodell'!U1137</f>
        <v>657.01</v>
      </c>
      <c r="AJ1050" s="89">
        <f>'DIY Grundmodell'!V1137</f>
        <v>6989.0989300000001</v>
      </c>
      <c r="AK1050" s="989"/>
      <c r="AL1050" s="33">
        <f>'DIY Grundmodell'!X1137</f>
        <v>6908.8646799999997</v>
      </c>
    </row>
    <row r="1051" spans="32:38" ht="14.1" customHeight="1" x14ac:dyDescent="0.45">
      <c r="AF1051" s="988">
        <f>'DIY Grundmodell'!R1138</f>
        <v>46080</v>
      </c>
      <c r="AG1051" s="89">
        <f>'DIY Grundmodell'!S1138</f>
        <v>648.17999999999995</v>
      </c>
      <c r="AH1051" s="54">
        <f>'DIY Grundmodell'!T1138</f>
        <v>10178.39712</v>
      </c>
      <c r="AI1051" s="89">
        <f>'DIY Grundmodell'!U1138</f>
        <v>648.17999999999995</v>
      </c>
      <c r="AJ1051" s="89">
        <f>'DIY Grundmodell'!V1138</f>
        <v>10178.39712</v>
      </c>
      <c r="AK1051" s="989"/>
      <c r="AL1051" s="33">
        <f>'DIY Grundmodell'!X1138</f>
        <v>6878.8784999999998</v>
      </c>
    </row>
    <row r="1052" spans="32:38" ht="14.1" customHeight="1" x14ac:dyDescent="0.45">
      <c r="AF1052" s="988">
        <f>'DIY Grundmodell'!R1139</f>
        <v>46081</v>
      </c>
      <c r="AG1052" s="89">
        <f>'DIY Grundmodell'!S1139</f>
        <v>647.85</v>
      </c>
      <c r="AH1052" s="54">
        <f>'DIY Grundmodell'!T1139</f>
        <v>0</v>
      </c>
      <c r="AI1052" s="89">
        <f>'DIY Grundmodell'!U1139</f>
        <v>647.85</v>
      </c>
      <c r="AJ1052" s="89">
        <f>'DIY Grundmodell'!V1139</f>
        <v>0</v>
      </c>
      <c r="AK1052" s="989"/>
      <c r="AL1052" s="33">
        <f>'DIY Grundmodell'!X1139</f>
        <v>6878.8784999999998</v>
      </c>
    </row>
    <row r="1053" spans="32:38" ht="14.1" customHeight="1" x14ac:dyDescent="0.45">
      <c r="AF1053" s="988">
        <f>'DIY Grundmodell'!R1140</f>
        <v>46082</v>
      </c>
      <c r="AG1053" s="89">
        <f>'DIY Grundmodell'!S1140</f>
        <v>648.17999999999995</v>
      </c>
      <c r="AH1053" s="54">
        <f>'DIY Grundmodell'!T1140</f>
        <v>0</v>
      </c>
      <c r="AI1053" s="89">
        <f>'DIY Grundmodell'!U1140</f>
        <v>648.17999999999995</v>
      </c>
      <c r="AJ1053" s="89">
        <f>'DIY Grundmodell'!V1140</f>
        <v>0</v>
      </c>
      <c r="AK1053" s="989"/>
      <c r="AL1053" s="33">
        <f>'DIY Grundmodell'!X1140</f>
        <v>6878.8784999999998</v>
      </c>
    </row>
    <row r="1054" spans="32:38" ht="14.1" customHeight="1" x14ac:dyDescent="0.45">
      <c r="AF1054" s="988">
        <f>'DIY Grundmodell'!R1141</f>
        <v>46083</v>
      </c>
      <c r="AG1054" s="89">
        <f>'DIY Grundmodell'!S1141</f>
        <v>653.55999999999995</v>
      </c>
      <c r="AH1054" s="54">
        <f>'DIY Grundmodell'!T1141</f>
        <v>6415.4266600000001</v>
      </c>
      <c r="AI1054" s="89">
        <f>'DIY Grundmodell'!U1141</f>
        <v>653.55999999999995</v>
      </c>
      <c r="AJ1054" s="89">
        <f>'DIY Grundmodell'!V1141</f>
        <v>6415.4266600000001</v>
      </c>
      <c r="AK1054" s="989"/>
      <c r="AL1054" s="33">
        <f>'DIY Grundmodell'!X1141</f>
        <v>6881.6200799999997</v>
      </c>
    </row>
    <row r="1055" spans="32:38" ht="14.1" customHeight="1" x14ac:dyDescent="0.45">
      <c r="AF1055" s="988">
        <f>'DIY Grundmodell'!R1142</f>
        <v>46084</v>
      </c>
      <c r="AG1055" s="89">
        <f>'DIY Grundmodell'!S1142</f>
        <v>655.08000000000004</v>
      </c>
      <c r="AH1055" s="54">
        <f>'DIY Grundmodell'!T1142</f>
        <v>8033.7399699999996</v>
      </c>
      <c r="AI1055" s="89">
        <f>'DIY Grundmodell'!U1142</f>
        <v>655.08000000000004</v>
      </c>
      <c r="AJ1055" s="89">
        <f>'DIY Grundmodell'!V1142</f>
        <v>8033.7399699999996</v>
      </c>
      <c r="AK1055" s="989"/>
      <c r="AL1055" s="33">
        <f>'DIY Grundmodell'!X1142</f>
        <v>6816.6270299999996</v>
      </c>
    </row>
    <row r="1056" spans="32:38" ht="14.1" customHeight="1" x14ac:dyDescent="0.45">
      <c r="AF1056" s="988">
        <f>'DIY Grundmodell'!R1143</f>
        <v>46085</v>
      </c>
      <c r="AG1056" s="89">
        <f>'DIY Grundmodell'!S1143</f>
        <v>667.73</v>
      </c>
      <c r="AH1056" s="54">
        <f>'DIY Grundmodell'!T1143</f>
        <v>7218.1973600000001</v>
      </c>
      <c r="AI1056" s="89">
        <f>'DIY Grundmodell'!U1143</f>
        <v>667.73</v>
      </c>
      <c r="AJ1056" s="89">
        <f>'DIY Grundmodell'!V1143</f>
        <v>7218.1973600000001</v>
      </c>
      <c r="AK1056" s="989"/>
      <c r="AL1056" s="33">
        <f>'DIY Grundmodell'!X1143</f>
        <v>6869.5024400000002</v>
      </c>
    </row>
    <row r="1057" spans="32:38" ht="14.1" customHeight="1" x14ac:dyDescent="0.45">
      <c r="AF1057" s="988">
        <f>'DIY Grundmodell'!R1144</f>
        <v>46086</v>
      </c>
      <c r="AG1057" s="89">
        <f>'DIY Grundmodell'!S1144</f>
        <v>660.57</v>
      </c>
      <c r="AH1057" s="54">
        <f>'DIY Grundmodell'!T1144</f>
        <v>8812.9068000000007</v>
      </c>
      <c r="AI1057" s="89">
        <f>'DIY Grundmodell'!U1144</f>
        <v>660.57</v>
      </c>
      <c r="AJ1057" s="89">
        <f>'DIY Grundmodell'!V1144</f>
        <v>8812.9068000000007</v>
      </c>
      <c r="AK1057" s="989"/>
      <c r="AL1057" s="33">
        <f>'DIY Grundmodell'!X1144</f>
        <v>6830.7080699999997</v>
      </c>
    </row>
    <row r="1058" spans="32:38" ht="14.1" customHeight="1" x14ac:dyDescent="0.45">
      <c r="AF1058" s="988">
        <f>'DIY Grundmodell'!R1145</f>
        <v>46087</v>
      </c>
      <c r="AG1058" s="89">
        <f>'DIY Grundmodell'!S1145</f>
        <v>644.86</v>
      </c>
      <c r="AH1058" s="54">
        <f>'DIY Grundmodell'!T1145</f>
        <v>8485.9423100000004</v>
      </c>
      <c r="AI1058" s="89">
        <f>'DIY Grundmodell'!U1145</f>
        <v>644.86</v>
      </c>
      <c r="AJ1058" s="89">
        <f>'DIY Grundmodell'!V1145</f>
        <v>8485.9423100000004</v>
      </c>
      <c r="AK1058" s="989"/>
      <c r="AL1058" s="33">
        <f>'DIY Grundmodell'!X1145</f>
        <v>6740.0234300000002</v>
      </c>
    </row>
    <row r="1059" spans="32:38" ht="14.1" customHeight="1" x14ac:dyDescent="0.45">
      <c r="AF1059" s="988">
        <f>'DIY Grundmodell'!R1146</f>
        <v>46088</v>
      </c>
      <c r="AG1059" s="89" t="e">
        <f>'DIY Grundmodell'!S1146</f>
        <v>#N/A</v>
      </c>
      <c r="AH1059" s="54" t="e">
        <f>'DIY Grundmodell'!T1146</f>
        <v>#N/A</v>
      </c>
      <c r="AI1059" s="89">
        <f>'DIY Grundmodell'!U1146</f>
        <v>644.86</v>
      </c>
      <c r="AJ1059" s="89">
        <f>'DIY Grundmodell'!V1146</f>
        <v>0</v>
      </c>
      <c r="AK1059" s="989"/>
      <c r="AL1059" s="33">
        <f>'DIY Grundmodell'!X1146</f>
        <v>6740.0234300000002</v>
      </c>
    </row>
    <row r="1060" spans="32:38" ht="14.1" customHeight="1" x14ac:dyDescent="0.45">
      <c r="AF1060" s="988">
        <f>'DIY Grundmodell'!R1147</f>
        <v>46089</v>
      </c>
      <c r="AG1060" s="89" t="e">
        <f>'DIY Grundmodell'!S1147</f>
        <v>#N/A</v>
      </c>
      <c r="AH1060" s="54" t="e">
        <f>'DIY Grundmodell'!T1147</f>
        <v>#N/A</v>
      </c>
      <c r="AI1060" s="89">
        <f>'DIY Grundmodell'!U1147</f>
        <v>644.86</v>
      </c>
      <c r="AJ1060" s="89">
        <f>'DIY Grundmodell'!V1147</f>
        <v>0</v>
      </c>
      <c r="AK1060" s="989"/>
      <c r="AL1060" s="33">
        <f>'DIY Grundmodell'!X1147</f>
        <v>6740.0234300000002</v>
      </c>
    </row>
    <row r="1061" spans="32:38" ht="14.1" customHeight="1" x14ac:dyDescent="0.45">
      <c r="AF1061" s="988">
        <f>'DIY Grundmodell'!R1148</f>
        <v>46090</v>
      </c>
      <c r="AG1061" s="89">
        <f>'DIY Grundmodell'!S1148</f>
        <v>647.39</v>
      </c>
      <c r="AH1061" s="54">
        <f>'DIY Grundmodell'!T1148</f>
        <v>8733.1240699999998</v>
      </c>
      <c r="AI1061" s="89">
        <f>'DIY Grundmodell'!U1148</f>
        <v>647.39</v>
      </c>
      <c r="AJ1061" s="89">
        <f>'DIY Grundmodell'!V1148</f>
        <v>8733.1240699999998</v>
      </c>
      <c r="AK1061" s="989"/>
      <c r="AL1061" s="33">
        <f>'DIY Grundmodell'!X1148</f>
        <v>6795.9918699999998</v>
      </c>
    </row>
    <row r="1062" spans="32:38" ht="14.1" customHeight="1" x14ac:dyDescent="0.45">
      <c r="AF1062" s="988">
        <f>'DIY Grundmodell'!R1149</f>
        <v>46091</v>
      </c>
      <c r="AG1062" s="89">
        <f>'DIY Grundmodell'!S1149</f>
        <v>654.07000000000005</v>
      </c>
      <c r="AH1062" s="54">
        <f>'DIY Grundmodell'!T1149</f>
        <v>6448.6396500000001</v>
      </c>
      <c r="AI1062" s="89">
        <f>'DIY Grundmodell'!U1149</f>
        <v>654.07000000000005</v>
      </c>
      <c r="AJ1062" s="89">
        <f>'DIY Grundmodell'!V1149</f>
        <v>6448.6396500000001</v>
      </c>
      <c r="AK1062" s="989"/>
      <c r="AL1062" s="33">
        <f>'DIY Grundmodell'!X1149</f>
        <v>6781.4819299999999</v>
      </c>
    </row>
    <row r="1063" spans="32:38" ht="14.1" customHeight="1" x14ac:dyDescent="0.45">
      <c r="AF1063" s="988">
        <f>'DIY Grundmodell'!R1150</f>
        <v>46092</v>
      </c>
      <c r="AG1063" s="89">
        <f>'DIY Grundmodell'!S1150</f>
        <v>654.86</v>
      </c>
      <c r="AH1063" s="54">
        <f>'DIY Grundmodell'!T1150</f>
        <v>5878.78431</v>
      </c>
      <c r="AI1063" s="89">
        <f>'DIY Grundmodell'!U1150</f>
        <v>654.86</v>
      </c>
      <c r="AJ1063" s="89">
        <f>'DIY Grundmodell'!V1150</f>
        <v>5878.78431</v>
      </c>
      <c r="AK1063" s="989"/>
      <c r="AL1063" s="33">
        <f>'DIY Grundmodell'!X1150</f>
        <v>6775.8043200000002</v>
      </c>
    </row>
    <row r="1064" spans="32:38" ht="14.1" customHeight="1" x14ac:dyDescent="0.45">
      <c r="AF1064" s="988">
        <f>'DIY Grundmodell'!R1151</f>
        <v>46093</v>
      </c>
      <c r="AG1064" s="89">
        <f>'DIY Grundmodell'!S1151</f>
        <v>638.17999999999995</v>
      </c>
      <c r="AH1064" s="54">
        <f>'DIY Grundmodell'!T1151</f>
        <v>7414.0465800000002</v>
      </c>
      <c r="AI1064" s="89">
        <f>'DIY Grundmodell'!U1151</f>
        <v>638.17999999999995</v>
      </c>
      <c r="AJ1064" s="89">
        <f>'DIY Grundmodell'!V1151</f>
        <v>7414.0465800000002</v>
      </c>
      <c r="AK1064" s="989"/>
      <c r="AL1064" s="33">
        <f>'DIY Grundmodell'!X1151</f>
        <v>6672.6180400000003</v>
      </c>
    </row>
    <row r="1065" spans="32:38" ht="14.1" customHeight="1" x14ac:dyDescent="0.45">
      <c r="AF1065" s="988">
        <f>'DIY Grundmodell'!R1152</f>
        <v>46094</v>
      </c>
      <c r="AG1065" s="89">
        <f>'DIY Grundmodell'!S1152</f>
        <v>613.71</v>
      </c>
      <c r="AH1065" s="54">
        <f>'DIY Grundmodell'!T1152</f>
        <v>11634.491400000001</v>
      </c>
      <c r="AI1065" s="89">
        <f>'DIY Grundmodell'!U1152</f>
        <v>613.71</v>
      </c>
      <c r="AJ1065" s="89">
        <f>'DIY Grundmodell'!V1152</f>
        <v>11634.491400000001</v>
      </c>
      <c r="AK1065" s="989"/>
      <c r="AL1065" s="33">
        <f>'DIY Grundmodell'!X1152</f>
        <v>6632.1915300000001</v>
      </c>
    </row>
    <row r="1066" spans="32:38" ht="14.1" customHeight="1" x14ac:dyDescent="0.45">
      <c r="AF1066" s="988">
        <f>'DIY Grundmodell'!R1153</f>
        <v>46095</v>
      </c>
      <c r="AG1066" s="89" t="e">
        <f>'DIY Grundmodell'!S1153</f>
        <v>#N/A</v>
      </c>
      <c r="AH1066" s="54" t="e">
        <f>'DIY Grundmodell'!T1153</f>
        <v>#N/A</v>
      </c>
      <c r="AI1066" s="89">
        <f>'DIY Grundmodell'!U1153</f>
        <v>613.71</v>
      </c>
      <c r="AJ1066" s="89">
        <f>'DIY Grundmodell'!V1153</f>
        <v>0</v>
      </c>
      <c r="AK1066" s="989"/>
      <c r="AL1066" s="33">
        <f>'DIY Grundmodell'!X1153</f>
        <v>6632.1915300000001</v>
      </c>
    </row>
    <row r="1067" spans="32:38" ht="14.1" customHeight="1" x14ac:dyDescent="0.45">
      <c r="AF1067" s="988">
        <f>'DIY Grundmodell'!R1154</f>
        <v>46096</v>
      </c>
      <c r="AG1067" s="89" t="e">
        <f>'DIY Grundmodell'!S1154</f>
        <v>#N/A</v>
      </c>
      <c r="AH1067" s="54" t="e">
        <f>'DIY Grundmodell'!T1154</f>
        <v>#N/A</v>
      </c>
      <c r="AI1067" s="89">
        <f>'DIY Grundmodell'!U1154</f>
        <v>613.71</v>
      </c>
      <c r="AJ1067" s="89">
        <f>'DIY Grundmodell'!V1154</f>
        <v>0</v>
      </c>
      <c r="AK1067" s="989"/>
      <c r="AL1067" s="33">
        <f>'DIY Grundmodell'!X1154</f>
        <v>6632.1915300000001</v>
      </c>
    </row>
    <row r="1068" spans="32:38" ht="14.1" customHeight="1" x14ac:dyDescent="0.45">
      <c r="AF1068" s="988">
        <f>'DIY Grundmodell'!R1155</f>
        <v>46097</v>
      </c>
      <c r="AG1068" s="89">
        <f>'DIY Grundmodell'!S1155</f>
        <v>627.45000000000005</v>
      </c>
      <c r="AH1068" s="54">
        <f>'DIY Grundmodell'!T1155</f>
        <v>9496.3628900000003</v>
      </c>
      <c r="AI1068" s="89">
        <f>'DIY Grundmodell'!U1155</f>
        <v>627.45000000000005</v>
      </c>
      <c r="AJ1068" s="89">
        <f>'DIY Grundmodell'!V1155</f>
        <v>9496.3628900000003</v>
      </c>
      <c r="AK1068" s="989"/>
      <c r="AL1068" s="33">
        <f>'DIY Grundmodell'!X1155</f>
        <v>6699.3833299999997</v>
      </c>
    </row>
    <row r="1069" spans="32:38" ht="14.1" customHeight="1" x14ac:dyDescent="0.45">
      <c r="AF1069" s="988">
        <f>'DIY Grundmodell'!R1156</f>
        <v>46098</v>
      </c>
      <c r="AG1069" s="89">
        <f>'DIY Grundmodell'!S1156</f>
        <v>622.66</v>
      </c>
      <c r="AH1069" s="54">
        <f>'DIY Grundmodell'!T1156</f>
        <v>6443.7557900000002</v>
      </c>
      <c r="AI1069" s="89">
        <f>'DIY Grundmodell'!U1156</f>
        <v>622.66</v>
      </c>
      <c r="AJ1069" s="89">
        <f>'DIY Grundmodell'!V1156</f>
        <v>6443.7557900000002</v>
      </c>
      <c r="AK1069" s="989"/>
      <c r="AL1069" s="33">
        <f>'DIY Grundmodell'!X1156</f>
        <v>6716.0925100000004</v>
      </c>
    </row>
    <row r="1070" spans="32:38" ht="14.1" customHeight="1" x14ac:dyDescent="0.45">
      <c r="AF1070" s="988">
        <f>'DIY Grundmodell'!R1157</f>
        <v>46099</v>
      </c>
      <c r="AG1070" s="89">
        <f>'DIY Grundmodell'!S1157</f>
        <v>615.67999999999995</v>
      </c>
      <c r="AH1070" s="54">
        <f>'DIY Grundmodell'!T1157</f>
        <v>7219.6490000000003</v>
      </c>
      <c r="AI1070" s="89">
        <f>'DIY Grundmodell'!U1157</f>
        <v>615.67999999999995</v>
      </c>
      <c r="AJ1070" s="89">
        <f>'DIY Grundmodell'!V1157</f>
        <v>7219.6490000000003</v>
      </c>
      <c r="AK1070" s="989"/>
      <c r="AL1070" s="33">
        <f>'DIY Grundmodell'!X1157</f>
        <v>6624.6951600000002</v>
      </c>
    </row>
    <row r="1071" spans="32:38" ht="14.1" customHeight="1" x14ac:dyDescent="0.45">
      <c r="AF1071" s="988">
        <f>'DIY Grundmodell'!R1158</f>
        <v>46100</v>
      </c>
      <c r="AG1071" s="89">
        <f>'DIY Grundmodell'!S1158</f>
        <v>606.70000000000005</v>
      </c>
      <c r="AH1071" s="54">
        <f>'DIY Grundmodell'!T1158</f>
        <v>8037.37716</v>
      </c>
      <c r="AI1071" s="89">
        <f>'DIY Grundmodell'!U1158</f>
        <v>606.70000000000005</v>
      </c>
      <c r="AJ1071" s="89">
        <f>'DIY Grundmodell'!V1158</f>
        <v>8037.37716</v>
      </c>
      <c r="AK1071" s="989"/>
      <c r="AL1071" s="33">
        <f>'DIY Grundmodell'!X1158</f>
        <v>6606.4945399999997</v>
      </c>
    </row>
    <row r="1072" spans="32:38" ht="14.1" customHeight="1" x14ac:dyDescent="0.45">
      <c r="AF1072" s="988">
        <f>'DIY Grundmodell'!R1159</f>
        <v>46101</v>
      </c>
      <c r="AG1072" s="89">
        <f>'DIY Grundmodell'!S1159</f>
        <v>593.66</v>
      </c>
      <c r="AH1072" s="54">
        <f>'DIY Grundmodell'!T1159</f>
        <v>12594.43635</v>
      </c>
      <c r="AI1072" s="89">
        <f>'DIY Grundmodell'!U1159</f>
        <v>593.66</v>
      </c>
      <c r="AJ1072" s="89">
        <f>'DIY Grundmodell'!V1159</f>
        <v>12594.43635</v>
      </c>
      <c r="AK1072" s="989"/>
      <c r="AL1072" s="33">
        <f>'DIY Grundmodell'!X1159</f>
        <v>6506.4789099999998</v>
      </c>
    </row>
    <row r="1073" spans="32:38" ht="14.1" customHeight="1" x14ac:dyDescent="0.45">
      <c r="AF1073" s="988">
        <f>'DIY Grundmodell'!R1160</f>
        <v>46102</v>
      </c>
      <c r="AG1073" s="89" t="e">
        <f>'DIY Grundmodell'!S1160</f>
        <v>#N/A</v>
      </c>
      <c r="AH1073" s="54" t="e">
        <f>'DIY Grundmodell'!T1160</f>
        <v>#N/A</v>
      </c>
      <c r="AI1073" s="89">
        <f>'DIY Grundmodell'!U1160</f>
        <v>593.66</v>
      </c>
      <c r="AJ1073" s="89">
        <f>'DIY Grundmodell'!V1160</f>
        <v>0</v>
      </c>
      <c r="AK1073" s="989"/>
      <c r="AL1073" s="33">
        <f>'DIY Grundmodell'!X1160</f>
        <v>6506.4789099999998</v>
      </c>
    </row>
    <row r="1074" spans="32:38" ht="14.1" customHeight="1" x14ac:dyDescent="0.45">
      <c r="AF1074" s="988">
        <f>'DIY Grundmodell'!R1161</f>
        <v>46103</v>
      </c>
      <c r="AG1074" s="89" t="e">
        <f>'DIY Grundmodell'!S1161</f>
        <v>#N/A</v>
      </c>
      <c r="AH1074" s="54" t="e">
        <f>'DIY Grundmodell'!T1161</f>
        <v>#N/A</v>
      </c>
      <c r="AI1074" s="89">
        <f>'DIY Grundmodell'!U1161</f>
        <v>593.66</v>
      </c>
      <c r="AJ1074" s="89">
        <f>'DIY Grundmodell'!V1161</f>
        <v>0</v>
      </c>
      <c r="AK1074" s="989"/>
      <c r="AL1074" s="33">
        <f>'DIY Grundmodell'!X1161</f>
        <v>6506.4789099999998</v>
      </c>
    </row>
    <row r="1075" spans="32:38" ht="14.1" customHeight="1" x14ac:dyDescent="0.45">
      <c r="AF1075" s="988">
        <f>'DIY Grundmodell'!R1162</f>
        <v>46104</v>
      </c>
      <c r="AG1075" s="89">
        <f>'DIY Grundmodell'!S1162</f>
        <v>604.05999999999995</v>
      </c>
      <c r="AH1075" s="54">
        <f>'DIY Grundmodell'!T1162</f>
        <v>8238.1455100000003</v>
      </c>
      <c r="AI1075" s="89">
        <f>'DIY Grundmodell'!U1162</f>
        <v>604.05999999999995</v>
      </c>
      <c r="AJ1075" s="89">
        <f>'DIY Grundmodell'!V1162</f>
        <v>8238.1455100000003</v>
      </c>
      <c r="AK1075" s="989"/>
      <c r="AL1075" s="33">
        <f>'DIY Grundmodell'!X1162</f>
        <v>6581.0002100000002</v>
      </c>
    </row>
    <row r="1076" spans="32:38" ht="14.1" customHeight="1" x14ac:dyDescent="0.45">
      <c r="AF1076" s="988">
        <f>'DIY Grundmodell'!R1163</f>
        <v>46105</v>
      </c>
      <c r="AG1076" s="89">
        <f>'DIY Grundmodell'!S1163</f>
        <v>592.91999999999996</v>
      </c>
      <c r="AH1076" s="54">
        <f>'DIY Grundmodell'!T1163</f>
        <v>6367.8078299999997</v>
      </c>
      <c r="AI1076" s="89">
        <f>'DIY Grundmodell'!U1163</f>
        <v>592.91999999999996</v>
      </c>
      <c r="AJ1076" s="89">
        <f>'DIY Grundmodell'!V1163</f>
        <v>6367.8078299999997</v>
      </c>
      <c r="AK1076" s="989"/>
      <c r="AL1076" s="33">
        <f>'DIY Grundmodell'!X1163</f>
        <v>6556.3711400000002</v>
      </c>
    </row>
    <row r="1077" spans="32:38" ht="14.1" customHeight="1" x14ac:dyDescent="0.45">
      <c r="AF1077" s="988">
        <f>'DIY Grundmodell'!R1164</f>
        <v>46106</v>
      </c>
      <c r="AG1077" s="89">
        <f>'DIY Grundmodell'!S1164</f>
        <v>594.89</v>
      </c>
      <c r="AH1077" s="54">
        <f>'DIY Grundmodell'!T1164</f>
        <v>7486.7090900000003</v>
      </c>
      <c r="AI1077" s="89">
        <f>'DIY Grundmodell'!U1164</f>
        <v>594.89</v>
      </c>
      <c r="AJ1077" s="89">
        <f>'DIY Grundmodell'!V1164</f>
        <v>7486.7090900000003</v>
      </c>
      <c r="AK1077" s="989"/>
      <c r="AL1077" s="33">
        <f>'DIY Grundmodell'!X1164</f>
        <v>6591.9005900000002</v>
      </c>
    </row>
    <row r="1078" spans="32:38" ht="14.1" customHeight="1" x14ac:dyDescent="0.45">
      <c r="AF1078" s="988">
        <f>'DIY Grundmodell'!R1165</f>
        <v>46107</v>
      </c>
      <c r="AG1078" s="89">
        <f>'DIY Grundmodell'!S1165</f>
        <v>547.54</v>
      </c>
      <c r="AH1078" s="54">
        <f>'DIY Grundmodell'!T1165</f>
        <v>19591.052930000002</v>
      </c>
      <c r="AI1078" s="89">
        <f>'DIY Grundmodell'!U1165</f>
        <v>547.54</v>
      </c>
      <c r="AJ1078" s="89">
        <f>'DIY Grundmodell'!V1165</f>
        <v>19591.052930000002</v>
      </c>
      <c r="AK1078" s="989"/>
      <c r="AL1078" s="33">
        <f>'DIY Grundmodell'!X1165</f>
        <v>6477.1646300000002</v>
      </c>
    </row>
    <row r="1079" spans="32:38" ht="14.1" customHeight="1" x14ac:dyDescent="0.45">
      <c r="AF1079" s="988">
        <f>'DIY Grundmodell'!R1166</f>
        <v>46108</v>
      </c>
      <c r="AG1079" s="89">
        <f>'DIY Grundmodell'!S1166</f>
        <v>525.72</v>
      </c>
      <c r="AH1079" s="54">
        <f>'DIY Grundmodell'!T1166</f>
        <v>15841.526019999999</v>
      </c>
      <c r="AI1079" s="89">
        <f>'DIY Grundmodell'!U1166</f>
        <v>525.72</v>
      </c>
      <c r="AJ1079" s="89">
        <f>'DIY Grundmodell'!V1166</f>
        <v>15841.526019999999</v>
      </c>
      <c r="AK1079" s="989"/>
      <c r="AL1079" s="33">
        <f>'DIY Grundmodell'!X1166</f>
        <v>6368.8530700000001</v>
      </c>
    </row>
    <row r="1080" spans="32:38" ht="14.1" customHeight="1" x14ac:dyDescent="0.45">
      <c r="AF1080" s="988">
        <f>'DIY Grundmodell'!R1167</f>
        <v>46109</v>
      </c>
      <c r="AG1080" s="89" t="e">
        <f>'DIY Grundmodell'!S1167</f>
        <v>#N/A</v>
      </c>
      <c r="AH1080" s="54" t="e">
        <f>'DIY Grundmodell'!T1167</f>
        <v>#N/A</v>
      </c>
      <c r="AI1080" s="89">
        <f>'DIY Grundmodell'!U1167</f>
        <v>525.72</v>
      </c>
      <c r="AJ1080" s="89">
        <f>'DIY Grundmodell'!V1167</f>
        <v>0</v>
      </c>
      <c r="AK1080" s="989"/>
      <c r="AL1080" s="33">
        <f>'DIY Grundmodell'!X1167</f>
        <v>6368.8530700000001</v>
      </c>
    </row>
    <row r="1081" spans="32:38" ht="14.1" customHeight="1" x14ac:dyDescent="0.45">
      <c r="AF1081" s="988">
        <f>'DIY Grundmodell'!R1168</f>
        <v>46110</v>
      </c>
      <c r="AG1081" s="89" t="e">
        <f>'DIY Grundmodell'!S1168</f>
        <v>#N/A</v>
      </c>
      <c r="AH1081" s="54" t="e">
        <f>'DIY Grundmodell'!T1168</f>
        <v>#N/A</v>
      </c>
      <c r="AI1081" s="89">
        <f>'DIY Grundmodell'!U1168</f>
        <v>525.72</v>
      </c>
      <c r="AJ1081" s="89">
        <f>'DIY Grundmodell'!V1168</f>
        <v>0</v>
      </c>
      <c r="AK1081" s="989"/>
      <c r="AL1081" s="33">
        <f>'DIY Grundmodell'!X1168</f>
        <v>6368.8530700000001</v>
      </c>
    </row>
    <row r="1082" spans="32:38" ht="14.1" customHeight="1" x14ac:dyDescent="0.45">
      <c r="AF1082" s="988">
        <f>'DIY Grundmodell'!R1169</f>
        <v>46111</v>
      </c>
      <c r="AG1082" s="89">
        <f>'DIY Grundmodell'!S1169</f>
        <v>536.38</v>
      </c>
      <c r="AH1082" s="54">
        <f>'DIY Grundmodell'!T1169</f>
        <v>12226.89099</v>
      </c>
      <c r="AI1082" s="89">
        <f>'DIY Grundmodell'!U1169</f>
        <v>536.38</v>
      </c>
      <c r="AJ1082" s="89">
        <f>'DIY Grundmodell'!V1169</f>
        <v>12226.89099</v>
      </c>
      <c r="AK1082" s="989"/>
      <c r="AL1082" s="33">
        <f>'DIY Grundmodell'!X1169</f>
        <v>6343.7248300000001</v>
      </c>
    </row>
    <row r="1083" spans="32:38" ht="14.1" customHeight="1" x14ac:dyDescent="0.45">
      <c r="AF1083" s="988">
        <f>'DIY Grundmodell'!R1170</f>
        <v>46112</v>
      </c>
      <c r="AG1083" s="89">
        <f>'DIY Grundmodell'!S1170</f>
        <v>572.13</v>
      </c>
      <c r="AH1083" s="54">
        <f>'DIY Grundmodell'!T1170</f>
        <v>18822.088360000002</v>
      </c>
      <c r="AI1083" s="89">
        <f>'DIY Grundmodell'!U1170</f>
        <v>572.13</v>
      </c>
      <c r="AJ1083" s="89">
        <f>'DIY Grundmodell'!V1170</f>
        <v>18822.088360000002</v>
      </c>
      <c r="AK1083" s="989"/>
      <c r="AL1083" s="33">
        <f>'DIY Grundmodell'!X1170</f>
        <v>6528.5173800000002</v>
      </c>
    </row>
    <row r="1084" spans="32:38" ht="14.1" customHeight="1" x14ac:dyDescent="0.45">
      <c r="AF1084" s="988">
        <f>'DIY Grundmodell'!R1171</f>
        <v>46113</v>
      </c>
      <c r="AG1084" s="89">
        <f>'DIY Grundmodell'!S1171</f>
        <v>579.23</v>
      </c>
      <c r="AH1084" s="54">
        <f>'DIY Grundmodell'!T1171</f>
        <v>13674.535980000001</v>
      </c>
      <c r="AI1084" s="89">
        <f>'DIY Grundmodell'!U1171</f>
        <v>579.23</v>
      </c>
      <c r="AJ1084" s="89">
        <f>'DIY Grundmodell'!V1171</f>
        <v>13674.535980000001</v>
      </c>
      <c r="AK1084" s="989"/>
      <c r="AL1084" s="33">
        <f>'DIY Grundmodell'!X1171</f>
        <v>6575.3159299999998</v>
      </c>
    </row>
    <row r="1085" spans="32:38" ht="14.1" customHeight="1" x14ac:dyDescent="0.45">
      <c r="AF1085" s="988">
        <f>'DIY Grundmodell'!R1172</f>
        <v>46114</v>
      </c>
      <c r="AG1085" s="89">
        <f>'DIY Grundmodell'!S1172</f>
        <v>574.46</v>
      </c>
      <c r="AH1085" s="54">
        <f>'DIY Grundmodell'!T1172</f>
        <v>7765.8645100000003</v>
      </c>
      <c r="AI1085" s="89">
        <f>'DIY Grundmodell'!U1172</f>
        <v>574.46</v>
      </c>
      <c r="AJ1085" s="89">
        <f>'DIY Grundmodell'!V1172</f>
        <v>7765.8645100000003</v>
      </c>
      <c r="AK1085" s="989"/>
      <c r="AL1085" s="33">
        <f>'DIY Grundmodell'!X1172</f>
        <v>6582.6867599999996</v>
      </c>
    </row>
    <row r="1086" spans="32:38" ht="14.1" customHeight="1" x14ac:dyDescent="0.45">
      <c r="AF1086" s="988">
        <f>'DIY Grundmodell'!R1173</f>
        <v>46115</v>
      </c>
      <c r="AG1086" s="89" t="e">
        <f>'DIY Grundmodell'!S1173</f>
        <v>#N/A</v>
      </c>
      <c r="AH1086" s="54" t="e">
        <f>'DIY Grundmodell'!T1173</f>
        <v>#N/A</v>
      </c>
      <c r="AI1086" s="89">
        <f>'DIY Grundmodell'!U1173</f>
        <v>574.46</v>
      </c>
      <c r="AJ1086" s="89">
        <f>'DIY Grundmodell'!V1173</f>
        <v>0</v>
      </c>
      <c r="AK1086" s="989"/>
      <c r="AL1086" s="33">
        <f>'DIY Grundmodell'!X1173</f>
        <v>6582.6867599999996</v>
      </c>
    </row>
    <row r="1087" spans="32:38" ht="14.1" customHeight="1" x14ac:dyDescent="0.45">
      <c r="AF1087" s="988">
        <f>'DIY Grundmodell'!R1174</f>
        <v>46116</v>
      </c>
      <c r="AG1087" s="89" t="e">
        <f>'DIY Grundmodell'!S1174</f>
        <v>#N/A</v>
      </c>
      <c r="AH1087" s="54" t="e">
        <f>'DIY Grundmodell'!T1174</f>
        <v>#N/A</v>
      </c>
      <c r="AI1087" s="89">
        <f>'DIY Grundmodell'!U1174</f>
        <v>574.46</v>
      </c>
      <c r="AJ1087" s="89">
        <f>'DIY Grundmodell'!V1174</f>
        <v>0</v>
      </c>
      <c r="AK1087" s="989"/>
      <c r="AL1087" s="33">
        <f>'DIY Grundmodell'!X1174</f>
        <v>6582.6867599999996</v>
      </c>
    </row>
    <row r="1088" spans="32:38" ht="14.1" customHeight="1" x14ac:dyDescent="0.45">
      <c r="AF1088" s="988">
        <f>'DIY Grundmodell'!R1175</f>
        <v>46117</v>
      </c>
      <c r="AG1088" s="89" t="e">
        <f>'DIY Grundmodell'!S1175</f>
        <v>#N/A</v>
      </c>
      <c r="AH1088" s="54" t="e">
        <f>'DIY Grundmodell'!T1175</f>
        <v>#N/A</v>
      </c>
      <c r="AI1088" s="89">
        <f>'DIY Grundmodell'!U1175</f>
        <v>574.46</v>
      </c>
      <c r="AJ1088" s="89">
        <f>'DIY Grundmodell'!V1175</f>
        <v>0</v>
      </c>
      <c r="AK1088" s="989"/>
      <c r="AL1088" s="33">
        <f>'DIY Grundmodell'!X1175</f>
        <v>6582.6867599999996</v>
      </c>
    </row>
    <row r="1089" spans="32:38" ht="14.1" customHeight="1" x14ac:dyDescent="0.45">
      <c r="AF1089" s="988">
        <f>'DIY Grundmodell'!R1176</f>
        <v>46118</v>
      </c>
      <c r="AG1089" s="89">
        <f>'DIY Grundmodell'!S1176</f>
        <v>573.02</v>
      </c>
      <c r="AH1089" s="54">
        <f>'DIY Grundmodell'!T1176</f>
        <v>5452.65834</v>
      </c>
      <c r="AI1089" s="89">
        <f>'DIY Grundmodell'!U1176</f>
        <v>573.02</v>
      </c>
      <c r="AJ1089" s="89">
        <f>'DIY Grundmodell'!V1176</f>
        <v>5452.65834</v>
      </c>
      <c r="AK1089" s="989"/>
      <c r="AL1089" s="33">
        <f>'DIY Grundmodell'!X1176</f>
        <v>6611.8304099999996</v>
      </c>
    </row>
    <row r="1090" spans="32:38" ht="14.1" customHeight="1" x14ac:dyDescent="0.45">
      <c r="AF1090" s="988">
        <f>'DIY Grundmodell'!R1177</f>
        <v>46119</v>
      </c>
      <c r="AG1090" s="89">
        <f>'DIY Grundmodell'!S1177</f>
        <v>575.04999999999995</v>
      </c>
      <c r="AH1090" s="54">
        <f>'DIY Grundmodell'!T1177</f>
        <v>5509.4637700000003</v>
      </c>
      <c r="AI1090" s="89">
        <f>'DIY Grundmodell'!U1177</f>
        <v>575.04999999999995</v>
      </c>
      <c r="AJ1090" s="89">
        <f>'DIY Grundmodell'!V1177</f>
        <v>5509.4637700000003</v>
      </c>
      <c r="AK1090" s="989"/>
      <c r="AL1090" s="33">
        <f>'DIY Grundmodell'!X1177</f>
        <v>6616.8508300000003</v>
      </c>
    </row>
    <row r="1091" spans="32:38" ht="14.1" customHeight="1" x14ac:dyDescent="0.45">
      <c r="AF1091" s="988">
        <f>'DIY Grundmodell'!R1178</f>
        <v>46120</v>
      </c>
      <c r="AG1091" s="89">
        <f>'DIY Grundmodell'!S1178</f>
        <v>612.41999999999996</v>
      </c>
      <c r="AH1091" s="54">
        <f>'DIY Grundmodell'!T1178</f>
        <v>19619.877840000001</v>
      </c>
      <c r="AI1091" s="89">
        <f>'DIY Grundmodell'!U1178</f>
        <v>612.41999999999996</v>
      </c>
      <c r="AJ1091" s="89">
        <f>'DIY Grundmodell'!V1178</f>
        <v>19619.877840000001</v>
      </c>
      <c r="AK1091" s="989"/>
      <c r="AL1091" s="33">
        <f>'DIY Grundmodell'!X1178</f>
        <v>6782.81167</v>
      </c>
    </row>
    <row r="1092" spans="32:38" ht="14.1" customHeight="1" x14ac:dyDescent="0.45">
      <c r="AF1092" s="988">
        <f>'DIY Grundmodell'!R1179</f>
        <v>46121</v>
      </c>
      <c r="AG1092" s="89">
        <f>'DIY Grundmodell'!S1179</f>
        <v>628.39</v>
      </c>
      <c r="AH1092" s="54">
        <f>'DIY Grundmodell'!T1179</f>
        <v>11947.52377</v>
      </c>
      <c r="AI1092" s="89">
        <f>'DIY Grundmodell'!U1179</f>
        <v>628.39</v>
      </c>
      <c r="AJ1092" s="89">
        <f>'DIY Grundmodell'!V1179</f>
        <v>11947.52377</v>
      </c>
      <c r="AK1092" s="989"/>
      <c r="AL1092" s="33">
        <f>'DIY Grundmodell'!X1179</f>
        <v>6824.6572699999997</v>
      </c>
    </row>
    <row r="1093" spans="32:38" ht="14.1" customHeight="1" x14ac:dyDescent="0.45">
      <c r="AF1093" s="988">
        <f>'DIY Grundmodell'!R1180</f>
        <v>46122</v>
      </c>
      <c r="AG1093" s="89">
        <f>'DIY Grundmodell'!S1180</f>
        <v>629.86</v>
      </c>
      <c r="AH1093" s="54">
        <f>'DIY Grundmodell'!T1180</f>
        <v>8373.8904399999992</v>
      </c>
      <c r="AI1093" s="89">
        <f>'DIY Grundmodell'!U1180</f>
        <v>629.86</v>
      </c>
      <c r="AJ1093" s="89">
        <f>'DIY Grundmodell'!V1180</f>
        <v>8373.8904399999992</v>
      </c>
      <c r="AK1093" s="989"/>
      <c r="AL1093" s="33">
        <f>'DIY Grundmodell'!X1180</f>
        <v>6816.89192</v>
      </c>
    </row>
    <row r="1094" spans="32:38" ht="14.1" customHeight="1" x14ac:dyDescent="0.45">
      <c r="AF1094" s="988">
        <f>'DIY Grundmodell'!R1181</f>
        <v>46123</v>
      </c>
      <c r="AG1094" s="89" t="e">
        <f>'DIY Grundmodell'!S1181</f>
        <v>#N/A</v>
      </c>
      <c r="AH1094" s="54" t="e">
        <f>'DIY Grundmodell'!T1181</f>
        <v>#N/A</v>
      </c>
      <c r="AI1094" s="89">
        <f>'DIY Grundmodell'!U1181</f>
        <v>629.86</v>
      </c>
      <c r="AJ1094" s="89">
        <f>'DIY Grundmodell'!V1181</f>
        <v>0</v>
      </c>
      <c r="AK1094" s="989"/>
      <c r="AL1094" s="33">
        <f>'DIY Grundmodell'!X1181</f>
        <v>6816.89192</v>
      </c>
    </row>
    <row r="1095" spans="32:38" ht="14.1" customHeight="1" x14ac:dyDescent="0.45">
      <c r="AF1095" s="988">
        <f>'DIY Grundmodell'!R1182</f>
        <v>46124</v>
      </c>
      <c r="AG1095" s="89" t="e">
        <f>'DIY Grundmodell'!S1182</f>
        <v>#N/A</v>
      </c>
      <c r="AH1095" s="54" t="e">
        <f>'DIY Grundmodell'!T1182</f>
        <v>#N/A</v>
      </c>
      <c r="AI1095" s="89">
        <f>'DIY Grundmodell'!U1182</f>
        <v>629.86</v>
      </c>
      <c r="AJ1095" s="89">
        <f>'DIY Grundmodell'!V1182</f>
        <v>0</v>
      </c>
      <c r="AK1095" s="989"/>
      <c r="AL1095" s="33">
        <f>'DIY Grundmodell'!X1182</f>
        <v>6816.89192</v>
      </c>
    </row>
    <row r="1096" spans="32:38" ht="14.1" customHeight="1" x14ac:dyDescent="0.45">
      <c r="AF1096" s="988">
        <f>'DIY Grundmodell'!R1183</f>
        <v>46125</v>
      </c>
      <c r="AG1096" s="89">
        <f>'DIY Grundmodell'!S1183</f>
        <v>634.53</v>
      </c>
      <c r="AH1096" s="54">
        <f>'DIY Grundmodell'!T1183</f>
        <v>6052.7378900000003</v>
      </c>
      <c r="AI1096" s="89">
        <f>'DIY Grundmodell'!U1183</f>
        <v>634.53</v>
      </c>
      <c r="AJ1096" s="89">
        <f>'DIY Grundmodell'!V1183</f>
        <v>6052.7378900000003</v>
      </c>
      <c r="AK1096" s="989"/>
      <c r="AL1096" s="33">
        <f>'DIY Grundmodell'!X1183</f>
        <v>6886.2352300000002</v>
      </c>
    </row>
    <row r="1097" spans="32:38" ht="14.1" customHeight="1" x14ac:dyDescent="0.45">
      <c r="AF1097" s="988">
        <f>'DIY Grundmodell'!R1184</f>
        <v>46126</v>
      </c>
      <c r="AG1097" s="89">
        <f>'DIY Grundmodell'!S1184</f>
        <v>662.49</v>
      </c>
      <c r="AH1097" s="54">
        <f>'DIY Grundmodell'!T1184</f>
        <v>11804.21767</v>
      </c>
      <c r="AI1097" s="89">
        <f>'DIY Grundmodell'!U1184</f>
        <v>662.49</v>
      </c>
      <c r="AJ1097" s="89">
        <f>'DIY Grundmodell'!V1184</f>
        <v>11804.21767</v>
      </c>
      <c r="AK1097" s="989"/>
      <c r="AL1097" s="33">
        <f>'DIY Grundmodell'!X1184</f>
        <v>6967.3786899999996</v>
      </c>
    </row>
    <row r="1098" spans="32:38" ht="14.1" customHeight="1" x14ac:dyDescent="0.45">
      <c r="AF1098" s="988">
        <f>'DIY Grundmodell'!R1185</f>
        <v>46127</v>
      </c>
      <c r="AG1098" s="89">
        <f>'DIY Grundmodell'!S1185</f>
        <v>671.58</v>
      </c>
      <c r="AH1098" s="54">
        <f>'DIY Grundmodell'!T1185</f>
        <v>10041.85166</v>
      </c>
      <c r="AI1098" s="89">
        <f>'DIY Grundmodell'!U1185</f>
        <v>671.58</v>
      </c>
      <c r="AJ1098" s="89">
        <f>'DIY Grundmodell'!V1185</f>
        <v>10041.85166</v>
      </c>
      <c r="AK1098" s="989"/>
      <c r="AL1098" s="33">
        <f>'DIY Grundmodell'!X1185</f>
        <v>7022.9523300000001</v>
      </c>
    </row>
    <row r="1099" spans="32:38" ht="14.1" customHeight="1" x14ac:dyDescent="0.45">
      <c r="AF1099" s="988">
        <f>'DIY Grundmodell'!R1186</f>
        <v>46128</v>
      </c>
      <c r="AG1099" s="89">
        <f>'DIY Grundmodell'!S1186</f>
        <v>676.87</v>
      </c>
      <c r="AH1099" s="54">
        <f>'DIY Grundmodell'!T1186</f>
        <v>6460.61247</v>
      </c>
      <c r="AI1099" s="89">
        <f>'DIY Grundmodell'!U1186</f>
        <v>676.87</v>
      </c>
      <c r="AJ1099" s="89">
        <f>'DIY Grundmodell'!V1186</f>
        <v>6460.61247</v>
      </c>
      <c r="AK1099" s="989"/>
      <c r="AL1099" s="33">
        <f>'DIY Grundmodell'!X1186</f>
        <v>7041.2766899999997</v>
      </c>
    </row>
    <row r="1100" spans="32:38" ht="14.1" customHeight="1" x14ac:dyDescent="0.45">
      <c r="AF1100" s="988">
        <f>'DIY Grundmodell'!R1187</f>
        <v>46129</v>
      </c>
      <c r="AG1100" s="89" t="e">
        <f>'DIY Grundmodell'!S1187</f>
        <v>#N/A</v>
      </c>
      <c r="AH1100" s="54" t="e">
        <f>'DIY Grundmodell'!T1187</f>
        <v>#N/A</v>
      </c>
      <c r="AI1100" s="89">
        <f>'DIY Grundmodell'!U1187</f>
        <v>676.87</v>
      </c>
      <c r="AJ1100" s="89">
        <f>'DIY Grundmodell'!V1187</f>
        <v>6460.61247</v>
      </c>
      <c r="AK1100" s="989"/>
      <c r="AL1100" s="33">
        <f>'DIY Grundmodell'!X1187</f>
        <v>7041.2766899999997</v>
      </c>
    </row>
    <row r="1188" ht="14.1" customHeight="1" collapsed="1" x14ac:dyDescent="0.45"/>
  </sheetData>
  <mergeCells count="24">
    <mergeCell ref="X3:X4"/>
    <mergeCell ref="S3:S4"/>
    <mergeCell ref="T3:T4"/>
    <mergeCell ref="U3:U4"/>
    <mergeCell ref="V3:V4"/>
    <mergeCell ref="W3:W4"/>
    <mergeCell ref="AA19:AA20"/>
    <mergeCell ref="AB19:AB20"/>
    <mergeCell ref="AC19:AC20"/>
    <mergeCell ref="Y3:Y4"/>
    <mergeCell ref="Z3:Z4"/>
    <mergeCell ref="AA3:AA4"/>
    <mergeCell ref="AB3:AB4"/>
    <mergeCell ref="AC3:AC4"/>
    <mergeCell ref="F38:G38"/>
    <mergeCell ref="H39:O57"/>
    <mergeCell ref="X19:X20"/>
    <mergeCell ref="Y19:Y20"/>
    <mergeCell ref="Z19:Z20"/>
    <mergeCell ref="S19:S20"/>
    <mergeCell ref="T19:T20"/>
    <mergeCell ref="U19:U20"/>
    <mergeCell ref="V19:V20"/>
    <mergeCell ref="W19:W20"/>
  </mergeCells>
  <conditionalFormatting sqref="C15:O15">
    <cfRule type="cellIs" dxfId="192" priority="32" operator="lessThan">
      <formula>0</formula>
    </cfRule>
  </conditionalFormatting>
  <conditionalFormatting sqref="C20:O20">
    <cfRule type="cellIs" dxfId="191" priority="29" operator="lessThan">
      <formula>0</formula>
    </cfRule>
  </conditionalFormatting>
  <conditionalFormatting sqref="C25:O25">
    <cfRule type="cellIs" dxfId="190" priority="26" operator="lessThan">
      <formula>0</formula>
    </cfRule>
  </conditionalFormatting>
  <conditionalFormatting sqref="C27:O27">
    <cfRule type="cellIs" dxfId="189" priority="28" operator="lessThan">
      <formula>0</formula>
    </cfRule>
  </conditionalFormatting>
  <conditionalFormatting sqref="O5">
    <cfRule type="cellIs" dxfId="188" priority="31" operator="greaterThan">
      <formula>1</formula>
    </cfRule>
  </conditionalFormatting>
  <conditionalFormatting sqref="O8">
    <cfRule type="cellIs" dxfId="187" priority="27" operator="greaterThan">
      <formula>1</formula>
    </cfRule>
  </conditionalFormatting>
  <conditionalFormatting sqref="O11">
    <cfRule type="cellIs" dxfId="186" priority="30" operator="greaterThan">
      <formula>1</formula>
    </cfRule>
  </conditionalFormatting>
  <conditionalFormatting sqref="T14:U14 W14:AC14">
    <cfRule type="top10" dxfId="185" priority="16" percent="1" bottom="1" rank="10"/>
    <cfRule type="top10" dxfId="184" priority="18" percent="1" rank="10"/>
  </conditionalFormatting>
  <conditionalFormatting sqref="T5:AC5">
    <cfRule type="top10" dxfId="183" priority="20" percent="1" bottom="1" rank="10"/>
    <cfRule type="top10" dxfId="182" priority="25" percent="1" rank="10"/>
  </conditionalFormatting>
  <conditionalFormatting sqref="T5:AC7">
    <cfRule type="cellIs" dxfId="181" priority="9" operator="equal">
      <formula>0</formula>
    </cfRule>
  </conditionalFormatting>
  <conditionalFormatting sqref="T6:AC6">
    <cfRule type="top10" dxfId="180" priority="21" percent="1" bottom="1" rank="10"/>
    <cfRule type="top10" dxfId="179" priority="24" percent="1" rank="10"/>
  </conditionalFormatting>
  <conditionalFormatting sqref="T7:AC7">
    <cfRule type="top10" dxfId="178" priority="22" percent="1" bottom="1" rank="10"/>
    <cfRule type="top10" dxfId="177" priority="23" percent="1" rank="10"/>
  </conditionalFormatting>
  <conditionalFormatting sqref="T9:AC11">
    <cfRule type="cellIs" dxfId="176" priority="6" operator="equal">
      <formula>0</formula>
    </cfRule>
  </conditionalFormatting>
  <conditionalFormatting sqref="T13:AC13 T14:U14 W14:AC14">
    <cfRule type="cellIs" dxfId="175" priority="7" operator="equal">
      <formula>0</formula>
    </cfRule>
  </conditionalFormatting>
  <conditionalFormatting sqref="T13:AC13">
    <cfRule type="top10" dxfId="174" priority="17" percent="1" bottom="1" rank="10"/>
    <cfRule type="top10" dxfId="173" priority="19" percent="1" rank="10"/>
  </conditionalFormatting>
  <conditionalFormatting sqref="T16:AC16">
    <cfRule type="top10" dxfId="172" priority="13" percent="1" bottom="1" rank="10"/>
    <cfRule type="top10" dxfId="171" priority="15" percent="1" rank="10"/>
  </conditionalFormatting>
  <conditionalFormatting sqref="T16:AC17">
    <cfRule type="cellIs" dxfId="170" priority="8" operator="equal">
      <formula>0</formula>
    </cfRule>
  </conditionalFormatting>
  <conditionalFormatting sqref="T17:AC17">
    <cfRule type="top10" dxfId="169" priority="12" percent="1" bottom="1" rank="10"/>
    <cfRule type="top10" dxfId="168" priority="14" percent="1" rank="10"/>
  </conditionalFormatting>
  <conditionalFormatting sqref="T21:AC23">
    <cfRule type="cellIs" dxfId="167" priority="4" operator="equal">
      <formula>0</formula>
    </cfRule>
  </conditionalFormatting>
  <conditionalFormatting sqref="T21:AC26">
    <cfRule type="top10" dxfId="166" priority="10" percent="1" bottom="1" rank="10"/>
    <cfRule type="top10" dxfId="165" priority="11" percent="1" rank="10"/>
  </conditionalFormatting>
  <conditionalFormatting sqref="T25:AC26">
    <cfRule type="cellIs" dxfId="164" priority="5" operator="equal">
      <formula>0</formula>
    </cfRule>
  </conditionalFormatting>
  <conditionalFormatting sqref="V14">
    <cfRule type="cellIs" dxfId="163" priority="1" operator="equal">
      <formula>0</formula>
    </cfRule>
    <cfRule type="top10" dxfId="162" priority="2" percent="1" bottom="1" rank="10"/>
    <cfRule type="top10" dxfId="161" priority="3" percent="1" rank="10"/>
  </conditionalFormatting>
  <printOptions horizontalCentered="1"/>
  <pageMargins left="0.19685039370078741" right="0.11811023622047245" top="0.19685039370078741" bottom="0.11811023622047245" header="0.31496062992125984" footer="0.31496062992125984"/>
  <pageSetup paperSize="9" fitToHeight="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4311-2009-4406-B54C-7A1E05E4E86B}">
  <sheetPr>
    <tabColor theme="5" tint="0.79998168889431442"/>
  </sheetPr>
  <dimension ref="B1:AL1188"/>
  <sheetViews>
    <sheetView showGridLines="0" showZeros="0" topLeftCell="A27" zoomScale="160" zoomScaleNormal="160" workbookViewId="0">
      <selection activeCell="A13" sqref="A13"/>
    </sheetView>
  </sheetViews>
  <sheetFormatPr baseColWidth="10" defaultColWidth="11.46484375" defaultRowHeight="14.1" customHeight="1" x14ac:dyDescent="0.45"/>
  <cols>
    <col min="1" max="1" width="3.86328125" style="7" customWidth="1"/>
    <col min="2" max="2" width="9.53125" style="7" customWidth="1"/>
    <col min="3" max="15" width="6.86328125" style="7" customWidth="1"/>
    <col min="16" max="17" width="8.1328125" style="7" customWidth="1"/>
    <col min="18" max="18" width="14.1328125" style="7" customWidth="1"/>
    <col min="19" max="29" width="7.86328125" style="7" customWidth="1"/>
    <col min="30" max="31" width="8.1328125" style="7" customWidth="1"/>
    <col min="32" max="36" width="11.46484375" style="7"/>
    <col min="37" max="37" width="2.86328125" style="7" customWidth="1"/>
    <col min="38" max="16384" width="11.46484375" style="7"/>
  </cols>
  <sheetData>
    <row r="1" spans="2:38" ht="14.1" customHeight="1" thickBot="1" x14ac:dyDescent="0.5">
      <c r="B1" s="199"/>
      <c r="C1" s="184"/>
      <c r="D1" s="3"/>
      <c r="E1" s="3"/>
      <c r="F1" s="3"/>
      <c r="G1" s="3"/>
      <c r="H1" s="4"/>
      <c r="I1" s="4"/>
      <c r="J1" s="4"/>
      <c r="K1" s="4"/>
      <c r="L1" s="4"/>
      <c r="M1" s="5"/>
      <c r="N1" s="6"/>
    </row>
    <row r="2" spans="2:38" s="272" customFormat="1" ht="20.100000000000001" customHeight="1" x14ac:dyDescent="0.45">
      <c r="B2" s="759" t="str">
        <f>'DIY Grundmodell'!Q2</f>
        <v>Meta Platforms, Inc.</v>
      </c>
      <c r="C2" s="738"/>
      <c r="D2" s="739"/>
      <c r="E2" s="739" t="s">
        <v>357</v>
      </c>
      <c r="F2" s="739"/>
      <c r="G2" s="739"/>
      <c r="H2" s="739"/>
      <c r="I2" s="739"/>
      <c r="J2" s="739"/>
      <c r="K2" s="739"/>
      <c r="L2" s="739"/>
      <c r="M2" s="740" t="str">
        <f>'DIY Grundmodell'!AB2</f>
        <v>Datum</v>
      </c>
      <c r="N2" s="741"/>
      <c r="O2" s="742">
        <f>'DIY Grundmodell'!AD2</f>
        <v>46129</v>
      </c>
      <c r="R2" s="137" t="str">
        <f>'DIY Grundmodell'!A91</f>
        <v>Multiplikatoren</v>
      </c>
      <c r="S2" s="88"/>
      <c r="T2" s="758">
        <v>1</v>
      </c>
      <c r="U2" s="758">
        <f>T2+1</f>
        <v>2</v>
      </c>
      <c r="V2" s="758">
        <f t="shared" ref="V2:AC2" si="0">U2+1</f>
        <v>3</v>
      </c>
      <c r="W2" s="758">
        <f t="shared" si="0"/>
        <v>4</v>
      </c>
      <c r="X2" s="758">
        <f t="shared" si="0"/>
        <v>5</v>
      </c>
      <c r="Y2" s="758">
        <f t="shared" si="0"/>
        <v>6</v>
      </c>
      <c r="Z2" s="758">
        <f t="shared" si="0"/>
        <v>7</v>
      </c>
      <c r="AA2" s="758">
        <f t="shared" si="0"/>
        <v>8</v>
      </c>
      <c r="AB2" s="758">
        <f t="shared" si="0"/>
        <v>9</v>
      </c>
      <c r="AC2" s="758">
        <f t="shared" si="0"/>
        <v>10</v>
      </c>
      <c r="AF2" s="6"/>
      <c r="AG2" s="6"/>
      <c r="AH2" s="6"/>
      <c r="AI2" s="6"/>
      <c r="AJ2" s="6"/>
      <c r="AK2" s="6"/>
      <c r="AL2" s="6"/>
    </row>
    <row r="3" spans="2:38" ht="14.1" customHeight="1" x14ac:dyDescent="0.45">
      <c r="B3" s="743" t="str">
        <f>'DIY Grundmodell'!Q3</f>
        <v>www.meta.com</v>
      </c>
      <c r="C3" s="8"/>
      <c r="D3" s="9"/>
      <c r="E3" s="102"/>
      <c r="F3" s="86"/>
      <c r="G3" s="86"/>
      <c r="H3" s="86"/>
      <c r="I3" s="86"/>
      <c r="J3" s="86"/>
      <c r="K3" s="86"/>
      <c r="L3" s="9"/>
      <c r="M3" s="10" t="str">
        <f>'DIY Grundmodell'!AB3</f>
        <v>Aktienkurs USD</v>
      </c>
      <c r="N3" s="11"/>
      <c r="O3" s="744">
        <f>'DIY Grundmodell'!AD3</f>
        <v>676.87</v>
      </c>
      <c r="P3" s="768" t="s">
        <v>236</v>
      </c>
      <c r="Q3" s="103"/>
      <c r="R3" s="136"/>
      <c r="S3" s="1179" t="str">
        <f>'DIY Grundmodell'!B92</f>
        <v>Meta Platforms, Inc.</v>
      </c>
      <c r="T3" s="1178" t="str">
        <f>'DIY Grundmodell'!E92</f>
        <v>Alphabet Inc.</v>
      </c>
      <c r="U3" s="1178" t="str">
        <f>'DIY Grundmodell'!F92</f>
        <v>Reddit, Inc.</v>
      </c>
      <c r="V3" s="1178" t="str">
        <f>'DIY Grundmodell'!G92</f>
        <v>Bumble Inc.</v>
      </c>
      <c r="W3" s="1178" t="str">
        <f>'DIY Grundmodell'!H92</f>
        <v>Tencent Holdings</v>
      </c>
      <c r="X3" s="1178" t="str">
        <f>'DIY Grundmodell'!I92</f>
        <v>Amazon.com, Inc.</v>
      </c>
      <c r="Y3" s="1178" t="str">
        <f>'DIY Grundmodell'!J92</f>
        <v>Yelp Inc.</v>
      </c>
      <c r="Z3" s="1178" t="str">
        <f>'DIY Grundmodell'!K92</f>
        <v>Grindr Inc.</v>
      </c>
      <c r="AA3" s="1178" t="str">
        <f>'DIY Grundmodell'!L92</f>
        <v>IAC Inc.</v>
      </c>
      <c r="AB3" s="1178" t="str">
        <f>'DIY Grundmodell'!M92</f>
        <v>Taboola.com Ltd.</v>
      </c>
      <c r="AC3" s="1178" t="str">
        <f>'DIY Grundmodell'!N92</f>
        <v>Leafbuyer Technologies</v>
      </c>
      <c r="AD3" s="103"/>
      <c r="AE3" s="103"/>
      <c r="AF3" s="87"/>
      <c r="AG3" s="87" t="s">
        <v>70</v>
      </c>
      <c r="AH3" s="87" t="s">
        <v>72</v>
      </c>
      <c r="AI3" s="87" t="s">
        <v>70</v>
      </c>
      <c r="AJ3" s="87" t="s">
        <v>72</v>
      </c>
      <c r="AL3" s="87"/>
    </row>
    <row r="4" spans="2:38" ht="14.1" customHeight="1" x14ac:dyDescent="0.45">
      <c r="B4" s="743" t="str">
        <f>'DIY Grundmodell'!Q4</f>
        <v>LTM / Quartal</v>
      </c>
      <c r="D4" s="13">
        <f>'DIY Grundmodell'!S4</f>
        <v>46022</v>
      </c>
      <c r="E4" s="102"/>
      <c r="F4" s="86"/>
      <c r="G4" s="86"/>
      <c r="H4" s="86"/>
      <c r="I4" s="86"/>
      <c r="J4" s="86"/>
      <c r="K4" s="86"/>
      <c r="L4" s="9"/>
      <c r="M4" s="10" t="str">
        <f>'DIY Grundmodell'!AB4</f>
        <v>Aktienwert</v>
      </c>
      <c r="N4" s="11"/>
      <c r="O4" s="744">
        <f>'DIY Grundmodell'!AD4</f>
        <v>609.63164007663329</v>
      </c>
      <c r="P4" s="14">
        <v>596.17336631785474</v>
      </c>
      <c r="Q4" s="14"/>
      <c r="R4" s="136" t="str">
        <f>'DIY Grundmodell'!A92</f>
        <v>TEV/EBITDA</v>
      </c>
      <c r="S4" s="1180"/>
      <c r="T4" s="1178"/>
      <c r="U4" s="1178"/>
      <c r="V4" s="1178"/>
      <c r="W4" s="1178"/>
      <c r="X4" s="1178"/>
      <c r="Y4" s="1178"/>
      <c r="Z4" s="1178"/>
      <c r="AA4" s="1178"/>
      <c r="AB4" s="1178"/>
      <c r="AC4" s="1178"/>
      <c r="AD4" s="14"/>
      <c r="AE4" s="14"/>
      <c r="AF4" s="87" t="s">
        <v>21</v>
      </c>
      <c r="AG4" s="87" t="s">
        <v>71</v>
      </c>
      <c r="AH4" s="87" t="s">
        <v>73</v>
      </c>
      <c r="AI4" s="87" t="s">
        <v>71</v>
      </c>
      <c r="AJ4" s="87" t="s">
        <v>73</v>
      </c>
      <c r="AL4" s="87" t="s">
        <v>171</v>
      </c>
    </row>
    <row r="5" spans="2:38" ht="14.1" customHeight="1" thickBot="1" x14ac:dyDescent="0.5">
      <c r="B5" s="743" t="str">
        <f>'DIY Grundmodell'!Q5</f>
        <v>Letztes Fiskaljahr</v>
      </c>
      <c r="D5" s="13">
        <f>'DIY Grundmodell'!S5</f>
        <v>46022</v>
      </c>
      <c r="E5" s="102"/>
      <c r="F5" s="86"/>
      <c r="G5" s="86"/>
      <c r="H5" s="86"/>
      <c r="I5" s="86"/>
      <c r="J5" s="86"/>
      <c r="K5" s="86"/>
      <c r="L5" s="9"/>
      <c r="M5" s="15" t="str">
        <f>'DIY Grundmodell'!AB5</f>
        <v>Kurs/Wert</v>
      </c>
      <c r="N5" s="16"/>
      <c r="O5" s="745">
        <f>'DIY Grundmodell'!AD5</f>
        <v>1.1102934222950018</v>
      </c>
      <c r="P5" s="117" t="str">
        <f>RIGHT(B11,FIND("in Mio. ",B11)+2)</f>
        <v>USD</v>
      </c>
      <c r="Q5" s="117"/>
      <c r="R5" s="1" t="str">
        <f>'DIY Grundmodell'!A93</f>
        <v>Letzter JA</v>
      </c>
      <c r="S5" s="762">
        <f>'DIY Grundmodell'!B93</f>
        <v>16.267199999999999</v>
      </c>
      <c r="T5" s="54">
        <f>'DIY Grundmodell'!E93</f>
        <v>25.635290000000001</v>
      </c>
      <c r="U5" s="54">
        <f>'DIY Grundmodell'!F93</f>
        <v>60.899949999999997</v>
      </c>
      <c r="V5" s="54">
        <f>'DIY Grundmodell'!G93</f>
        <v>3.9651800000000001</v>
      </c>
      <c r="W5" s="54">
        <f>'DIY Grundmodell'!H93</f>
        <v>13.874269999999999</v>
      </c>
      <c r="X5" s="54">
        <f>'DIY Grundmodell'!I93</f>
        <v>16.931709999999999</v>
      </c>
      <c r="Y5" s="54">
        <f>'DIY Grundmodell'!J93</f>
        <v>6.4804399999999998</v>
      </c>
      <c r="Z5" s="54">
        <f>'DIY Grundmodell'!K93</f>
        <v>19.332920000000001</v>
      </c>
      <c r="AA5" s="54">
        <f>'DIY Grundmodell'!L93</f>
        <v>14.17113</v>
      </c>
      <c r="AB5" s="54">
        <f>'DIY Grundmodell'!M93</f>
        <v>6.2693000000000003</v>
      </c>
      <c r="AC5" s="54">
        <f>'DIY Grundmodell'!N93</f>
        <v>2.1202000000000001</v>
      </c>
      <c r="AD5" s="117"/>
      <c r="AE5" s="117"/>
      <c r="AF5" s="87"/>
      <c r="AG5" s="87" t="s">
        <v>358</v>
      </c>
      <c r="AH5" s="87" t="s">
        <v>3</v>
      </c>
      <c r="AI5" s="87" t="str">
        <f>AG5</f>
        <v>USD</v>
      </c>
      <c r="AJ5" s="87" t="str">
        <f>AH5</f>
        <v>in Mio.</v>
      </c>
      <c r="AL5" s="87" t="s">
        <v>172</v>
      </c>
    </row>
    <row r="6" spans="2:38" ht="14.1" customHeight="1" x14ac:dyDescent="0.45">
      <c r="B6" s="743" t="str">
        <f>'DIY Grundmodell'!Q6</f>
        <v>Anzahl Aktien Mio.</v>
      </c>
      <c r="D6" s="17">
        <f>'DIY Grundmodell'!S6</f>
        <v>2529.55546</v>
      </c>
      <c r="E6" s="102"/>
      <c r="F6" s="86"/>
      <c r="G6" s="86"/>
      <c r="H6" s="86"/>
      <c r="I6" s="86"/>
      <c r="J6" s="86"/>
      <c r="K6" s="86"/>
      <c r="L6" s="9"/>
      <c r="M6" s="18" t="str">
        <f>'DIY Grundmodell'!AB6</f>
        <v>52W Tief</v>
      </c>
      <c r="N6" s="19"/>
      <c r="O6" s="746">
        <f>'DIY Grundmodell'!AD6</f>
        <v>479.8</v>
      </c>
      <c r="P6" s="86"/>
      <c r="Q6" s="86"/>
      <c r="R6" s="1" t="str">
        <f>'DIY Grundmodell'!A94</f>
        <v>LTM</v>
      </c>
      <c r="S6" s="762">
        <f>'DIY Grundmodell'!B94</f>
        <v>16.267199999999999</v>
      </c>
      <c r="T6" s="54">
        <f>'DIY Grundmodell'!E94</f>
        <v>25.635290000000001</v>
      </c>
      <c r="U6" s="54">
        <f>'DIY Grundmodell'!F94</f>
        <v>60.899949999999997</v>
      </c>
      <c r="V6" s="54">
        <f>'DIY Grundmodell'!G94</f>
        <v>3.9651800000000001</v>
      </c>
      <c r="W6" s="54">
        <f>'DIY Grundmodell'!H94</f>
        <v>13.874269999999999</v>
      </c>
      <c r="X6" s="54">
        <f>'DIY Grundmodell'!I94</f>
        <v>16.931709999999999</v>
      </c>
      <c r="Y6" s="54">
        <f>'DIY Grundmodell'!J94</f>
        <v>6.4804399999999998</v>
      </c>
      <c r="Z6" s="54">
        <f>'DIY Grundmodell'!K94</f>
        <v>19.332920000000001</v>
      </c>
      <c r="AA6" s="54">
        <f>'DIY Grundmodell'!L94</f>
        <v>14.17113</v>
      </c>
      <c r="AB6" s="54">
        <f>'DIY Grundmodell'!M94</f>
        <v>6.2693000000000003</v>
      </c>
      <c r="AC6" s="54" t="str">
        <f>'DIY Grundmodell'!N94</f>
        <v>NA</v>
      </c>
      <c r="AD6" s="86"/>
      <c r="AE6" s="86"/>
      <c r="AF6" s="988">
        <f>'DIY Grundmodell'!R93</f>
        <v>45035</v>
      </c>
      <c r="AG6" s="89">
        <f>'DIY Grundmodell'!S93</f>
        <v>215.7</v>
      </c>
      <c r="AH6" s="54">
        <f>'DIY Grundmodell'!T93</f>
        <v>3429.2158599999998</v>
      </c>
      <c r="AI6" s="89">
        <f>'DIY Grundmodell'!U93</f>
        <v>215.7</v>
      </c>
      <c r="AJ6" s="89">
        <f>'DIY Grundmodell'!V93</f>
        <v>3429.2158599999998</v>
      </c>
      <c r="AK6" s="989"/>
      <c r="AL6" s="33">
        <f>'DIY Grundmodell'!X93</f>
        <v>4154.5189899999996</v>
      </c>
    </row>
    <row r="7" spans="2:38" ht="14.1" customHeight="1" thickBot="1" x14ac:dyDescent="0.5">
      <c r="B7" s="743" t="str">
        <f>'DIY Grundmodell'!Q7</f>
        <v>Freefloat</v>
      </c>
      <c r="D7" s="20">
        <f>'DIY Grundmodell'!S7</f>
        <v>0.86334169999999999</v>
      </c>
      <c r="E7" s="102"/>
      <c r="F7" s="86"/>
      <c r="G7" s="86"/>
      <c r="H7" s="86"/>
      <c r="I7" s="86"/>
      <c r="J7" s="86"/>
      <c r="K7" s="86"/>
      <c r="L7" s="9"/>
      <c r="M7" s="15" t="str">
        <f>'DIY Grundmodell'!AB7</f>
        <v>52W Hoch</v>
      </c>
      <c r="N7" s="16"/>
      <c r="O7" s="747">
        <f>'DIY Grundmodell'!AD7</f>
        <v>796.25</v>
      </c>
      <c r="P7" s="86"/>
      <c r="Q7" s="86"/>
      <c r="R7" s="1" t="str">
        <f>'DIY Grundmodell'!A95</f>
        <v>Forward</v>
      </c>
      <c r="S7" s="762">
        <f>'DIY Grundmodell'!B95</f>
        <v>12.187889999999999</v>
      </c>
      <c r="T7" s="54">
        <f>'DIY Grundmodell'!E95</f>
        <v>18.25487</v>
      </c>
      <c r="U7" s="54">
        <f>'DIY Grundmodell'!F95</f>
        <v>21.509920000000001</v>
      </c>
      <c r="V7" s="54">
        <f>'DIY Grundmodell'!G95</f>
        <v>3.9385400000000002</v>
      </c>
      <c r="W7" s="54">
        <f>'DIY Grundmodell'!H95</f>
        <v>11.3622</v>
      </c>
      <c r="X7" s="54">
        <f>'DIY Grundmodell'!I95</f>
        <v>13.018929999999999</v>
      </c>
      <c r="Y7" s="54">
        <f>'DIY Grundmodell'!J95</f>
        <v>4.1325099999999999</v>
      </c>
      <c r="Z7" s="54">
        <f>'DIY Grundmodell'!K95</f>
        <v>12.332520000000001</v>
      </c>
      <c r="AA7" s="54">
        <f>'DIY Grundmodell'!L95</f>
        <v>13.676600000000001</v>
      </c>
      <c r="AB7" s="54">
        <f>'DIY Grundmodell'!M95</f>
        <v>4.7689500000000002</v>
      </c>
      <c r="AC7" s="54" t="str">
        <f>'DIY Grundmodell'!N95</f>
        <v>NA</v>
      </c>
      <c r="AD7" s="86"/>
      <c r="AE7" s="86"/>
      <c r="AF7" s="988">
        <f>'DIY Grundmodell'!R94</f>
        <v>45036</v>
      </c>
      <c r="AG7" s="89">
        <f>'DIY Grundmodell'!S94</f>
        <v>213.07</v>
      </c>
      <c r="AH7" s="54">
        <f>'DIY Grundmodell'!T94</f>
        <v>3510.422</v>
      </c>
      <c r="AI7" s="89">
        <f>'DIY Grundmodell'!U94</f>
        <v>213.07</v>
      </c>
      <c r="AJ7" s="89">
        <f>'DIY Grundmodell'!V94</f>
        <v>3510.422</v>
      </c>
      <c r="AK7" s="989"/>
      <c r="AL7" s="33">
        <f>'DIY Grundmodell'!X94</f>
        <v>4129.7923700000001</v>
      </c>
    </row>
    <row r="8" spans="2:38" ht="14.1" customHeight="1" x14ac:dyDescent="0.45">
      <c r="B8" s="92" t="str">
        <f>'DIY Grundmodell'!Q8</f>
        <v>Unt.-Rating S&amp;P</v>
      </c>
      <c r="C8" s="5"/>
      <c r="D8" s="12" t="str">
        <f>'DIY Grundmodell'!S8</f>
        <v>AA-</v>
      </c>
      <c r="E8" s="102"/>
      <c r="F8" s="86"/>
      <c r="G8" s="86"/>
      <c r="H8" s="86"/>
      <c r="I8" s="86"/>
      <c r="J8" s="86"/>
      <c r="K8" s="86"/>
      <c r="L8" s="9"/>
      <c r="M8" s="21" t="str">
        <f>'DIY Grundmodell'!AB8</f>
        <v>TV/TEV</v>
      </c>
      <c r="N8" s="22"/>
      <c r="O8" s="748">
        <f>'DIY Grundmodell'!AD8</f>
        <v>0.76698643092546925</v>
      </c>
      <c r="P8" s="86"/>
      <c r="Q8" s="86"/>
      <c r="R8" s="136" t="str">
        <f>'DIY Grundmodell'!A96</f>
        <v>TEV/EBIT</v>
      </c>
      <c r="S8" s="763" t="str">
        <f>S3</f>
        <v>Meta Platforms, Inc.</v>
      </c>
      <c r="T8" s="757" t="str">
        <f t="shared" ref="T8:AC8" si="1">T3</f>
        <v>Alphabet Inc.</v>
      </c>
      <c r="U8" s="757" t="str">
        <f t="shared" si="1"/>
        <v>Reddit, Inc.</v>
      </c>
      <c r="V8" s="757" t="str">
        <f t="shared" si="1"/>
        <v>Bumble Inc.</v>
      </c>
      <c r="W8" s="757" t="str">
        <f t="shared" si="1"/>
        <v>Tencent Holdings</v>
      </c>
      <c r="X8" s="757" t="str">
        <f t="shared" si="1"/>
        <v>Amazon.com, Inc.</v>
      </c>
      <c r="Y8" s="757" t="str">
        <f t="shared" si="1"/>
        <v>Yelp Inc.</v>
      </c>
      <c r="Z8" s="757" t="str">
        <f t="shared" si="1"/>
        <v>Grindr Inc.</v>
      </c>
      <c r="AA8" s="757" t="str">
        <f t="shared" si="1"/>
        <v>IAC Inc.</v>
      </c>
      <c r="AB8" s="757" t="str">
        <f t="shared" si="1"/>
        <v>Taboola.com Ltd.</v>
      </c>
      <c r="AC8" s="757" t="str">
        <f t="shared" si="1"/>
        <v>Leafbuyer Technologies</v>
      </c>
      <c r="AD8" s="86"/>
      <c r="AE8" s="86"/>
      <c r="AF8" s="988">
        <f>'DIY Grundmodell'!R95</f>
        <v>45037</v>
      </c>
      <c r="AG8" s="89">
        <f>'DIY Grundmodell'!S95</f>
        <v>212.89</v>
      </c>
      <c r="AH8" s="54">
        <f>'DIY Grundmodell'!T95</f>
        <v>3771.8083200000001</v>
      </c>
      <c r="AI8" s="89">
        <f>'DIY Grundmodell'!U95</f>
        <v>212.89</v>
      </c>
      <c r="AJ8" s="89">
        <f>'DIY Grundmodell'!V95</f>
        <v>3771.8083200000001</v>
      </c>
      <c r="AK8" s="989"/>
      <c r="AL8" s="33">
        <f>'DIY Grundmodell'!X95</f>
        <v>4133.5213199999998</v>
      </c>
    </row>
    <row r="9" spans="2:38" ht="14.1" customHeight="1" x14ac:dyDescent="0.45">
      <c r="B9" s="743" t="str">
        <f>'DIY Grundmodell'!Q9</f>
        <v>Net Debt/EBITDA</v>
      </c>
      <c r="D9" s="23">
        <f>'DIY Grundmodell'!S9</f>
        <v>3.4242138735131315E-2</v>
      </c>
      <c r="E9" s="102"/>
      <c r="F9" s="86"/>
      <c r="G9" s="86"/>
      <c r="H9" s="86"/>
      <c r="I9" s="86"/>
      <c r="J9" s="86"/>
      <c r="K9" s="86"/>
      <c r="L9" s="9"/>
      <c r="M9" s="10" t="str">
        <f>'DIY Grundmodell'!AB9</f>
        <v>Dividende 2025</v>
      </c>
      <c r="N9" s="24"/>
      <c r="O9" s="744">
        <f>'DIY Grundmodell'!AD9</f>
        <v>2.1043478260869564</v>
      </c>
      <c r="P9" s="86"/>
      <c r="Q9" s="86"/>
      <c r="R9" s="1" t="str">
        <f>'DIY Grundmodell'!A97</f>
        <v>Letzter JA</v>
      </c>
      <c r="S9" s="762">
        <f>'DIY Grundmodell'!B97</f>
        <v>20.67428</v>
      </c>
      <c r="T9" s="54">
        <f>'DIY Grundmodell'!E97</f>
        <v>30.832920000000001</v>
      </c>
      <c r="U9" s="54">
        <f>'DIY Grundmodell'!F97</f>
        <v>64.663349999999994</v>
      </c>
      <c r="V9" s="54">
        <f>'DIY Grundmodell'!G97</f>
        <v>4.3354900000000001</v>
      </c>
      <c r="W9" s="54">
        <f>'DIY Grundmodell'!H97</f>
        <v>15.624879999999999</v>
      </c>
      <c r="X9" s="54">
        <f>'DIY Grundmodell'!I97</f>
        <v>34.510449999999999</v>
      </c>
      <c r="Y9" s="54">
        <f>'DIY Grundmodell'!J97</f>
        <v>7.0713400000000002</v>
      </c>
      <c r="Z9" s="54">
        <f>'DIY Grundmodell'!K97</f>
        <v>20.493590000000001</v>
      </c>
      <c r="AA9" s="54">
        <f>'DIY Grundmodell'!L97</f>
        <v>37.175080000000001</v>
      </c>
      <c r="AB9" s="54">
        <f>'DIY Grundmodell'!M97</f>
        <v>24.723320000000001</v>
      </c>
      <c r="AC9" s="54">
        <f>'DIY Grundmodell'!N97</f>
        <v>5.4117899999999999</v>
      </c>
      <c r="AD9" s="86"/>
      <c r="AE9" s="86"/>
      <c r="AF9" s="988">
        <f>'DIY Grundmodell'!R96</f>
        <v>45038</v>
      </c>
      <c r="AG9" s="89" t="e">
        <f>'DIY Grundmodell'!S96</f>
        <v>#N/A</v>
      </c>
      <c r="AH9" s="54" t="e">
        <f>'DIY Grundmodell'!T96</f>
        <v>#N/A</v>
      </c>
      <c r="AI9" s="89">
        <f>'DIY Grundmodell'!U96</f>
        <v>212.89</v>
      </c>
      <c r="AJ9" s="89">
        <f>'DIY Grundmodell'!V96</f>
        <v>0</v>
      </c>
      <c r="AK9" s="989"/>
      <c r="AL9" s="33">
        <f>'DIY Grundmodell'!X96</f>
        <v>4133.5213199999998</v>
      </c>
    </row>
    <row r="10" spans="2:38" ht="14.1" customHeight="1" x14ac:dyDescent="0.45">
      <c r="B10" s="743" t="str">
        <f>'DIY Grundmodell'!Q10</f>
        <v>Market Cap</v>
      </c>
      <c r="D10" s="25">
        <f>'DIY Grundmodell'!S10</f>
        <v>1712180.20692</v>
      </c>
      <c r="E10" s="102"/>
      <c r="F10" s="86"/>
      <c r="G10" s="86"/>
      <c r="H10" s="86"/>
      <c r="I10" s="86"/>
      <c r="J10" s="86"/>
      <c r="K10" s="86"/>
      <c r="L10" s="9"/>
      <c r="M10" s="10" t="str">
        <f>'DIY Grundmodell'!AB10</f>
        <v>Erw. Dividende</v>
      </c>
      <c r="N10" s="5"/>
      <c r="O10" s="744">
        <f>'DIY Grundmodell'!AD10</f>
        <v>2.2446199999999998</v>
      </c>
      <c r="P10" s="86"/>
      <c r="Q10" s="86"/>
      <c r="R10" s="1" t="str">
        <f>'DIY Grundmodell'!A98</f>
        <v>LTM</v>
      </c>
      <c r="S10" s="762">
        <f>'DIY Grundmodell'!B98</f>
        <v>20.67428</v>
      </c>
      <c r="T10" s="54">
        <f>'DIY Grundmodell'!E98</f>
        <v>30.832920000000001</v>
      </c>
      <c r="U10" s="54">
        <f>'DIY Grundmodell'!F98</f>
        <v>64.663349999999994</v>
      </c>
      <c r="V10" s="54">
        <f>'DIY Grundmodell'!G98</f>
        <v>4.3354900000000001</v>
      </c>
      <c r="W10" s="54">
        <f>'DIY Grundmodell'!H98</f>
        <v>15.624879999999999</v>
      </c>
      <c r="X10" s="54">
        <f>'DIY Grundmodell'!I98</f>
        <v>34.510449999999999</v>
      </c>
      <c r="Y10" s="54">
        <f>'DIY Grundmodell'!J98</f>
        <v>7.0713400000000002</v>
      </c>
      <c r="Z10" s="54">
        <f>'DIY Grundmodell'!K98</f>
        <v>20.493590000000001</v>
      </c>
      <c r="AA10" s="54">
        <f>'DIY Grundmodell'!L98</f>
        <v>37.175080000000001</v>
      </c>
      <c r="AB10" s="54">
        <f>'DIY Grundmodell'!M98</f>
        <v>24.723320000000001</v>
      </c>
      <c r="AC10" s="54">
        <f>'DIY Grundmodell'!N98</f>
        <v>20.780180000000001</v>
      </c>
      <c r="AD10" s="86"/>
      <c r="AE10" s="86"/>
      <c r="AF10" s="988">
        <f>'DIY Grundmodell'!R97</f>
        <v>45039</v>
      </c>
      <c r="AG10" s="89" t="e">
        <f>'DIY Grundmodell'!S97</f>
        <v>#N/A</v>
      </c>
      <c r="AH10" s="54" t="e">
        <f>'DIY Grundmodell'!T97</f>
        <v>#N/A</v>
      </c>
      <c r="AI10" s="89">
        <f>'DIY Grundmodell'!U97</f>
        <v>212.89</v>
      </c>
      <c r="AJ10" s="89">
        <f>'DIY Grundmodell'!V97</f>
        <v>0</v>
      </c>
      <c r="AK10" s="989"/>
      <c r="AL10" s="33">
        <f>'DIY Grundmodell'!X97</f>
        <v>4133.5213199999998</v>
      </c>
    </row>
    <row r="11" spans="2:38" ht="14.1" customHeight="1" thickBot="1" x14ac:dyDescent="0.5">
      <c r="B11" s="749" t="str">
        <f>'DIY Grundmodell'!Q11</f>
        <v>in Mio. USD</v>
      </c>
      <c r="C11" s="750"/>
      <c r="D11" s="751"/>
      <c r="E11" s="752"/>
      <c r="F11" s="753"/>
      <c r="G11" s="753"/>
      <c r="H11" s="753"/>
      <c r="I11" s="753"/>
      <c r="J11" s="753"/>
      <c r="K11" s="753"/>
      <c r="L11" s="751"/>
      <c r="M11" s="754" t="str">
        <f>'DIY Grundmodell'!AB11</f>
        <v>Erw. D-Rendite</v>
      </c>
      <c r="N11" s="755"/>
      <c r="O11" s="756">
        <f>'DIY Grundmodell'!AD11</f>
        <v>3.3161759274306733E-3</v>
      </c>
      <c r="P11" s="86"/>
      <c r="Q11" s="86"/>
      <c r="R11" s="1" t="str">
        <f>'DIY Grundmodell'!A99</f>
        <v>Forward</v>
      </c>
      <c r="S11" s="762">
        <f>'DIY Grundmodell'!B99</f>
        <v>19.702860000000001</v>
      </c>
      <c r="T11" s="54">
        <f>'DIY Grundmodell'!E99</f>
        <v>25.0976</v>
      </c>
      <c r="U11" s="54">
        <f>'DIY Grundmodell'!F99</f>
        <v>34.174669999999999</v>
      </c>
      <c r="V11" s="54">
        <f>'DIY Grundmodell'!G99</f>
        <v>4.9126099999999999</v>
      </c>
      <c r="W11" s="54">
        <f>'DIY Grundmodell'!H99</f>
        <v>14.901479999999999</v>
      </c>
      <c r="X11" s="54">
        <f>'DIY Grundmodell'!I99</f>
        <v>27.876090000000001</v>
      </c>
      <c r="Y11" s="54">
        <f>'DIY Grundmodell'!J99</f>
        <v>8.5730299999999993</v>
      </c>
      <c r="Z11" s="54">
        <f>'DIY Grundmodell'!K99</f>
        <v>17.33625</v>
      </c>
      <c r="AA11" s="54">
        <f>'DIY Grundmodell'!L99</f>
        <v>28.548549999999999</v>
      </c>
      <c r="AB11" s="54">
        <f>'DIY Grundmodell'!M99</f>
        <v>11.116540000000001</v>
      </c>
      <c r="AC11" s="54" t="str">
        <f>'DIY Grundmodell'!N99</f>
        <v>NA</v>
      </c>
      <c r="AD11" s="86"/>
      <c r="AE11" s="86"/>
      <c r="AF11" s="988">
        <f>'DIY Grundmodell'!R98</f>
        <v>45040</v>
      </c>
      <c r="AG11" s="89">
        <f>'DIY Grundmodell'!S98</f>
        <v>212.79</v>
      </c>
      <c r="AH11" s="54">
        <f>'DIY Grundmodell'!T98</f>
        <v>3351.6382699999999</v>
      </c>
      <c r="AI11" s="89">
        <f>'DIY Grundmodell'!U98</f>
        <v>212.79</v>
      </c>
      <c r="AJ11" s="89">
        <f>'DIY Grundmodell'!V98</f>
        <v>3351.6382699999999</v>
      </c>
      <c r="AK11" s="989"/>
      <c r="AL11" s="33">
        <f>'DIY Grundmodell'!X98</f>
        <v>4137.0445900000004</v>
      </c>
    </row>
    <row r="12" spans="2:38" ht="14.1" customHeight="1" thickBot="1" x14ac:dyDescent="0.5">
      <c r="B12" s="57"/>
      <c r="C12" s="57"/>
      <c r="D12" s="57"/>
      <c r="E12" s="57"/>
      <c r="F12" s="57"/>
      <c r="G12" s="57"/>
      <c r="H12" s="57"/>
      <c r="I12" s="57"/>
      <c r="J12" s="57"/>
      <c r="K12" s="57"/>
      <c r="L12" s="57"/>
      <c r="M12" s="57"/>
      <c r="N12" s="57"/>
      <c r="O12" s="57"/>
      <c r="P12" s="86"/>
      <c r="Q12" s="86"/>
      <c r="R12" s="136" t="str">
        <f>'DIY Grundmodell'!A100</f>
        <v>KGV (normalisiert)</v>
      </c>
      <c r="S12" s="764"/>
      <c r="T12" s="138"/>
      <c r="U12" s="138"/>
      <c r="V12" s="138"/>
      <c r="W12" s="138"/>
      <c r="X12" s="138"/>
      <c r="Y12" s="138"/>
      <c r="Z12" s="138"/>
      <c r="AA12" s="138"/>
      <c r="AB12" s="138"/>
      <c r="AC12" s="138"/>
      <c r="AD12" s="86"/>
      <c r="AE12" s="86"/>
      <c r="AF12" s="988">
        <f>'DIY Grundmodell'!R99</f>
        <v>45041</v>
      </c>
      <c r="AG12" s="89">
        <f>'DIY Grundmodell'!S99</f>
        <v>207.55</v>
      </c>
      <c r="AH12" s="54">
        <f>'DIY Grundmodell'!T99</f>
        <v>3984.5822600000001</v>
      </c>
      <c r="AI12" s="89">
        <f>'DIY Grundmodell'!U99</f>
        <v>207.55</v>
      </c>
      <c r="AJ12" s="89">
        <f>'DIY Grundmodell'!V99</f>
        <v>3984.5822600000001</v>
      </c>
      <c r="AK12" s="989"/>
      <c r="AL12" s="33">
        <f>'DIY Grundmodell'!X99</f>
        <v>4071.6304300000002</v>
      </c>
    </row>
    <row r="13" spans="2:38" ht="14.1" customHeight="1" x14ac:dyDescent="0.45">
      <c r="B13" s="27" t="str">
        <f>'DIY Grundmodell'!Q12</f>
        <v>Historie</v>
      </c>
      <c r="C13" s="69">
        <f>'DIY Grundmodell'!R12</f>
        <v>2016</v>
      </c>
      <c r="D13" s="69">
        <f>'DIY Grundmodell'!S12</f>
        <v>2017</v>
      </c>
      <c r="E13" s="69">
        <f>'DIY Grundmodell'!T12</f>
        <v>2018</v>
      </c>
      <c r="F13" s="69">
        <f>'DIY Grundmodell'!U12</f>
        <v>2019</v>
      </c>
      <c r="G13" s="69">
        <f>'DIY Grundmodell'!V12</f>
        <v>2020</v>
      </c>
      <c r="H13" s="69">
        <f>'DIY Grundmodell'!W12</f>
        <v>2021</v>
      </c>
      <c r="I13" s="69">
        <f>'DIY Grundmodell'!X12</f>
        <v>2022</v>
      </c>
      <c r="J13" s="69">
        <f>'DIY Grundmodell'!Y12</f>
        <v>2023</v>
      </c>
      <c r="K13" s="69">
        <f>'DIY Grundmodell'!Z12</f>
        <v>2024</v>
      </c>
      <c r="L13" s="70">
        <f>'DIY Grundmodell'!AA12</f>
        <v>2025</v>
      </c>
      <c r="M13" s="71" t="str">
        <f>'DIY Grundmodell'!AB12</f>
        <v>2026e</v>
      </c>
      <c r="N13" s="69" t="str">
        <f>'DIY Grundmodell'!AC12</f>
        <v>2027e</v>
      </c>
      <c r="O13" s="70" t="str">
        <f>'DIY Grundmodell'!AD12</f>
        <v>2028e</v>
      </c>
      <c r="P13" s="86"/>
      <c r="Q13" s="86"/>
      <c r="R13" s="1" t="str">
        <f>'DIY Grundmodell'!A101</f>
        <v>Letzter JA</v>
      </c>
      <c r="S13" s="762">
        <f>'DIY Grundmodell'!B101</f>
        <v>32.43985</v>
      </c>
      <c r="T13" s="54">
        <f>'DIY Grundmodell'!E101</f>
        <v>48.993630000000003</v>
      </c>
      <c r="U13" s="54">
        <f>'DIY Grundmodell'!F101</f>
        <v>99.36242</v>
      </c>
      <c r="V13" s="54">
        <f>'DIY Grundmodell'!G101</f>
        <v>1.45702</v>
      </c>
      <c r="W13" s="54">
        <f>'DIY Grundmodell'!H101</f>
        <v>25.725239999999999</v>
      </c>
      <c r="X13" s="54">
        <f>'DIY Grundmodell'!I101</f>
        <v>53.103560000000002</v>
      </c>
      <c r="Y13" s="54">
        <f>'DIY Grundmodell'!J101</f>
        <v>13.73282</v>
      </c>
      <c r="Z13" s="54">
        <f>'DIY Grundmodell'!K101</f>
        <v>32.449950000000001</v>
      </c>
      <c r="AA13" s="54">
        <f>'DIY Grundmodell'!L101</f>
        <v>131.99507</v>
      </c>
      <c r="AB13" s="54">
        <f>'DIY Grundmodell'!M101</f>
        <v>47.420380000000002</v>
      </c>
      <c r="AC13" s="54">
        <f>'DIY Grundmodell'!N101</f>
        <v>7.4938599999999997</v>
      </c>
      <c r="AD13" s="86"/>
      <c r="AE13" s="86"/>
      <c r="AF13" s="988">
        <f>'DIY Grundmodell'!R100</f>
        <v>45042</v>
      </c>
      <c r="AG13" s="89">
        <f>'DIY Grundmodell'!S100</f>
        <v>209.4</v>
      </c>
      <c r="AH13" s="54">
        <f>'DIY Grundmodell'!T100</f>
        <v>8793.2776599999997</v>
      </c>
      <c r="AI13" s="89">
        <f>'DIY Grundmodell'!U100</f>
        <v>209.4</v>
      </c>
      <c r="AJ13" s="89">
        <f>'DIY Grundmodell'!V100</f>
        <v>8793.2776599999997</v>
      </c>
      <c r="AK13" s="989"/>
      <c r="AL13" s="33">
        <f>'DIY Grundmodell'!X100</f>
        <v>4055.9877799999999</v>
      </c>
    </row>
    <row r="14" spans="2:38" s="31" customFormat="1" ht="14.1" customHeight="1" x14ac:dyDescent="0.45">
      <c r="B14" s="10" t="str">
        <f>'DIY Grundmodell'!Q13</f>
        <v>Umsatz</v>
      </c>
      <c r="C14" s="29">
        <f>'DIY Grundmodell'!R13</f>
        <v>27638</v>
      </c>
      <c r="D14" s="29">
        <f>'DIY Grundmodell'!S13</f>
        <v>40653</v>
      </c>
      <c r="E14" s="29">
        <f>'DIY Grundmodell'!T13</f>
        <v>55838</v>
      </c>
      <c r="F14" s="29">
        <f>'DIY Grundmodell'!U13</f>
        <v>70697</v>
      </c>
      <c r="G14" s="29">
        <f>'DIY Grundmodell'!V13</f>
        <v>85965</v>
      </c>
      <c r="H14" s="29">
        <f>'DIY Grundmodell'!W13</f>
        <v>117929</v>
      </c>
      <c r="I14" s="29">
        <f>'DIY Grundmodell'!X13</f>
        <v>116609</v>
      </c>
      <c r="J14" s="29">
        <f>'DIY Grundmodell'!Y13</f>
        <v>134902</v>
      </c>
      <c r="K14" s="29">
        <f>'DIY Grundmodell'!Z13</f>
        <v>164501</v>
      </c>
      <c r="L14" s="25">
        <f>'DIY Grundmodell'!AA13</f>
        <v>200966</v>
      </c>
      <c r="M14" s="28">
        <f>'DIY Grundmodell'!AB13</f>
        <v>250863.95</v>
      </c>
      <c r="N14" s="29">
        <f>'DIY Grundmodell'!AC13</f>
        <v>298236</v>
      </c>
      <c r="O14" s="25">
        <f>'DIY Grundmodell'!AD13</f>
        <v>347061</v>
      </c>
      <c r="P14" s="86"/>
      <c r="Q14" s="86"/>
      <c r="R14" s="1" t="str">
        <f>'DIY Grundmodell'!A102</f>
        <v>LTM</v>
      </c>
      <c r="S14" s="762">
        <f>'DIY Grundmodell'!B102</f>
        <v>32.43985</v>
      </c>
      <c r="T14" s="54">
        <f>'DIY Grundmodell'!E102</f>
        <v>48.993630000000003</v>
      </c>
      <c r="U14" s="54">
        <f>'DIY Grundmodell'!F102</f>
        <v>99.36242</v>
      </c>
      <c r="V14" s="54">
        <f>'DIY Grundmodell'!G102</f>
        <v>1.45702</v>
      </c>
      <c r="W14" s="54">
        <f>'DIY Grundmodell'!H102</f>
        <v>25.725239999999999</v>
      </c>
      <c r="X14" s="54">
        <f>'DIY Grundmodell'!I102</f>
        <v>53.103560000000002</v>
      </c>
      <c r="Y14" s="54">
        <f>'DIY Grundmodell'!J102</f>
        <v>13.73282</v>
      </c>
      <c r="Z14" s="54">
        <f>'DIY Grundmodell'!K102</f>
        <v>32.449950000000001</v>
      </c>
      <c r="AA14" s="54">
        <f>'DIY Grundmodell'!L102</f>
        <v>131.99507</v>
      </c>
      <c r="AB14" s="54">
        <f>'DIY Grundmodell'!M102</f>
        <v>47.420380000000002</v>
      </c>
      <c r="AC14" s="54">
        <f>'DIY Grundmodell'!N102</f>
        <v>39.354840000000003</v>
      </c>
      <c r="AD14" s="86"/>
      <c r="AE14" s="86"/>
      <c r="AF14" s="988">
        <f>'DIY Grundmodell'!R101</f>
        <v>45043</v>
      </c>
      <c r="AG14" s="89">
        <f>'DIY Grundmodell'!S101</f>
        <v>238.56</v>
      </c>
      <c r="AH14" s="54">
        <f>'DIY Grundmodell'!T101</f>
        <v>16984.644199999999</v>
      </c>
      <c r="AI14" s="89">
        <f>'DIY Grundmodell'!U101</f>
        <v>238.56</v>
      </c>
      <c r="AJ14" s="89">
        <f>'DIY Grundmodell'!V101</f>
        <v>16984.644199999999</v>
      </c>
      <c r="AK14" s="989"/>
      <c r="AL14" s="33">
        <f>'DIY Grundmodell'!X101</f>
        <v>4135.3522300000004</v>
      </c>
    </row>
    <row r="15" spans="2:38" ht="14.1" customHeight="1" x14ac:dyDescent="0.45">
      <c r="B15" s="73" t="str">
        <f>'DIY Grundmodell'!Q14</f>
        <v>Entw.</v>
      </c>
      <c r="C15" s="49">
        <f>'DIY Grundmodell'!R14</f>
        <v>0.54161088799643009</v>
      </c>
      <c r="D15" s="49">
        <f>'DIY Grundmodell'!S14</f>
        <v>0.47090961719371882</v>
      </c>
      <c r="E15" s="49">
        <f>'DIY Grundmodell'!T14</f>
        <v>0.37352716896661997</v>
      </c>
      <c r="F15" s="49">
        <f>'DIY Grundmodell'!U14</f>
        <v>0.26610910132884413</v>
      </c>
      <c r="G15" s="49">
        <f>'DIY Grundmodell'!V14</f>
        <v>0.21596390228722573</v>
      </c>
      <c r="H15" s="49">
        <f>'DIY Grundmodell'!W14</f>
        <v>0.37182574303495608</v>
      </c>
      <c r="I15" s="49">
        <f>'DIY Grundmodell'!X14</f>
        <v>-1.1193175554782941E-2</v>
      </c>
      <c r="J15" s="49">
        <f>'DIY Grundmodell'!Y14</f>
        <v>0.15687468377226454</v>
      </c>
      <c r="K15" s="49">
        <f>'DIY Grundmodell'!Z14</f>
        <v>0.21941112807816054</v>
      </c>
      <c r="L15" s="76">
        <f>'DIY Grundmodell'!AA14</f>
        <v>0.22167038498246217</v>
      </c>
      <c r="M15" s="729">
        <f>'DIY Grundmodell'!AB14</f>
        <v>0.24829050685190546</v>
      </c>
      <c r="N15" s="49">
        <f>'DIY Grundmodell'!AC14</f>
        <v>0.18883562185798319</v>
      </c>
      <c r="O15" s="76">
        <f>'DIY Grundmodell'!AD14</f>
        <v>0.16371263026596394</v>
      </c>
      <c r="P15" s="86"/>
      <c r="Q15" s="86"/>
      <c r="R15" s="136" t="str">
        <f>'DIY Grundmodell'!A103</f>
        <v>Kurs / Buchwert EK</v>
      </c>
      <c r="S15" s="764"/>
      <c r="T15" s="138"/>
      <c r="U15" s="138"/>
      <c r="V15" s="138"/>
      <c r="W15" s="138"/>
      <c r="X15" s="138"/>
      <c r="Y15" s="138"/>
      <c r="Z15" s="138"/>
      <c r="AA15" s="138"/>
      <c r="AB15" s="138"/>
      <c r="AC15" s="138"/>
      <c r="AD15" s="86"/>
      <c r="AE15" s="86"/>
      <c r="AF15" s="988">
        <f>'DIY Grundmodell'!R102</f>
        <v>45044</v>
      </c>
      <c r="AG15" s="89">
        <f>'DIY Grundmodell'!S102</f>
        <v>240.32</v>
      </c>
      <c r="AH15" s="54">
        <f>'DIY Grundmodell'!T102</f>
        <v>9505.6268899999995</v>
      </c>
      <c r="AI15" s="89">
        <f>'DIY Grundmodell'!U102</f>
        <v>240.32</v>
      </c>
      <c r="AJ15" s="89">
        <f>'DIY Grundmodell'!V102</f>
        <v>9505.6268899999995</v>
      </c>
      <c r="AK15" s="989"/>
      <c r="AL15" s="33">
        <f>'DIY Grundmodell'!X102</f>
        <v>4169.4813999999997</v>
      </c>
    </row>
    <row r="16" spans="2:38" s="31" customFormat="1" ht="14.1" customHeight="1" x14ac:dyDescent="0.45">
      <c r="B16" s="32" t="str">
        <f>'DIY Grundmodell'!Q15</f>
        <v>EBIT</v>
      </c>
      <c r="C16" s="33">
        <f>'DIY Grundmodell'!R15</f>
        <v>12427</v>
      </c>
      <c r="D16" s="33">
        <f>'DIY Grundmodell'!S15</f>
        <v>20203</v>
      </c>
      <c r="E16" s="33">
        <f>'DIY Grundmodell'!T15</f>
        <v>24913</v>
      </c>
      <c r="F16" s="33">
        <f>'DIY Grundmodell'!U15</f>
        <v>28986</v>
      </c>
      <c r="G16" s="33">
        <f>'DIY Grundmodell'!V15</f>
        <v>32671</v>
      </c>
      <c r="H16" s="33">
        <f>'DIY Grundmodell'!W15</f>
        <v>46753</v>
      </c>
      <c r="I16" s="33">
        <f>'DIY Grundmodell'!X15</f>
        <v>33555</v>
      </c>
      <c r="J16" s="33">
        <f>'DIY Grundmodell'!Y15</f>
        <v>46751</v>
      </c>
      <c r="K16" s="33">
        <f>'DIY Grundmodell'!Z15</f>
        <v>69380</v>
      </c>
      <c r="L16" s="34">
        <f>'DIY Grundmodell'!AA15</f>
        <v>83276</v>
      </c>
      <c r="M16" s="35">
        <f>'DIY Grundmodell'!AB15</f>
        <v>86128</v>
      </c>
      <c r="N16" s="33">
        <f>'DIY Grundmodell'!AC15</f>
        <v>101254.1</v>
      </c>
      <c r="O16" s="34">
        <f>'DIY Grundmodell'!AD15</f>
        <v>118644</v>
      </c>
      <c r="P16" s="86"/>
      <c r="Q16" s="86"/>
      <c r="R16" s="1" t="str">
        <f>'DIY Grundmodell'!A104</f>
        <v>Letzter JA</v>
      </c>
      <c r="S16" s="762">
        <f>'DIY Grundmodell'!B104</f>
        <v>7.88279</v>
      </c>
      <c r="T16" s="54">
        <f>'DIY Grundmodell'!E104</f>
        <v>9.78125</v>
      </c>
      <c r="U16" s="54">
        <f>'DIY Grundmodell'!F104</f>
        <v>10.58724</v>
      </c>
      <c r="V16" s="54">
        <f>'DIY Grundmodell'!G104</f>
        <v>0.98007</v>
      </c>
      <c r="W16" s="54">
        <f>'DIY Grundmodell'!H104</f>
        <v>3.5903399999999999</v>
      </c>
      <c r="X16" s="54">
        <f>'DIY Grundmodell'!I104</f>
        <v>6.51851</v>
      </c>
      <c r="Y16" s="54">
        <f>'DIY Grundmodell'!J104</f>
        <v>2.3126500000000001</v>
      </c>
      <c r="Z16" s="54">
        <f>'DIY Grundmodell'!K104</f>
        <v>50.937060000000002</v>
      </c>
      <c r="AA16" s="54">
        <f>'DIY Grundmodell'!L104</f>
        <v>0.71057000000000003</v>
      </c>
      <c r="AB16" s="54">
        <f>'DIY Grundmodell'!M104</f>
        <v>1.1149899999999999</v>
      </c>
      <c r="AC16" s="54" t="str">
        <f>'DIY Grundmodell'!N104</f>
        <v>NM</v>
      </c>
      <c r="AD16" s="86"/>
      <c r="AE16" s="86"/>
      <c r="AF16" s="988">
        <f>'DIY Grundmodell'!R103</f>
        <v>45045</v>
      </c>
      <c r="AG16" s="89" t="e">
        <f>'DIY Grundmodell'!S103</f>
        <v>#N/A</v>
      </c>
      <c r="AH16" s="54" t="e">
        <f>'DIY Grundmodell'!T103</f>
        <v>#N/A</v>
      </c>
      <c r="AI16" s="89">
        <f>'DIY Grundmodell'!U103</f>
        <v>240.32</v>
      </c>
      <c r="AJ16" s="89">
        <f>'DIY Grundmodell'!V103</f>
        <v>0</v>
      </c>
      <c r="AK16" s="989"/>
      <c r="AL16" s="33">
        <f>'DIY Grundmodell'!X103</f>
        <v>4169.4813999999997</v>
      </c>
    </row>
    <row r="17" spans="2:38" ht="14.1" customHeight="1" thickBot="1" x14ac:dyDescent="0.5">
      <c r="B17" s="80" t="str">
        <f>'DIY Grundmodell'!Q16</f>
        <v>/Umsatz</v>
      </c>
      <c r="C17" s="74">
        <f>'DIY Grundmodell'!R16</f>
        <v>0.44963456111151312</v>
      </c>
      <c r="D17" s="74">
        <f>'DIY Grundmodell'!S16</f>
        <v>0.49696209381841439</v>
      </c>
      <c r="E17" s="74">
        <f>'DIY Grundmodell'!T16</f>
        <v>0.44616569361366809</v>
      </c>
      <c r="F17" s="74">
        <f>'DIY Grundmodell'!U16</f>
        <v>0.41000325332050863</v>
      </c>
      <c r="G17" s="74">
        <f>'DIY Grundmodell'!V16</f>
        <v>0.3800500203571221</v>
      </c>
      <c r="H17" s="74">
        <f>'DIY Grundmodell'!W16</f>
        <v>0.39645040660058173</v>
      </c>
      <c r="I17" s="74">
        <f>'DIY Grundmodell'!X16</f>
        <v>0.28775651965114185</v>
      </c>
      <c r="J17" s="74">
        <f>'DIY Grundmodell'!Y16</f>
        <v>0.34655527716416362</v>
      </c>
      <c r="K17" s="74">
        <f>'DIY Grundmodell'!Z16</f>
        <v>0.42176035404040096</v>
      </c>
      <c r="L17" s="77">
        <f>'DIY Grundmodell'!AA16</f>
        <v>0.41437855159579234</v>
      </c>
      <c r="M17" s="37">
        <f>'DIY Grundmodell'!AB16</f>
        <v>0.34332553561402501</v>
      </c>
      <c r="N17" s="38">
        <f>'DIY Grundmodell'!AC16</f>
        <v>0.33950998538070526</v>
      </c>
      <c r="O17" s="39">
        <f>'DIY Grundmodell'!AD16</f>
        <v>0.34185344939362244</v>
      </c>
      <c r="P17" s="86"/>
      <c r="Q17" s="86"/>
      <c r="R17" s="1" t="str">
        <f>'DIY Grundmodell'!A105</f>
        <v>LTM</v>
      </c>
      <c r="S17" s="765">
        <f>'DIY Grundmodell'!B105</f>
        <v>7.88279</v>
      </c>
      <c r="T17" s="54">
        <f>'DIY Grundmodell'!E105</f>
        <v>9.78125</v>
      </c>
      <c r="U17" s="54">
        <f>'DIY Grundmodell'!F105</f>
        <v>10.58724</v>
      </c>
      <c r="V17" s="54">
        <f>'DIY Grundmodell'!G105</f>
        <v>0.98007</v>
      </c>
      <c r="W17" s="54">
        <f>'DIY Grundmodell'!H105</f>
        <v>3.5903399999999999</v>
      </c>
      <c r="X17" s="54">
        <f>'DIY Grundmodell'!I105</f>
        <v>6.51851</v>
      </c>
      <c r="Y17" s="54">
        <f>'DIY Grundmodell'!J105</f>
        <v>2.3126500000000001</v>
      </c>
      <c r="Z17" s="54">
        <f>'DIY Grundmodell'!K105</f>
        <v>50.937060000000002</v>
      </c>
      <c r="AA17" s="54">
        <f>'DIY Grundmodell'!L105</f>
        <v>0.71057000000000003</v>
      </c>
      <c r="AB17" s="54">
        <f>'DIY Grundmodell'!M105</f>
        <v>1.1149899999999999</v>
      </c>
      <c r="AC17" s="54" t="str">
        <f>'DIY Grundmodell'!N105</f>
        <v>NM</v>
      </c>
      <c r="AD17" s="86"/>
      <c r="AE17" s="86"/>
      <c r="AF17" s="988">
        <f>'DIY Grundmodell'!R104</f>
        <v>45046</v>
      </c>
      <c r="AG17" s="89" t="e">
        <f>'DIY Grundmodell'!S104</f>
        <v>#N/A</v>
      </c>
      <c r="AH17" s="54" t="e">
        <f>'DIY Grundmodell'!T104</f>
        <v>#N/A</v>
      </c>
      <c r="AI17" s="89">
        <f>'DIY Grundmodell'!U104</f>
        <v>240.32</v>
      </c>
      <c r="AJ17" s="89">
        <f>'DIY Grundmodell'!V104</f>
        <v>0</v>
      </c>
      <c r="AK17" s="989"/>
      <c r="AL17" s="33">
        <f>'DIY Grundmodell'!X104</f>
        <v>4169.4813999999997</v>
      </c>
    </row>
    <row r="18" spans="2:38" ht="14.1" customHeight="1" x14ac:dyDescent="0.45">
      <c r="B18" s="41" t="str">
        <f>'DIY Grundmodell'!Q23</f>
        <v>Prognose</v>
      </c>
      <c r="C18" s="42" t="str">
        <f>'DIY Grundmodell'!R23</f>
        <v>LTM</v>
      </c>
      <c r="D18" s="43" t="str">
        <f>'DIY Grundmodell'!S23</f>
        <v>LTM+1</v>
      </c>
      <c r="E18" s="43" t="str">
        <f>'DIY Grundmodell'!T23</f>
        <v>LTM+2</v>
      </c>
      <c r="F18" s="43" t="str">
        <f>'DIY Grundmodell'!U23</f>
        <v>LTM+3</v>
      </c>
      <c r="G18" s="43" t="str">
        <f>'DIY Grundmodell'!V23</f>
        <v>LTM+4</v>
      </c>
      <c r="H18" s="43" t="str">
        <f>'DIY Grundmodell'!W23</f>
        <v>LTM+5</v>
      </c>
      <c r="I18" s="43" t="str">
        <f>'DIY Grundmodell'!X23</f>
        <v>LTM+6</v>
      </c>
      <c r="J18" s="43" t="str">
        <f>'DIY Grundmodell'!Y23</f>
        <v>LTM+7</v>
      </c>
      <c r="K18" s="43" t="str">
        <f>'DIY Grundmodell'!Z23</f>
        <v>LTM+8</v>
      </c>
      <c r="L18" s="43" t="str">
        <f>'DIY Grundmodell'!AA23</f>
        <v>LTM+9</v>
      </c>
      <c r="M18" s="43" t="str">
        <f>'DIY Grundmodell'!AB23</f>
        <v>LTM+10</v>
      </c>
      <c r="N18" s="44" t="str">
        <f>'DIY Grundmodell'!AC23</f>
        <v>ewig</v>
      </c>
      <c r="O18" s="44" t="str">
        <f>'DIY Grundmodell'!AD23</f>
        <v>Median</v>
      </c>
      <c r="P18" s="86"/>
      <c r="Q18" s="86"/>
      <c r="R18" s="7">
        <f>'DIY Grundmodell'!A106</f>
        <v>0</v>
      </c>
      <c r="T18" s="7">
        <f>'DIY Grundmodell'!E106</f>
        <v>0</v>
      </c>
      <c r="U18" s="7">
        <f>'DIY Grundmodell'!F106</f>
        <v>0</v>
      </c>
      <c r="V18" s="7">
        <f>'DIY Grundmodell'!G106</f>
        <v>0</v>
      </c>
      <c r="W18" s="7">
        <f>'DIY Grundmodell'!H106</f>
        <v>0</v>
      </c>
      <c r="X18" s="7">
        <f>'DIY Grundmodell'!I106</f>
        <v>0</v>
      </c>
      <c r="Y18" s="7">
        <f>'DIY Grundmodell'!J106</f>
        <v>0</v>
      </c>
      <c r="Z18" s="7">
        <f>'DIY Grundmodell'!K106</f>
        <v>0</v>
      </c>
      <c r="AA18" s="7">
        <f>'DIY Grundmodell'!L106</f>
        <v>0</v>
      </c>
      <c r="AB18" s="7">
        <f>'DIY Grundmodell'!M106</f>
        <v>0</v>
      </c>
      <c r="AC18" s="7">
        <f>'DIY Grundmodell'!N106</f>
        <v>0</v>
      </c>
      <c r="AD18" s="86"/>
      <c r="AE18" s="86"/>
      <c r="AF18" s="988">
        <f>'DIY Grundmodell'!R105</f>
        <v>45047</v>
      </c>
      <c r="AG18" s="89">
        <f>'DIY Grundmodell'!S105</f>
        <v>243.18</v>
      </c>
      <c r="AH18" s="54">
        <f>'DIY Grundmodell'!T105</f>
        <v>7087.2160299999996</v>
      </c>
      <c r="AI18" s="89">
        <f>'DIY Grundmodell'!U105</f>
        <v>243.18</v>
      </c>
      <c r="AJ18" s="89">
        <f>'DIY Grundmodell'!V105</f>
        <v>7087.2160299999996</v>
      </c>
      <c r="AK18" s="989"/>
      <c r="AL18" s="33">
        <f>'DIY Grundmodell'!X105</f>
        <v>4167.8668900000002</v>
      </c>
    </row>
    <row r="19" spans="2:38" s="31" customFormat="1" ht="14.1" customHeight="1" x14ac:dyDescent="0.45">
      <c r="B19" s="10" t="str">
        <f>'DIY Grundmodell'!Q24</f>
        <v>Umsatz</v>
      </c>
      <c r="C19" s="25">
        <f>'DIY Grundmodell'!R24</f>
        <v>200966</v>
      </c>
      <c r="D19" s="29">
        <f>'DIY Grundmodell'!S24</f>
        <v>250863.95000000004</v>
      </c>
      <c r="E19" s="29">
        <f>'DIY Grundmodell'!T24</f>
        <v>284024.38500000001</v>
      </c>
      <c r="F19" s="29">
        <f>'DIY Grundmodell'!U24</f>
        <v>316573.25038961595</v>
      </c>
      <c r="G19" s="29">
        <f>'DIY Grundmodell'!V24</f>
        <v>349874.00417806819</v>
      </c>
      <c r="H19" s="29">
        <f>'DIY Grundmodell'!W24</f>
        <v>382905.18109544076</v>
      </c>
      <c r="I19" s="29">
        <f>'DIY Grundmodell'!X24</f>
        <v>419054.79103589512</v>
      </c>
      <c r="J19" s="29">
        <f>'DIY Grundmodell'!Y24</f>
        <v>458617.24144799949</v>
      </c>
      <c r="K19" s="29">
        <f>'DIY Grundmodell'!Z24</f>
        <v>501914.73442754743</v>
      </c>
      <c r="L19" s="29">
        <f>'DIY Grundmodell'!AA24</f>
        <v>533196.26338642603</v>
      </c>
      <c r="M19" s="29">
        <f>'DIY Grundmodell'!AB24</f>
        <v>556230.34196471958</v>
      </c>
      <c r="N19" s="45">
        <f>'DIY Grundmodell'!AC24</f>
        <v>580259.49273759546</v>
      </c>
      <c r="O19" s="45">
        <f>'DIY Grundmodell'!AD24</f>
        <v>400979.98606566794</v>
      </c>
      <c r="P19" s="86"/>
      <c r="Q19" s="86"/>
      <c r="R19" s="136" t="s">
        <v>234</v>
      </c>
      <c r="S19" s="1179" t="str">
        <f>S3</f>
        <v>Meta Platforms, Inc.</v>
      </c>
      <c r="T19" s="1178" t="str">
        <f t="shared" ref="T19:AC19" si="2">T3</f>
        <v>Alphabet Inc.</v>
      </c>
      <c r="U19" s="1178" t="str">
        <f t="shared" si="2"/>
        <v>Reddit, Inc.</v>
      </c>
      <c r="V19" s="1178" t="str">
        <f t="shared" si="2"/>
        <v>Bumble Inc.</v>
      </c>
      <c r="W19" s="1178" t="str">
        <f t="shared" si="2"/>
        <v>Tencent Holdings</v>
      </c>
      <c r="X19" s="1178" t="str">
        <f t="shared" si="2"/>
        <v>Amazon.com, Inc.</v>
      </c>
      <c r="Y19" s="1178" t="str">
        <f t="shared" si="2"/>
        <v>Yelp Inc.</v>
      </c>
      <c r="Z19" s="1178" t="str">
        <f t="shared" si="2"/>
        <v>Grindr Inc.</v>
      </c>
      <c r="AA19" s="1178" t="str">
        <f t="shared" si="2"/>
        <v>IAC Inc.</v>
      </c>
      <c r="AB19" s="1178" t="str">
        <f t="shared" si="2"/>
        <v>Taboola.com Ltd.</v>
      </c>
      <c r="AC19" s="1178" t="str">
        <f t="shared" si="2"/>
        <v>Leafbuyer Technologies</v>
      </c>
      <c r="AD19" s="86"/>
      <c r="AE19" s="86"/>
      <c r="AF19" s="988">
        <f>'DIY Grundmodell'!R106</f>
        <v>45048</v>
      </c>
      <c r="AG19" s="89">
        <f>'DIY Grundmodell'!S106</f>
        <v>239.24</v>
      </c>
      <c r="AH19" s="54">
        <f>'DIY Grundmodell'!T106</f>
        <v>5825.5298899999998</v>
      </c>
      <c r="AI19" s="89">
        <f>'DIY Grundmodell'!U106</f>
        <v>239.24</v>
      </c>
      <c r="AJ19" s="89">
        <f>'DIY Grundmodell'!V106</f>
        <v>5825.5298899999998</v>
      </c>
      <c r="AK19" s="989"/>
      <c r="AL19" s="33">
        <f>'DIY Grundmodell'!X106</f>
        <v>4119.5804500000004</v>
      </c>
    </row>
    <row r="20" spans="2:38" ht="14.1" customHeight="1" collapsed="1" x14ac:dyDescent="0.45">
      <c r="B20" s="73" t="str">
        <f>'DIY Grundmodell'!Q25</f>
        <v>Entw.</v>
      </c>
      <c r="C20" s="76">
        <f>'DIY Grundmodell'!R25</f>
        <v>0.17965484855599906</v>
      </c>
      <c r="D20" s="49">
        <f>'DIY Grundmodell'!S25</f>
        <v>0.24829050685190546</v>
      </c>
      <c r="E20" s="49">
        <f>'DIY Grundmodell'!T25</f>
        <v>0.13218493530058822</v>
      </c>
      <c r="F20" s="49">
        <f>'DIY Grundmodell'!U25</f>
        <v>0.11459884118617475</v>
      </c>
      <c r="G20" s="49">
        <f>'DIY Grundmodell'!V25</f>
        <v>0.10519130642740031</v>
      </c>
      <c r="H20" s="49">
        <f>'DIY Grundmodell'!W25</f>
        <v>9.440877722530458E-2</v>
      </c>
      <c r="I20" s="49">
        <f>'DIY Grundmodell'!X25</f>
        <v>9.440877722530458E-2</v>
      </c>
      <c r="J20" s="49">
        <f>'DIY Grundmodell'!Y25</f>
        <v>9.440877722530458E-2</v>
      </c>
      <c r="K20" s="49">
        <f>'DIY Grundmodell'!Z25</f>
        <v>9.440877722530458E-2</v>
      </c>
      <c r="L20" s="49">
        <f>'DIY Grundmodell'!AA25</f>
        <v>6.2324388612652291E-2</v>
      </c>
      <c r="M20" s="95">
        <f>'DIY Grundmodell'!AB25</f>
        <v>4.3200000000000002E-2</v>
      </c>
      <c r="N20" s="97">
        <f>'DIY Grundmodell'!AC25</f>
        <v>4.3199999999999905E-2</v>
      </c>
      <c r="O20" s="97">
        <f>'DIY Grundmodell'!AD25</f>
        <v>9.440877722530458E-2</v>
      </c>
      <c r="P20" s="146"/>
      <c r="Q20" s="86"/>
      <c r="R20" s="136" t="str">
        <f>'DIY Grundmodell'!A108</f>
        <v>Umsatzwachstum p.a.</v>
      </c>
      <c r="S20" s="1180"/>
      <c r="T20" s="1178"/>
      <c r="U20" s="1178"/>
      <c r="V20" s="1178"/>
      <c r="W20" s="1178"/>
      <c r="X20" s="1178"/>
      <c r="Y20" s="1178"/>
      <c r="Z20" s="1178"/>
      <c r="AA20" s="1178"/>
      <c r="AB20" s="1178"/>
      <c r="AC20" s="1178"/>
      <c r="AD20" s="86"/>
      <c r="AE20" s="86"/>
      <c r="AF20" s="988">
        <f>'DIY Grundmodell'!R107</f>
        <v>45049</v>
      </c>
      <c r="AG20" s="89">
        <f>'DIY Grundmodell'!S107</f>
        <v>237.03</v>
      </c>
      <c r="AH20" s="54">
        <f>'DIY Grundmodell'!T107</f>
        <v>8168.9687400000003</v>
      </c>
      <c r="AI20" s="89">
        <f>'DIY Grundmodell'!U107</f>
        <v>237.03</v>
      </c>
      <c r="AJ20" s="89">
        <f>'DIY Grundmodell'!V107</f>
        <v>8168.9687400000003</v>
      </c>
      <c r="AK20" s="989"/>
      <c r="AL20" s="33">
        <f>'DIY Grundmodell'!X107</f>
        <v>4090.7522199999999</v>
      </c>
    </row>
    <row r="21" spans="2:38" s="31" customFormat="1" ht="14.1" customHeight="1" x14ac:dyDescent="0.45">
      <c r="B21" s="32" t="str">
        <f>'DIY Grundmodell'!Q26</f>
        <v>EBIT</v>
      </c>
      <c r="C21" s="34">
        <f>'DIY Grundmodell'!R26</f>
        <v>84075.919760000004</v>
      </c>
      <c r="D21" s="33">
        <f>'DIY Grundmodell'!S26</f>
        <v>77515.200000000012</v>
      </c>
      <c r="E21" s="33">
        <f>'DIY Grundmodell'!T26</f>
        <v>86786.203319202425</v>
      </c>
      <c r="F21" s="33">
        <f>'DIY Grundmodell'!U26</f>
        <v>97399.491868297016</v>
      </c>
      <c r="G21" s="33">
        <f>'DIY Grundmodell'!V26</f>
        <v>108878.24486030487</v>
      </c>
      <c r="H21" s="33">
        <f>'DIY Grundmodell'!W26</f>
        <v>120506.90239465765</v>
      </c>
      <c r="I21" s="33">
        <f>'DIY Grundmodell'!X26</f>
        <v>133360.82093517465</v>
      </c>
      <c r="J21" s="33">
        <f>'DIY Grundmodell'!Y26</f>
        <v>147567.7048437871</v>
      </c>
      <c r="K21" s="33">
        <f>'DIY Grundmodell'!Z26</f>
        <v>163268.45053529541</v>
      </c>
      <c r="L21" s="33">
        <f>'DIY Grundmodell'!AA26</f>
        <v>175323.37154193208</v>
      </c>
      <c r="M21" s="33">
        <f>'DIY Grundmodell'!AB26</f>
        <v>184857.84223259581</v>
      </c>
      <c r="N21" s="46">
        <f>'DIY Grundmodell'!AC26</f>
        <v>192843.70101704393</v>
      </c>
      <c r="O21" s="46">
        <f>'DIY Grundmodell'!AD26</f>
        <v>126933.86166491616</v>
      </c>
      <c r="P21" s="86"/>
      <c r="Q21" s="86"/>
      <c r="R21" s="1" t="str">
        <f>'DIY Grundmodell'!A109</f>
        <v>LTM/LTM-1</v>
      </c>
      <c r="S21" s="766">
        <f>'DIY Grundmodell'!B109</f>
        <v>0.17965484855599906</v>
      </c>
      <c r="T21" s="134">
        <f>'DIY Grundmodell'!E109</f>
        <v>0.15090000000000001</v>
      </c>
      <c r="U21" s="134">
        <f>'DIY Grundmodell'!F109</f>
        <v>0.69396800000000003</v>
      </c>
      <c r="V21" s="134">
        <f>'DIY Grundmodell'!G109</f>
        <v>-9.8900000000000002E-2</v>
      </c>
      <c r="W21" s="134">
        <f>'DIY Grundmodell'!H109</f>
        <v>0.138596</v>
      </c>
      <c r="X21" s="134">
        <f>'DIY Grundmodell'!I109</f>
        <v>0.123777</v>
      </c>
      <c r="Y21" s="134">
        <f>'DIY Grundmodell'!J109</f>
        <v>3.7456000000000003E-2</v>
      </c>
      <c r="Z21" s="134">
        <f>'DIY Grundmodell'!K109</f>
        <v>0.27641300000000002</v>
      </c>
      <c r="AA21" s="134">
        <f>'DIY Grundmodell'!L109</f>
        <v>-8.7307999999999997E-2</v>
      </c>
      <c r="AB21" s="134">
        <f>'DIY Grundmodell'!M109</f>
        <v>8.2559999999999995E-2</v>
      </c>
      <c r="AC21" s="134">
        <f>'DIY Grundmodell'!N109</f>
        <v>-0.19658300000000001</v>
      </c>
      <c r="AD21" s="86"/>
      <c r="AE21" s="86"/>
      <c r="AF21" s="988">
        <f>'DIY Grundmodell'!R108</f>
        <v>45050</v>
      </c>
      <c r="AG21" s="89">
        <f>'DIY Grundmodell'!S108</f>
        <v>233.52</v>
      </c>
      <c r="AH21" s="54">
        <f>'DIY Grundmodell'!T108</f>
        <v>4177.53035</v>
      </c>
      <c r="AI21" s="89">
        <f>'DIY Grundmodell'!U108</f>
        <v>233.52</v>
      </c>
      <c r="AJ21" s="89">
        <f>'DIY Grundmodell'!V108</f>
        <v>4177.53035</v>
      </c>
      <c r="AK21" s="989"/>
      <c r="AL21" s="33">
        <f>'DIY Grundmodell'!X108</f>
        <v>4061.2168900000001</v>
      </c>
    </row>
    <row r="22" spans="2:38" s="31" customFormat="1" ht="14.1" customHeight="1" x14ac:dyDescent="0.45">
      <c r="B22" s="80" t="str">
        <f>'DIY Grundmodell'!Q27</f>
        <v>/Umsatz</v>
      </c>
      <c r="C22" s="77">
        <f>'DIY Grundmodell'!R27</f>
        <v>0.41835892519132589</v>
      </c>
      <c r="D22" s="74">
        <f>'DIY Grundmodell'!S27</f>
        <v>0.30899298205262254</v>
      </c>
      <c r="E22" s="74">
        <f>'DIY Grundmodell'!T27</f>
        <v>0.30555898684263472</v>
      </c>
      <c r="F22" s="74">
        <f>'DIY Grundmodell'!U27</f>
        <v>0.30766810445426018</v>
      </c>
      <c r="G22" s="74">
        <f>'DIY Grundmodell'!V27</f>
        <v>0.31119272526715458</v>
      </c>
      <c r="H22" s="74">
        <f>'DIY Grundmodell'!W27</f>
        <v>0.31471734608004898</v>
      </c>
      <c r="I22" s="74">
        <f>'DIY Grundmodell'!X27</f>
        <v>0.31824196689294337</v>
      </c>
      <c r="J22" s="74">
        <f>'DIY Grundmodell'!Y27</f>
        <v>0.32176658770583777</v>
      </c>
      <c r="K22" s="74">
        <f>'DIY Grundmodell'!Z27</f>
        <v>0.32529120851873217</v>
      </c>
      <c r="L22" s="74">
        <f>'DIY Grundmodell'!AA27</f>
        <v>0.32881582933162656</v>
      </c>
      <c r="M22" s="74">
        <f>'DIY Grundmodell'!AB27</f>
        <v>0.33234045014452107</v>
      </c>
      <c r="N22" s="98">
        <f>'DIY Grundmodell'!AC27</f>
        <v>0.33234045014452107</v>
      </c>
      <c r="O22" s="98">
        <f>'DIY Grundmodell'!AD27</f>
        <v>0.31647965648649617</v>
      </c>
      <c r="P22" s="86"/>
      <c r="Q22" s="86"/>
      <c r="R22" s="1" t="str">
        <f>'DIY Grundmodell'!A110</f>
        <v>über 2 Jahre</v>
      </c>
      <c r="S22" s="766">
        <f>'DIY Grundmodell'!B110</f>
        <v>0.22054000000000001</v>
      </c>
      <c r="T22" s="134">
        <f>'DIY Grundmodell'!E110</f>
        <v>0.144765</v>
      </c>
      <c r="U22" s="134">
        <f>'DIY Grundmodell'!F110</f>
        <v>0.65509399999999995</v>
      </c>
      <c r="V22" s="134">
        <f>'DIY Grundmodell'!G110</f>
        <v>-4.1838E-2</v>
      </c>
      <c r="W22" s="134">
        <f>'DIY Grundmodell'!H110</f>
        <v>0.11103399999999999</v>
      </c>
      <c r="X22" s="134">
        <f>'DIY Grundmodell'!I110</f>
        <v>0.11682099999999999</v>
      </c>
      <c r="Y22" s="134">
        <f>'DIY Grundmodell'!J110</f>
        <v>4.6733999999999998E-2</v>
      </c>
      <c r="Z22" s="134">
        <f>'DIY Grundmodell'!K110</f>
        <v>0.30151</v>
      </c>
      <c r="AA22" s="134">
        <f>'DIY Grundmodell'!L110</f>
        <v>-9.4598000000000002E-2</v>
      </c>
      <c r="AB22" s="134">
        <f>'DIY Grundmodell'!M110</f>
        <v>0.15243000000000001</v>
      </c>
      <c r="AC22" s="134">
        <f>'DIY Grundmodell'!N110</f>
        <v>-1.3802E-2</v>
      </c>
      <c r="AD22" s="86"/>
      <c r="AE22" s="86"/>
      <c r="AF22" s="988">
        <f>'DIY Grundmodell'!R109</f>
        <v>45051</v>
      </c>
      <c r="AG22" s="89">
        <f>'DIY Grundmodell'!S109</f>
        <v>232.78</v>
      </c>
      <c r="AH22" s="54">
        <f>'DIY Grundmodell'!T109</f>
        <v>6285.17173</v>
      </c>
      <c r="AI22" s="89">
        <f>'DIY Grundmodell'!U109</f>
        <v>232.78</v>
      </c>
      <c r="AJ22" s="89">
        <f>'DIY Grundmodell'!V109</f>
        <v>6285.17173</v>
      </c>
      <c r="AK22" s="989"/>
      <c r="AL22" s="33">
        <f>'DIY Grundmodell'!X109</f>
        <v>4136.25335</v>
      </c>
    </row>
    <row r="23" spans="2:38" ht="14.1" customHeight="1" x14ac:dyDescent="0.45">
      <c r="B23" s="10" t="str">
        <f>'DIY Grundmodell'!Q28</f>
        <v>Sonst</v>
      </c>
      <c r="C23" s="25">
        <f>'DIY Grundmodell'!R28</f>
        <v>21773</v>
      </c>
      <c r="D23" s="29">
        <f>'DIY Grundmodell'!S28</f>
        <v>171</v>
      </c>
      <c r="E23" s="29">
        <f>'DIY Grundmodell'!T28</f>
        <v>178.38719999999998</v>
      </c>
      <c r="F23" s="29">
        <f>'DIY Grundmodell'!U28</f>
        <v>186.09352703999997</v>
      </c>
      <c r="G23" s="29">
        <f>'DIY Grundmodell'!V28</f>
        <v>194.13276740812796</v>
      </c>
      <c r="H23" s="29">
        <f>'DIY Grundmodell'!W28</f>
        <v>202.51930296015908</v>
      </c>
      <c r="I23" s="29">
        <f>'DIY Grundmodell'!X28</f>
        <v>211.26813684803793</v>
      </c>
      <c r="J23" s="29">
        <f>'DIY Grundmodell'!Y28</f>
        <v>220.39492035987314</v>
      </c>
      <c r="K23" s="29">
        <f>'DIY Grundmodell'!Z28</f>
        <v>229.91598091941964</v>
      </c>
      <c r="L23" s="29">
        <f>'DIY Grundmodell'!AA28</f>
        <v>239.84835129513854</v>
      </c>
      <c r="M23" s="29">
        <f>'DIY Grundmodell'!AB28</f>
        <v>250.20980007108849</v>
      </c>
      <c r="N23" s="45">
        <f>'DIY Grundmodell'!AC28</f>
        <v>261.01886343415947</v>
      </c>
      <c r="O23" s="99">
        <f>'DIY Grundmodell'!AD28</f>
        <v>206.8937199040985</v>
      </c>
      <c r="P23" s="86"/>
      <c r="Q23" s="86"/>
      <c r="R23" s="1" t="str">
        <f>'DIY Grundmodell'!A111</f>
        <v>über 3 Jahre</v>
      </c>
      <c r="S23" s="766">
        <f>'DIY Grundmodell'!B111</f>
        <v>0.198938</v>
      </c>
      <c r="T23" s="134">
        <f>'DIY Grundmodell'!E111</f>
        <v>0.12511700000000001</v>
      </c>
      <c r="U23" s="134">
        <f>'DIY Grundmodell'!F111</f>
        <v>0.48934499999999997</v>
      </c>
      <c r="V23" s="134">
        <f>'DIY Grundmodell'!G111</f>
        <v>2.2423999999999999E-2</v>
      </c>
      <c r="W23" s="134">
        <f>'DIY Grundmodell'!H111</f>
        <v>0.106743</v>
      </c>
      <c r="X23" s="134">
        <f>'DIY Grundmodell'!I111</f>
        <v>0.117313</v>
      </c>
      <c r="Y23" s="134">
        <f>'DIY Grundmodell'!J111</f>
        <v>7.0696999999999996E-2</v>
      </c>
      <c r="Z23" s="134">
        <f>'DIY Grundmodell'!K111</f>
        <v>0.31147900000000001</v>
      </c>
      <c r="AA23" s="134">
        <f>'DIY Grundmodell'!L111</f>
        <v>-0.22966600000000001</v>
      </c>
      <c r="AB23" s="134">
        <f>'DIY Grundmodell'!M111</f>
        <v>0.109185</v>
      </c>
      <c r="AC23" s="134">
        <f>'DIY Grundmodell'!N111</f>
        <v>4.1154999999999997E-2</v>
      </c>
      <c r="AD23" s="86"/>
      <c r="AE23" s="86"/>
      <c r="AF23" s="988">
        <f>'DIY Grundmodell'!R110</f>
        <v>45052</v>
      </c>
      <c r="AG23" s="89" t="e">
        <f>'DIY Grundmodell'!S110</f>
        <v>#N/A</v>
      </c>
      <c r="AH23" s="54" t="e">
        <f>'DIY Grundmodell'!T110</f>
        <v>#N/A</v>
      </c>
      <c r="AI23" s="89">
        <f>'DIY Grundmodell'!U110</f>
        <v>232.78</v>
      </c>
      <c r="AJ23" s="89">
        <f>'DIY Grundmodell'!V110</f>
        <v>0</v>
      </c>
      <c r="AK23" s="989"/>
      <c r="AL23" s="33">
        <f>'DIY Grundmodell'!X110</f>
        <v>4136.25335</v>
      </c>
    </row>
    <row r="24" spans="2:38" ht="14.1" customHeight="1" x14ac:dyDescent="0.45">
      <c r="B24" s="10" t="str">
        <f>'DIY Grundmodell'!Q29</f>
        <v>Steuer</v>
      </c>
      <c r="C24" s="25">
        <f>'DIY Grundmodell'!R29</f>
        <v>-25474</v>
      </c>
      <c r="D24" s="29">
        <f>'DIY Grundmodell'!S29</f>
        <v>-10708.828413667219</v>
      </c>
      <c r="E24" s="29">
        <f>'DIY Grundmodell'!T29</f>
        <v>-13071.53103193499</v>
      </c>
      <c r="F24" s="29">
        <f>'DIY Grundmodell'!U29</f>
        <v>-15884.013261887996</v>
      </c>
      <c r="G24" s="29">
        <f>'DIY Grundmodell'!V29</f>
        <v>-19112.915760616841</v>
      </c>
      <c r="H24" s="29">
        <f>'DIY Grundmodell'!W29</f>
        <v>-22656.302892991167</v>
      </c>
      <c r="I24" s="29">
        <f>'DIY Grundmodell'!X29</f>
        <v>-26735.031966914714</v>
      </c>
      <c r="J24" s="29">
        <f>'DIY Grundmodell'!Y29</f>
        <v>-31422.077279726724</v>
      </c>
      <c r="K24" s="29">
        <f>'DIY Grundmodell'!Z29</f>
        <v>-36799.748800466172</v>
      </c>
      <c r="L24" s="29">
        <f>'DIY Grundmodell'!AA29</f>
        <v>-41703.038383373612</v>
      </c>
      <c r="M24" s="29">
        <f>'DIY Grundmodell'!AB29</f>
        <v>-46277.013008166723</v>
      </c>
      <c r="N24" s="45">
        <f>'DIY Grundmodell'!AC29</f>
        <v>-48276.17997011952</v>
      </c>
      <c r="O24" s="45">
        <f>'DIY Grundmodell'!AD29</f>
        <v>-24695.66742995294</v>
      </c>
      <c r="P24" s="86"/>
      <c r="Q24" s="86"/>
      <c r="R24" s="136" t="str">
        <f>'DIY Grundmodell'!A112</f>
        <v>EBIT-Marge</v>
      </c>
      <c r="S24" s="764"/>
      <c r="T24" s="138"/>
      <c r="U24" s="138"/>
      <c r="V24" s="138"/>
      <c r="W24" s="138"/>
      <c r="X24" s="138"/>
      <c r="Y24" s="138"/>
      <c r="Z24" s="138"/>
      <c r="AA24" s="138"/>
      <c r="AB24" s="138"/>
      <c r="AC24" s="138"/>
      <c r="AD24" s="86"/>
      <c r="AE24" s="86"/>
      <c r="AF24" s="988">
        <f>'DIY Grundmodell'!R111</f>
        <v>45053</v>
      </c>
      <c r="AG24" s="89" t="e">
        <f>'DIY Grundmodell'!S111</f>
        <v>#N/A</v>
      </c>
      <c r="AH24" s="54" t="e">
        <f>'DIY Grundmodell'!T111</f>
        <v>#N/A</v>
      </c>
      <c r="AI24" s="89">
        <f>'DIY Grundmodell'!U111</f>
        <v>232.78</v>
      </c>
      <c r="AJ24" s="89">
        <f>'DIY Grundmodell'!V111</f>
        <v>0</v>
      </c>
      <c r="AK24" s="989"/>
      <c r="AL24" s="33">
        <f>'DIY Grundmodell'!X111</f>
        <v>4136.25335</v>
      </c>
    </row>
    <row r="25" spans="2:38" s="31" customFormat="1" ht="14.1" customHeight="1" x14ac:dyDescent="0.45">
      <c r="B25" s="73" t="str">
        <f>'DIY Grundmodell'!Q30</f>
        <v>S-Quote</v>
      </c>
      <c r="C25" s="76">
        <f>'DIY Grundmodell'!R30</f>
        <v>0.2406637692454425</v>
      </c>
      <c r="D25" s="49">
        <f>'DIY Grundmodell'!S30</f>
        <v>0.13784724202840681</v>
      </c>
      <c r="E25" s="49">
        <f>'DIY Grundmodell'!T30</f>
        <v>0.15030865958080605</v>
      </c>
      <c r="F25" s="49">
        <f>'DIY Grundmodell'!U30</f>
        <v>0.16277007713320529</v>
      </c>
      <c r="G25" s="49">
        <f>'DIY Grundmodell'!V30</f>
        <v>0.17523149468560453</v>
      </c>
      <c r="H25" s="49">
        <f>'DIY Grundmodell'!W30</f>
        <v>0.18769291223800375</v>
      </c>
      <c r="I25" s="49">
        <f>'DIY Grundmodell'!X30</f>
        <v>0.20015432979040301</v>
      </c>
      <c r="J25" s="49">
        <f>'DIY Grundmodell'!Y30</f>
        <v>0.21261574734280225</v>
      </c>
      <c r="K25" s="49">
        <f>'DIY Grundmodell'!Z30</f>
        <v>0.22507716489520146</v>
      </c>
      <c r="L25" s="49">
        <f>'DIY Grundmodell'!AA30</f>
        <v>0.23753858244760076</v>
      </c>
      <c r="M25" s="49">
        <f>'DIY Grundmodell'!AB30</f>
        <v>0.25</v>
      </c>
      <c r="N25" s="75">
        <f>'DIY Grundmodell'!AC30</f>
        <v>0.25</v>
      </c>
      <c r="O25" s="75">
        <f>'DIY Grundmodell'!AD30</f>
        <v>0.19392362101420338</v>
      </c>
      <c r="P25" s="86"/>
      <c r="Q25" s="86"/>
      <c r="R25" s="1" t="str">
        <f>'DIY Grundmodell'!A113</f>
        <v>Letzter JA</v>
      </c>
      <c r="S25" s="766">
        <f>'DIY Grundmodell'!B113</f>
        <v>0.41437855159579234</v>
      </c>
      <c r="T25" s="134">
        <f>'DIY Grundmodell'!E113</f>
        <v>0.320326</v>
      </c>
      <c r="U25" s="134">
        <f>'DIY Grundmodell'!F113</f>
        <v>0.20067299999999999</v>
      </c>
      <c r="V25" s="134">
        <f>'DIY Grundmodell'!G113</f>
        <v>0.261374</v>
      </c>
      <c r="W25" s="134">
        <f>'DIY Grundmodell'!H113</f>
        <v>0.32673400000000002</v>
      </c>
      <c r="X25" s="134">
        <f>'DIY Grundmodell'!I113</f>
        <v>0.111552</v>
      </c>
      <c r="Y25" s="134">
        <f>'DIY Grundmodell'!J113</f>
        <v>0.12862699999999999</v>
      </c>
      <c r="Z25" s="134">
        <f>'DIY Grundmodell'!K113</f>
        <v>0.300535</v>
      </c>
      <c r="AA25" s="134">
        <f>'DIY Grundmodell'!L113</f>
        <v>4.5719000000000003E-2</v>
      </c>
      <c r="AB25" s="134">
        <f>'DIY Grundmodell'!M113</f>
        <v>2.3040999999999999E-2</v>
      </c>
      <c r="AC25" s="134">
        <f>'DIY Grundmodell'!N113</f>
        <v>4.6691999999999997E-2</v>
      </c>
      <c r="AD25" s="86"/>
      <c r="AE25" s="86"/>
      <c r="AF25" s="988">
        <f>'DIY Grundmodell'!R112</f>
        <v>45054</v>
      </c>
      <c r="AG25" s="89">
        <f>'DIY Grundmodell'!S112</f>
        <v>233.27</v>
      </c>
      <c r="AH25" s="54">
        <f>'DIY Grundmodell'!T112</f>
        <v>3825.7516300000002</v>
      </c>
      <c r="AI25" s="89">
        <f>'DIY Grundmodell'!U112</f>
        <v>233.27</v>
      </c>
      <c r="AJ25" s="89">
        <f>'DIY Grundmodell'!V112</f>
        <v>3825.7516300000002</v>
      </c>
      <c r="AK25" s="989"/>
      <c r="AL25" s="33">
        <f>'DIY Grundmodell'!X112</f>
        <v>4138.1229800000001</v>
      </c>
    </row>
    <row r="26" spans="2:38" ht="14.1" customHeight="1" x14ac:dyDescent="0.45">
      <c r="B26" s="40" t="str">
        <f>'DIY Grundmodell'!Q31</f>
        <v>EBIT-T</v>
      </c>
      <c r="C26" s="34"/>
      <c r="D26" s="33">
        <f>'DIY Grundmodell'!S31</f>
        <v>66977.371586332796</v>
      </c>
      <c r="E26" s="33">
        <f>'DIY Grundmodell'!T31</f>
        <v>73893.059487267426</v>
      </c>
      <c r="F26" s="33">
        <f>'DIY Grundmodell'!U31</f>
        <v>81701.572133449008</v>
      </c>
      <c r="G26" s="33">
        <f>'DIY Grundmodell'!V31</f>
        <v>89959.46186709615</v>
      </c>
      <c r="H26" s="33">
        <f>'DIY Grundmodell'!W31</f>
        <v>98053.118804626647</v>
      </c>
      <c r="I26" s="33">
        <f>'DIY Grundmodell'!X31</f>
        <v>106837.05710510796</v>
      </c>
      <c r="J26" s="33">
        <f>'DIY Grundmodell'!Y31</f>
        <v>116366.02248442023</v>
      </c>
      <c r="K26" s="33">
        <f>'DIY Grundmodell'!Z31</f>
        <v>126698.61771574865</v>
      </c>
      <c r="L26" s="33">
        <f>'DIY Grundmodell'!AA31</f>
        <v>133860.1815098536</v>
      </c>
      <c r="M26" s="33">
        <f>'DIY Grundmodell'!AB31</f>
        <v>138831.03902450018</v>
      </c>
      <c r="N26" s="46">
        <f>'DIY Grundmodell'!AC31</f>
        <v>144828.53991035855</v>
      </c>
      <c r="O26" s="46">
        <f>'DIY Grundmodell'!AD31</f>
        <v>102445.08795486731</v>
      </c>
      <c r="P26" s="86"/>
      <c r="Q26" s="86"/>
      <c r="R26" s="1" t="str">
        <f>'DIY Grundmodell'!A114</f>
        <v>LTM</v>
      </c>
      <c r="S26" s="767">
        <f>'DIY Grundmodell'!B114</f>
        <v>0.41835892519132589</v>
      </c>
      <c r="T26" s="134">
        <f>'DIY Grundmodell'!E114</f>
        <v>0.320326</v>
      </c>
      <c r="U26" s="134">
        <f>'DIY Grundmodell'!F114</f>
        <v>0.20067299999999999</v>
      </c>
      <c r="V26" s="134">
        <f>'DIY Grundmodell'!G114</f>
        <v>0.261374</v>
      </c>
      <c r="W26" s="134">
        <f>'DIY Grundmodell'!H114</f>
        <v>0.32673400000000002</v>
      </c>
      <c r="X26" s="134">
        <f>'DIY Grundmodell'!I114</f>
        <v>0.111552</v>
      </c>
      <c r="Y26" s="134">
        <f>'DIY Grundmodell'!J114</f>
        <v>0.12862699999999999</v>
      </c>
      <c r="Z26" s="134">
        <f>'DIY Grundmodell'!K114</f>
        <v>0.300535</v>
      </c>
      <c r="AA26" s="134">
        <f>'DIY Grundmodell'!L114</f>
        <v>4.5719000000000003E-2</v>
      </c>
      <c r="AB26" s="134">
        <f>'DIY Grundmodell'!M114</f>
        <v>2.3040999999999999E-2</v>
      </c>
      <c r="AC26" s="134">
        <f>'DIY Grundmodell'!N114</f>
        <v>1.5488E-2</v>
      </c>
      <c r="AD26" s="86"/>
      <c r="AE26" s="86"/>
      <c r="AF26" s="988">
        <f>'DIY Grundmodell'!R113</f>
        <v>45055</v>
      </c>
      <c r="AG26" s="89">
        <f>'DIY Grundmodell'!S113</f>
        <v>233.37</v>
      </c>
      <c r="AH26" s="54">
        <f>'DIY Grundmodell'!T113</f>
        <v>3935.92274</v>
      </c>
      <c r="AI26" s="89">
        <f>'DIY Grundmodell'!U113</f>
        <v>233.37</v>
      </c>
      <c r="AJ26" s="89">
        <f>'DIY Grundmodell'!V113</f>
        <v>3935.92274</v>
      </c>
      <c r="AK26" s="989"/>
      <c r="AL26" s="33">
        <f>'DIY Grundmodell'!X113</f>
        <v>4119.1733700000004</v>
      </c>
    </row>
    <row r="27" spans="2:38" s="31" customFormat="1" ht="14.1" customHeight="1" x14ac:dyDescent="0.45">
      <c r="B27" s="80" t="str">
        <f>'DIY Grundmodell'!Q32</f>
        <v>Entw.</v>
      </c>
      <c r="C27" s="77"/>
      <c r="D27" s="74">
        <f>'DIY Grundmodell'!S32</f>
        <v>-0.16668816856890645</v>
      </c>
      <c r="E27" s="74">
        <f>'DIY Grundmodell'!T32</f>
        <v>0.10325409518378037</v>
      </c>
      <c r="F27" s="74">
        <f>'DIY Grundmodell'!U32</f>
        <v>0.10567315388432497</v>
      </c>
      <c r="G27" s="74">
        <f>'DIY Grundmodell'!V32</f>
        <v>0.10107381679460148</v>
      </c>
      <c r="H27" s="74">
        <f>'DIY Grundmodell'!W32</f>
        <v>8.9970046169105089E-2</v>
      </c>
      <c r="I27" s="74">
        <f>'DIY Grundmodell'!X32</f>
        <v>8.9583466671606216E-2</v>
      </c>
      <c r="J27" s="74">
        <f>'DIY Grundmodell'!Y32</f>
        <v>8.9191574885271629E-2</v>
      </c>
      <c r="K27" s="74">
        <f>'DIY Grundmodell'!Z32</f>
        <v>8.8793919485490758E-2</v>
      </c>
      <c r="L27" s="74">
        <f>'DIY Grundmodell'!AA32</f>
        <v>5.6524403527212108E-2</v>
      </c>
      <c r="M27" s="74">
        <f>'DIY Grundmodell'!AB32</f>
        <v>3.7134698747443906E-2</v>
      </c>
      <c r="N27" s="98">
        <f>'DIY Grundmodell'!AC32</f>
        <v>4.3199999999999683E-2</v>
      </c>
      <c r="O27" s="98">
        <f>'DIY Grundmodell'!AD32</f>
        <v>8.9387520778438923E-2</v>
      </c>
      <c r="P27" s="86"/>
      <c r="Q27" s="86"/>
      <c r="R27" s="7"/>
      <c r="S27" s="7"/>
      <c r="T27" s="7"/>
      <c r="U27" s="7"/>
      <c r="V27" s="7"/>
      <c r="W27" s="7"/>
      <c r="X27" s="7"/>
      <c r="Y27" s="7"/>
      <c r="Z27" s="7"/>
      <c r="AA27" s="7"/>
      <c r="AB27" s="7"/>
      <c r="AC27" s="7"/>
      <c r="AD27" s="86"/>
      <c r="AE27" s="86"/>
      <c r="AF27" s="988">
        <f>'DIY Grundmodell'!R114</f>
        <v>45056</v>
      </c>
      <c r="AG27" s="89">
        <f>'DIY Grundmodell'!S114</f>
        <v>233.08</v>
      </c>
      <c r="AH27" s="54">
        <f>'DIY Grundmodell'!T114</f>
        <v>4456.2588500000002</v>
      </c>
      <c r="AI27" s="89">
        <f>'DIY Grundmodell'!U114</f>
        <v>233.08</v>
      </c>
      <c r="AJ27" s="89">
        <f>'DIY Grundmodell'!V114</f>
        <v>4456.2588500000002</v>
      </c>
      <c r="AK27" s="989"/>
      <c r="AL27" s="33">
        <f>'DIY Grundmodell'!X114</f>
        <v>4137.6421899999996</v>
      </c>
    </row>
    <row r="28" spans="2:38" ht="14.1" customHeight="1" x14ac:dyDescent="0.45">
      <c r="B28" s="47" t="s">
        <v>68</v>
      </c>
      <c r="C28" s="25"/>
      <c r="D28" s="29">
        <f>'DIY Grundmodell'!S33</f>
        <v>-62961.024085475874</v>
      </c>
      <c r="E28" s="29">
        <f>'DIY Grundmodell'!T33</f>
        <v>-69471.685815684832</v>
      </c>
      <c r="F28" s="29">
        <f>'DIY Grundmodell'!U33</f>
        <v>-63454.550622434559</v>
      </c>
      <c r="G28" s="29">
        <f>'DIY Grundmodell'!V33</f>
        <v>-50855.290879811721</v>
      </c>
      <c r="H28" s="29">
        <f>'DIY Grundmodell'!W33</f>
        <v>-50172.532614824369</v>
      </c>
      <c r="I28" s="29">
        <f>'DIY Grundmodell'!X33</f>
        <v>-23017.272680241913</v>
      </c>
      <c r="J28" s="29">
        <f>'DIY Grundmodell'!Y33</f>
        <v>-25190.305249044988</v>
      </c>
      <c r="K28" s="29">
        <f>'DIY Grundmodell'!Z33</f>
        <v>-18199.466271712517</v>
      </c>
      <c r="L28" s="29">
        <f>'DIY Grundmodell'!AA33</f>
        <v>-13401.133197060248</v>
      </c>
      <c r="M28" s="29">
        <f>'DIY Grundmodell'!AB33</f>
        <v>-13980.06215117327</v>
      </c>
      <c r="N28" s="45">
        <f>'DIY Grundmodell'!AC33</f>
        <v>-37711.656040744274</v>
      </c>
      <c r="O28" s="45">
        <f>'DIY Grundmodell'!AD33</f>
        <v>-37681.418931934677</v>
      </c>
      <c r="P28" s="86"/>
      <c r="Q28" s="86"/>
      <c r="AD28" s="86"/>
      <c r="AE28" s="86"/>
      <c r="AF28" s="988">
        <f>'DIY Grundmodell'!R115</f>
        <v>45057</v>
      </c>
      <c r="AG28" s="89">
        <f>'DIY Grundmodell'!S115</f>
        <v>235.79</v>
      </c>
      <c r="AH28" s="54">
        <f>'DIY Grundmodell'!T115</f>
        <v>4821.6673499999997</v>
      </c>
      <c r="AI28" s="89">
        <f>'DIY Grundmodell'!U115</f>
        <v>235.79</v>
      </c>
      <c r="AJ28" s="89">
        <f>'DIY Grundmodell'!V115</f>
        <v>4821.6673499999997</v>
      </c>
      <c r="AK28" s="989"/>
      <c r="AL28" s="33">
        <f>'DIY Grundmodell'!X115</f>
        <v>4130.6212699999996</v>
      </c>
    </row>
    <row r="29" spans="2:38" ht="14.1" customHeight="1" x14ac:dyDescent="0.45">
      <c r="B29" s="73" t="str">
        <f>'DIY Grundmodell'!Q34</f>
        <v>Umsatzzuwachs/Reinvest</v>
      </c>
      <c r="C29" s="76"/>
      <c r="D29" s="96">
        <f>'DIY Grundmodell'!S34</f>
        <v>0.52668195096352577</v>
      </c>
      <c r="E29" s="96">
        <f>'DIY Grundmodell'!T34</f>
        <v>0.46851987262798339</v>
      </c>
      <c r="F29" s="96">
        <f>'DIY Grundmodell'!U34</f>
        <v>0.52479693673346506</v>
      </c>
      <c r="G29" s="96">
        <f>'DIY Grundmodell'!V34</f>
        <v>0.6495130859724394</v>
      </c>
      <c r="H29" s="96">
        <f>'DIY Grundmodell'!W34</f>
        <v>0.72050598318358194</v>
      </c>
      <c r="I29" s="96">
        <f>'DIY Grundmodell'!X34</f>
        <v>1.7188157329371556</v>
      </c>
      <c r="J29" s="96">
        <f>'DIY Grundmodell'!Y34</f>
        <v>1.7188157329371556</v>
      </c>
      <c r="K29" s="96">
        <f>'DIY Grundmodell'!Z34</f>
        <v>1.7188157329371558</v>
      </c>
      <c r="L29" s="96">
        <f>'DIY Grundmodell'!AA34</f>
        <v>1.7188157329371556</v>
      </c>
      <c r="M29" s="96">
        <f>'DIY Grundmodell'!AB34</f>
        <v>1.7188157329371556</v>
      </c>
      <c r="N29" s="101">
        <f>'DIY Grundmodell'!AC34</f>
        <v>0.66470722100299839</v>
      </c>
      <c r="O29" s="101">
        <f>'DIY Grundmodell'!AD34</f>
        <v>1.2196608580603687</v>
      </c>
      <c r="P29" s="86"/>
      <c r="Q29" s="86"/>
      <c r="AD29" s="86"/>
      <c r="AE29" s="86"/>
      <c r="AF29" s="988">
        <f>'DIY Grundmodell'!R116</f>
        <v>45058</v>
      </c>
      <c r="AG29" s="89">
        <f>'DIY Grundmodell'!S116</f>
        <v>233.81</v>
      </c>
      <c r="AH29" s="54">
        <f>'DIY Grundmodell'!T116</f>
        <v>3778.7086300000001</v>
      </c>
      <c r="AI29" s="89">
        <f>'DIY Grundmodell'!U116</f>
        <v>233.81</v>
      </c>
      <c r="AJ29" s="89">
        <f>'DIY Grundmodell'!V116</f>
        <v>3778.7086300000001</v>
      </c>
      <c r="AK29" s="989"/>
      <c r="AL29" s="33">
        <f>'DIY Grundmodell'!X116</f>
        <v>4124.0810199999996</v>
      </c>
    </row>
    <row r="30" spans="2:38" s="31" customFormat="1" ht="14.1" customHeight="1" x14ac:dyDescent="0.45">
      <c r="B30" s="40" t="str">
        <f>'DIY Grundmodell'!Q35</f>
        <v>FCFF</v>
      </c>
      <c r="C30" s="34"/>
      <c r="D30" s="33">
        <f>'DIY Grundmodell'!S35</f>
        <v>4016.3475008569221</v>
      </c>
      <c r="E30" s="33">
        <f>'DIY Grundmodell'!T35</f>
        <v>4421.3736715825944</v>
      </c>
      <c r="F30" s="33">
        <f>'DIY Grundmodell'!U35</f>
        <v>18247.021511014449</v>
      </c>
      <c r="G30" s="33">
        <f>'DIY Grundmodell'!V35</f>
        <v>39104.170987284429</v>
      </c>
      <c r="H30" s="33">
        <f>'DIY Grundmodell'!W35</f>
        <v>47880.586189802278</v>
      </c>
      <c r="I30" s="33">
        <f>'DIY Grundmodell'!X35</f>
        <v>83819.784424866055</v>
      </c>
      <c r="J30" s="33">
        <f>'DIY Grundmodell'!Y35</f>
        <v>91175.717235375239</v>
      </c>
      <c r="K30" s="33">
        <f>'DIY Grundmodell'!Z35</f>
        <v>108499.15144403614</v>
      </c>
      <c r="L30" s="33">
        <f>'DIY Grundmodell'!AA35</f>
        <v>120459.04831279335</v>
      </c>
      <c r="M30" s="33">
        <f>'DIY Grundmodell'!AB35</f>
        <v>124850.9768733269</v>
      </c>
      <c r="N30" s="46">
        <f>'DIY Grundmodell'!AC35</f>
        <v>107116.88386961428</v>
      </c>
      <c r="O30" s="46">
        <f>'DIY Grundmodell'!AD35</f>
        <v>65850.185307334163</v>
      </c>
      <c r="P30" s="86"/>
      <c r="Q30" s="86"/>
      <c r="R30" s="7"/>
      <c r="S30" s="7"/>
      <c r="T30" s="7"/>
      <c r="U30" s="7"/>
      <c r="V30" s="7"/>
      <c r="W30" s="7"/>
      <c r="X30" s="7"/>
      <c r="Y30" s="7"/>
      <c r="Z30" s="7"/>
      <c r="AA30" s="7"/>
      <c r="AB30" s="7"/>
      <c r="AC30" s="7"/>
      <c r="AD30" s="86"/>
      <c r="AE30" s="86"/>
      <c r="AF30" s="988">
        <f>'DIY Grundmodell'!R117</f>
        <v>45059</v>
      </c>
      <c r="AG30" s="89" t="e">
        <f>'DIY Grundmodell'!S117</f>
        <v>#N/A</v>
      </c>
      <c r="AH30" s="54" t="e">
        <f>'DIY Grundmodell'!T117</f>
        <v>#N/A</v>
      </c>
      <c r="AI30" s="89">
        <f>'DIY Grundmodell'!U117</f>
        <v>233.81</v>
      </c>
      <c r="AJ30" s="89">
        <f>'DIY Grundmodell'!V117</f>
        <v>0</v>
      </c>
      <c r="AK30" s="989"/>
      <c r="AL30" s="33">
        <f>'DIY Grundmodell'!X117</f>
        <v>4124.0810199999996</v>
      </c>
    </row>
    <row r="31" spans="2:38" ht="14.1" customHeight="1" collapsed="1" x14ac:dyDescent="0.45">
      <c r="B31" s="73" t="str">
        <f>'DIY Grundmodell'!Q36</f>
        <v>R-Rate</v>
      </c>
      <c r="C31" s="76"/>
      <c r="D31" s="49">
        <f>'DIY Grundmodell'!S36</f>
        <v>0.94244040786008509</v>
      </c>
      <c r="E31" s="49">
        <f>'DIY Grundmodell'!T36</f>
        <v>0.94244040786008521</v>
      </c>
      <c r="F31" s="49">
        <f>'DIY Grundmodell'!U36</f>
        <v>0.77843560152323699</v>
      </c>
      <c r="G31" s="49">
        <f>'DIY Grundmodell'!V36</f>
        <v>0.56653600437798057</v>
      </c>
      <c r="H31" s="49">
        <f>'DIY Grundmodell'!W36</f>
        <v>0.51274629762457291</v>
      </c>
      <c r="I31" s="49">
        <f>'DIY Grundmodell'!X36</f>
        <v>0.21586965876607608</v>
      </c>
      <c r="J31" s="49">
        <f>'DIY Grundmodell'!Y36</f>
        <v>0.21688552360829272</v>
      </c>
      <c r="K31" s="49">
        <f>'DIY Grundmodell'!Z36</f>
        <v>0.14390490312671897</v>
      </c>
      <c r="L31" s="49">
        <f>'DIY Grundmodell'!AA36</f>
        <v>0.10029261924648851</v>
      </c>
      <c r="M31" s="49">
        <f>'DIY Grundmodell'!AB36</f>
        <v>0.10088020276262612</v>
      </c>
      <c r="N31" s="75">
        <f>'DIY Grundmodell'!AC36</f>
        <v>0.26085842634393408</v>
      </c>
      <c r="O31" s="75">
        <f>'DIY Grundmodell'!AD36</f>
        <v>0.36481591061643281</v>
      </c>
      <c r="P31" s="86"/>
      <c r="Q31" s="86"/>
      <c r="AD31" s="86"/>
      <c r="AE31" s="86"/>
      <c r="AF31" s="988">
        <f>'DIY Grundmodell'!R118</f>
        <v>45060</v>
      </c>
      <c r="AG31" s="89" t="e">
        <f>'DIY Grundmodell'!S118</f>
        <v>#N/A</v>
      </c>
      <c r="AH31" s="54" t="e">
        <f>'DIY Grundmodell'!T118</f>
        <v>#N/A</v>
      </c>
      <c r="AI31" s="89">
        <f>'DIY Grundmodell'!U118</f>
        <v>233.81</v>
      </c>
      <c r="AJ31" s="89">
        <f>'DIY Grundmodell'!V118</f>
        <v>0</v>
      </c>
      <c r="AK31" s="989"/>
      <c r="AL31" s="33">
        <f>'DIY Grundmodell'!X118</f>
        <v>4124.0810199999996</v>
      </c>
    </row>
    <row r="32" spans="2:38" s="31" customFormat="1" ht="14.1" customHeight="1" x14ac:dyDescent="0.45">
      <c r="B32" s="73" t="str">
        <f>'DIY Grundmodell'!Q37</f>
        <v>ROCE</v>
      </c>
      <c r="C32" s="76"/>
      <c r="D32" s="49">
        <f>'DIY Grundmodell'!S37</f>
        <v>0.28916248094097335</v>
      </c>
      <c r="E32" s="49">
        <f>'DIY Grundmodell'!T37</f>
        <v>0.24530206867454502</v>
      </c>
      <c r="F32" s="49">
        <f>'DIY Grundmodell'!U37</f>
        <v>0.22396807412199451</v>
      </c>
      <c r="G32" s="49">
        <f>'DIY Grundmodell'!V37</f>
        <v>0.21639817696321487</v>
      </c>
      <c r="H32" s="49">
        <f>'DIY Grundmodell'!W37</f>
        <v>0.21043678938196173</v>
      </c>
      <c r="I32" s="49">
        <f>'DIY Grundmodell'!X37</f>
        <v>0.21849307083352659</v>
      </c>
      <c r="J32" s="49">
        <f>'DIY Grundmodell'!Y37</f>
        <v>0.11</v>
      </c>
      <c r="K32" s="49">
        <f>'DIY Grundmodell'!Z37</f>
        <v>0.23799371695152932</v>
      </c>
      <c r="L32" s="49">
        <f>'DIY Grundmodell'!AA37</f>
        <v>0.2452666117994084</v>
      </c>
      <c r="M32" s="49">
        <f>'DIY Grundmodell'!AB37</f>
        <v>0.24800769714019108</v>
      </c>
      <c r="N32" s="75">
        <f>'DIY Grundmodell'!AC37</f>
        <v>0.24236451695452566</v>
      </c>
      <c r="O32" s="75">
        <f>'DIY Grundmodell'!AD37</f>
        <v>0.23098089553676193</v>
      </c>
      <c r="P32" s="86"/>
      <c r="Q32" s="86"/>
      <c r="R32" s="7"/>
      <c r="S32" s="7"/>
      <c r="T32" s="7"/>
      <c r="U32" s="7"/>
      <c r="V32" s="7"/>
      <c r="W32" s="7"/>
      <c r="X32" s="7"/>
      <c r="Y32" s="7"/>
      <c r="Z32" s="7"/>
      <c r="AA32" s="7"/>
      <c r="AB32" s="7"/>
      <c r="AC32" s="7"/>
      <c r="AD32" s="86"/>
      <c r="AE32" s="86"/>
      <c r="AF32" s="988">
        <f>'DIY Grundmodell'!R119</f>
        <v>45061</v>
      </c>
      <c r="AG32" s="89">
        <f>'DIY Grundmodell'!S119</f>
        <v>238.86</v>
      </c>
      <c r="AH32" s="54">
        <f>'DIY Grundmodell'!T119</f>
        <v>4933.2305200000001</v>
      </c>
      <c r="AI32" s="89">
        <f>'DIY Grundmodell'!U119</f>
        <v>238.86</v>
      </c>
      <c r="AJ32" s="89">
        <f>'DIY Grundmodell'!V119</f>
        <v>4933.2305200000001</v>
      </c>
      <c r="AK32" s="989"/>
      <c r="AL32" s="33">
        <f>'DIY Grundmodell'!X119</f>
        <v>4136.2842099999998</v>
      </c>
    </row>
    <row r="33" spans="2:38" ht="14.1" customHeight="1" thickBot="1" x14ac:dyDescent="0.5">
      <c r="B33" s="48" t="str">
        <f>'DIY Grundmodell'!Q38</f>
        <v>WACC</v>
      </c>
      <c r="C33" s="76"/>
      <c r="D33" s="49">
        <f>'DIY Grundmodell'!S38</f>
        <v>9.2426411680227527E-2</v>
      </c>
      <c r="E33" s="49">
        <f>'DIY Grundmodell'!T38</f>
        <v>9.1069916725427622E-2</v>
      </c>
      <c r="F33" s="49">
        <f>'DIY Grundmodell'!U38</f>
        <v>8.9713421770627716E-2</v>
      </c>
      <c r="G33" s="49">
        <f>'DIY Grundmodell'!V38</f>
        <v>8.8356926815827824E-2</v>
      </c>
      <c r="H33" s="49">
        <f>'DIY Grundmodell'!W38</f>
        <v>8.7000431861027919E-2</v>
      </c>
      <c r="I33" s="49">
        <f>'DIY Grundmodell'!X38</f>
        <v>8.5643936906228013E-2</v>
      </c>
      <c r="J33" s="49">
        <f>'DIY Grundmodell'!Y38</f>
        <v>8.4287441951428121E-2</v>
      </c>
      <c r="K33" s="49">
        <f>'DIY Grundmodell'!Z38</f>
        <v>8.2930946996628216E-2</v>
      </c>
      <c r="L33" s="49">
        <f>'DIY Grundmodell'!AA38</f>
        <v>8.2561386573167916E-2</v>
      </c>
      <c r="M33" s="49">
        <f>'DIY Grundmodell'!AB38</f>
        <v>8.2953038675466398E-2</v>
      </c>
      <c r="N33" s="100">
        <f>'DIY Grundmodell'!AC38</f>
        <v>8.2953038675466398E-2</v>
      </c>
      <c r="O33" s="100">
        <f>'DIY Grundmodell'!AD38</f>
        <v>8.6322184383627959E-2</v>
      </c>
      <c r="P33" s="86"/>
      <c r="Q33" s="86"/>
      <c r="AD33" s="86"/>
      <c r="AE33" s="86"/>
      <c r="AF33" s="988">
        <f>'DIY Grundmodell'!R120</f>
        <v>45062</v>
      </c>
      <c r="AG33" s="89">
        <f>'DIY Grundmodell'!S120</f>
        <v>238.82</v>
      </c>
      <c r="AH33" s="54">
        <f>'DIY Grundmodell'!T120</f>
        <v>4337.8715499999998</v>
      </c>
      <c r="AI33" s="89">
        <f>'DIY Grundmodell'!U120</f>
        <v>238.82</v>
      </c>
      <c r="AJ33" s="89">
        <f>'DIY Grundmodell'!V120</f>
        <v>4337.8715499999998</v>
      </c>
      <c r="AK33" s="989"/>
      <c r="AL33" s="33">
        <f>'DIY Grundmodell'!X120</f>
        <v>4109.8970099999997</v>
      </c>
    </row>
    <row r="34" spans="2:38" ht="14.1" customHeight="1" x14ac:dyDescent="0.45">
      <c r="B34" s="40" t="str">
        <f>'DIY Grundmodell'!Q39</f>
        <v>PV TV</v>
      </c>
      <c r="C34" s="34">
        <f>'DIY Grundmodell'!R39</f>
        <v>1173369.2511902978</v>
      </c>
      <c r="D34" s="33">
        <f>'DIY Grundmodell'!S39</f>
        <v>1281819.5606537326</v>
      </c>
      <c r="E34" s="33">
        <f>'DIY Grundmodell'!T39</f>
        <v>1398554.7612994923</v>
      </c>
      <c r="F34" s="33">
        <f>'DIY Grundmodell'!U39</f>
        <v>1524023.8944692733</v>
      </c>
      <c r="G34" s="33">
        <f>'DIY Grundmodell'!V39</f>
        <v>1658681.9621784675</v>
      </c>
      <c r="H34" s="33">
        <f>'DIY Grundmodell'!W39</f>
        <v>1802988.0092080915</v>
      </c>
      <c r="I34" s="33">
        <f>'DIY Grundmodell'!X39</f>
        <v>1957403.000511395</v>
      </c>
      <c r="J34" s="33">
        <f>'DIY Grundmodell'!Y39</f>
        <v>2122387.4922925504</v>
      </c>
      <c r="K34" s="33">
        <f>'DIY Grundmodell'!Z39</f>
        <v>2298399.0969221704</v>
      </c>
      <c r="L34" s="33">
        <f>'DIY Grundmodell'!AA39</f>
        <v>2488158.1132625816</v>
      </c>
      <c r="M34" s="50">
        <f>'DIY Grundmodell'!AB39</f>
        <v>2694558.3894627281</v>
      </c>
      <c r="N34" s="131" t="str">
        <f>'DIY Grundmodell'!AC39</f>
        <v>= Terminal Value</v>
      </c>
      <c r="O34" s="132">
        <f>'DIY Grundmodell'!AD39</f>
        <v>0</v>
      </c>
      <c r="P34" s="86"/>
      <c r="Q34" s="86"/>
      <c r="AD34" s="86"/>
      <c r="AE34" s="86"/>
      <c r="AF34" s="988">
        <f>'DIY Grundmodell'!R121</f>
        <v>45063</v>
      </c>
      <c r="AG34" s="89">
        <f>'DIY Grundmodell'!S121</f>
        <v>242.48500000000001</v>
      </c>
      <c r="AH34" s="54">
        <f>'DIY Grundmodell'!T121</f>
        <v>5139.0039999999999</v>
      </c>
      <c r="AI34" s="89">
        <f>'DIY Grundmodell'!U121</f>
        <v>242.48500000000001</v>
      </c>
      <c r="AJ34" s="89">
        <f>'DIY Grundmodell'!V121</f>
        <v>5139.0039999999999</v>
      </c>
      <c r="AK34" s="989"/>
      <c r="AL34" s="33">
        <f>'DIY Grundmodell'!X121</f>
        <v>4158.7707700000001</v>
      </c>
    </row>
    <row r="35" spans="2:38" ht="14.1" customHeight="1" collapsed="1" x14ac:dyDescent="0.45">
      <c r="B35" s="40" t="str">
        <f>'DIY Grundmodell'!Q40</f>
        <v>PV FCFF</v>
      </c>
      <c r="C35" s="34">
        <f>'DIY Grundmodell'!R40</f>
        <v>356474.3078078382</v>
      </c>
      <c r="D35" s="33">
        <f>'DIY Grundmodell'!S40</f>
        <v>3676.5382619040683</v>
      </c>
      <c r="E35" s="33">
        <f>'DIY Grundmodell'!T40</f>
        <v>3714.0868741635572</v>
      </c>
      <c r="F35" s="33">
        <f>'DIY Grundmodell'!U40</f>
        <v>14101.167906972312</v>
      </c>
      <c r="G35" s="33">
        <f>'DIY Grundmodell'!V40</f>
        <v>27870.046966448161</v>
      </c>
      <c r="H35" s="33">
        <f>'DIY Grundmodell'!W40</f>
        <v>31550.836317855392</v>
      </c>
      <c r="I35" s="33">
        <f>'DIY Grundmodell'!X40</f>
        <v>51194.35456247293</v>
      </c>
      <c r="J35" s="33">
        <f>'DIY Grundmodell'!Y40</f>
        <v>51744.976409110001</v>
      </c>
      <c r="K35" s="33">
        <f>'DIY Grundmodell'!Z40</f>
        <v>57361.463547528183</v>
      </c>
      <c r="L35" s="33">
        <f>'DIY Grundmodell'!AA40</f>
        <v>58988.402701681269</v>
      </c>
      <c r="M35" s="33">
        <f>'DIY Grundmodell'!AB40</f>
        <v>56272.434259702364</v>
      </c>
      <c r="N35" s="736" t="str">
        <f>'DIY Grundmodell'!AC40</f>
        <v>R-Rate</v>
      </c>
      <c r="O35" s="52">
        <f>'DIY Grundmodell'!AD40</f>
        <v>0.26085842634393408</v>
      </c>
      <c r="P35" s="86"/>
      <c r="Q35" s="86"/>
      <c r="AD35" s="86"/>
      <c r="AE35" s="86"/>
      <c r="AF35" s="988">
        <f>'DIY Grundmodell'!R122</f>
        <v>45064</v>
      </c>
      <c r="AG35" s="89">
        <f>'DIY Grundmodell'!S122</f>
        <v>246.85</v>
      </c>
      <c r="AH35" s="54">
        <f>'DIY Grundmodell'!T122</f>
        <v>5663.5536099999999</v>
      </c>
      <c r="AI35" s="89">
        <f>'DIY Grundmodell'!U122</f>
        <v>246.85</v>
      </c>
      <c r="AJ35" s="89">
        <f>'DIY Grundmodell'!V122</f>
        <v>5663.5536099999999</v>
      </c>
      <c r="AK35" s="989"/>
      <c r="AL35" s="33">
        <f>'DIY Grundmodell'!X122</f>
        <v>4198.0509499999998</v>
      </c>
    </row>
    <row r="36" spans="2:38" s="31" customFormat="1" ht="14.1" customHeight="1" x14ac:dyDescent="0.45">
      <c r="B36" s="40" t="str">
        <f>'DIY Grundmodell'!Q41</f>
        <v>TEV</v>
      </c>
      <c r="C36" s="34">
        <f>'DIY Grundmodell'!R41</f>
        <v>1529843.5589981358</v>
      </c>
      <c r="D36" s="33">
        <f>'DIY Grundmodell'!S41</f>
        <v>1657393.7151045031</v>
      </c>
      <c r="E36" s="33">
        <f>'DIY Grundmodell'!T41</f>
        <v>1803911.0490487346</v>
      </c>
      <c r="F36" s="33">
        <f>'DIY Grundmodell'!U41</f>
        <v>1947499.0603177249</v>
      </c>
      <c r="G36" s="33">
        <f>'DIY Grundmodell'!V41</f>
        <v>2080469.9212768269</v>
      </c>
      <c r="H36" s="33">
        <f>'DIY Grundmodell'!W41</f>
        <v>2213591.1167119872</v>
      </c>
      <c r="I36" s="33">
        <f>'DIY Grundmodell'!X41</f>
        <v>2319351.9902229896</v>
      </c>
      <c r="J36" s="33">
        <f>'DIY Grundmodell'!Y41</f>
        <v>2423668.519228464</v>
      </c>
      <c r="K36" s="33">
        <f>'DIY Grundmodell'!Z41</f>
        <v>2516166.4932899596</v>
      </c>
      <c r="L36" s="33">
        <f>'DIY Grundmodell'!AA41</f>
        <v>2603445.639512131</v>
      </c>
      <c r="M36" s="33">
        <f>'DIY Grundmodell'!AB41</f>
        <v>2694558.3894627281</v>
      </c>
      <c r="N36" s="736" t="str">
        <f>'DIY Grundmodell'!AC41</f>
        <v>"g"=i(rf)</v>
      </c>
      <c r="O36" s="52">
        <f>'DIY Grundmodell'!AD41</f>
        <v>4.3200000000000002E-2</v>
      </c>
      <c r="P36" s="7"/>
      <c r="Q36" s="7"/>
      <c r="R36" s="7"/>
      <c r="S36" s="7"/>
      <c r="T36" s="7"/>
      <c r="U36" s="7"/>
      <c r="V36" s="7"/>
      <c r="W36" s="7"/>
      <c r="X36" s="7"/>
      <c r="Y36" s="7"/>
      <c r="Z36" s="7"/>
      <c r="AA36" s="7"/>
      <c r="AB36" s="7"/>
      <c r="AC36" s="7"/>
      <c r="AD36" s="7"/>
      <c r="AE36" s="7"/>
      <c r="AF36" s="988">
        <f>'DIY Grundmodell'!R123</f>
        <v>45065</v>
      </c>
      <c r="AG36" s="89">
        <f>'DIY Grundmodell'!S123</f>
        <v>245.64</v>
      </c>
      <c r="AH36" s="54">
        <f>'DIY Grundmodell'!T123</f>
        <v>5338.6365900000001</v>
      </c>
      <c r="AI36" s="89">
        <f>'DIY Grundmodell'!U123</f>
        <v>245.64</v>
      </c>
      <c r="AJ36" s="89">
        <f>'DIY Grundmodell'!V123</f>
        <v>5338.6365900000001</v>
      </c>
      <c r="AK36" s="989"/>
      <c r="AL36" s="33">
        <f>'DIY Grundmodell'!X123</f>
        <v>4191.9797900000003</v>
      </c>
    </row>
    <row r="37" spans="2:38" s="31" customFormat="1" ht="14.1" customHeight="1" x14ac:dyDescent="0.45">
      <c r="B37" s="40" t="str">
        <f>'DIY Grundmodell'!Q42</f>
        <v>TEV/EBIT</v>
      </c>
      <c r="C37" s="53">
        <f>'DIY Grundmodell'!R42</f>
        <v>13.95606797451344</v>
      </c>
      <c r="D37" s="54">
        <f>'DIY Grundmodell'!S42</f>
        <v>16.536363973178581</v>
      </c>
      <c r="E37" s="54">
        <f>'DIY Grundmodell'!T42</f>
        <v>16.114943479616954</v>
      </c>
      <c r="F37" s="54">
        <f>'DIY Grundmodell'!U42</f>
        <v>15.647144202046237</v>
      </c>
      <c r="G37" s="54">
        <f>'DIY Grundmodell'!V42</f>
        <v>15.234282700888709</v>
      </c>
      <c r="H37" s="54">
        <f>'DIY Grundmodell'!W42</f>
        <v>14.961699067687778</v>
      </c>
      <c r="I37" s="54">
        <f>'DIY Grundmodell'!X42</f>
        <v>14.677496634958995</v>
      </c>
      <c r="J37" s="54">
        <f>'DIY Grundmodell'!Y42</f>
        <v>14.382465963940261</v>
      </c>
      <c r="K37" s="54">
        <f>'DIY Grundmodell'!Z42</f>
        <v>14.077423344109596</v>
      </c>
      <c r="L37" s="54">
        <f>'DIY Grundmodell'!AA42</f>
        <v>14.191822181947311</v>
      </c>
      <c r="M37" s="54">
        <f>'DIY Grundmodell'!AB42</f>
        <v>14.576381271790043</v>
      </c>
      <c r="N37" s="737" t="str">
        <f>'DIY Grundmodell'!AC42</f>
        <v>TV = FCFF/(wacc-g)</v>
      </c>
      <c r="O37" s="133"/>
      <c r="P37" s="7"/>
      <c r="Q37" s="7"/>
      <c r="R37" s="7"/>
      <c r="S37" s="7"/>
      <c r="T37" s="7"/>
      <c r="U37" s="7"/>
      <c r="V37" s="7"/>
      <c r="W37" s="7"/>
      <c r="X37" s="7"/>
      <c r="Y37" s="7"/>
      <c r="Z37" s="7"/>
      <c r="AA37" s="7"/>
      <c r="AB37" s="7"/>
      <c r="AC37" s="7"/>
      <c r="AD37" s="7"/>
      <c r="AE37" s="7"/>
      <c r="AF37" s="988">
        <f>'DIY Grundmodell'!R124</f>
        <v>45066</v>
      </c>
      <c r="AG37" s="89" t="e">
        <f>'DIY Grundmodell'!S124</f>
        <v>#N/A</v>
      </c>
      <c r="AH37" s="54" t="e">
        <f>'DIY Grundmodell'!T124</f>
        <v>#N/A</v>
      </c>
      <c r="AI37" s="89">
        <f>'DIY Grundmodell'!U124</f>
        <v>245.64</v>
      </c>
      <c r="AJ37" s="89">
        <f>'DIY Grundmodell'!V124</f>
        <v>0</v>
      </c>
      <c r="AK37" s="989"/>
      <c r="AL37" s="33">
        <f>'DIY Grundmodell'!X124</f>
        <v>4191.9797900000003</v>
      </c>
    </row>
    <row r="38" spans="2:38" ht="14.1" customHeight="1" x14ac:dyDescent="0.45">
      <c r="B38" s="55" t="str">
        <f>'DIY Grundmodell'!Q43</f>
        <v>Unternehmenswert schuldenfrei</v>
      </c>
      <c r="C38" s="56"/>
      <c r="D38" s="56"/>
      <c r="E38" s="50">
        <f>'DIY Grundmodell'!T43</f>
        <v>1529843.5589981358</v>
      </c>
      <c r="F38" s="1138" t="str">
        <f>'DIY Grundmodell'!U43</f>
        <v>Kapitalkosten USD</v>
      </c>
      <c r="G38" s="1139"/>
      <c r="H38" s="57" t="s">
        <v>235</v>
      </c>
      <c r="I38" s="57"/>
      <c r="J38" s="57"/>
      <c r="K38" s="57"/>
      <c r="L38" s="57"/>
      <c r="M38" s="57"/>
      <c r="N38" s="57"/>
      <c r="O38" s="58"/>
      <c r="AF38" s="988">
        <f>'DIY Grundmodell'!R125</f>
        <v>45067</v>
      </c>
      <c r="AG38" s="89" t="e">
        <f>'DIY Grundmodell'!S125</f>
        <v>#N/A</v>
      </c>
      <c r="AH38" s="54" t="e">
        <f>'DIY Grundmodell'!T125</f>
        <v>#N/A</v>
      </c>
      <c r="AI38" s="89">
        <f>'DIY Grundmodell'!U125</f>
        <v>245.64</v>
      </c>
      <c r="AJ38" s="89">
        <f>'DIY Grundmodell'!V125</f>
        <v>0</v>
      </c>
      <c r="AK38" s="989"/>
      <c r="AL38" s="33">
        <f>'DIY Grundmodell'!X125</f>
        <v>4191.9797900000003</v>
      </c>
    </row>
    <row r="39" spans="2:38" ht="14.1" customHeight="1" x14ac:dyDescent="0.45">
      <c r="B39" s="10" t="str">
        <f>'DIY Grundmodell'!Q44</f>
        <v>Liquide Mittel</v>
      </c>
      <c r="C39" s="30"/>
      <c r="D39" s="30"/>
      <c r="E39" s="29">
        <f>'DIY Grundmodell'!T44</f>
        <v>81592</v>
      </c>
      <c r="F39" s="10" t="str">
        <f>'DIY Grundmodell'!U44</f>
        <v>i (rf)</v>
      </c>
      <c r="G39" s="59">
        <f>'DIY Grundmodell'!V44</f>
        <v>4.3200000000000002E-2</v>
      </c>
      <c r="H39" s="1140" t="s">
        <v>264</v>
      </c>
      <c r="I39" s="1140"/>
      <c r="J39" s="1140"/>
      <c r="K39" s="1140"/>
      <c r="L39" s="1140"/>
      <c r="M39" s="1140"/>
      <c r="N39" s="1140"/>
      <c r="O39" s="1176"/>
      <c r="P39" s="51"/>
      <c r="Q39" s="51"/>
      <c r="AD39" s="51"/>
      <c r="AE39" s="51"/>
      <c r="AF39" s="988">
        <f>'DIY Grundmodell'!R126</f>
        <v>45068</v>
      </c>
      <c r="AG39" s="89">
        <f>'DIY Grundmodell'!S126</f>
        <v>248.32</v>
      </c>
      <c r="AH39" s="54">
        <f>'DIY Grundmodell'!T126</f>
        <v>6888.0193499999996</v>
      </c>
      <c r="AI39" s="89">
        <f>'DIY Grundmodell'!U126</f>
        <v>248.32</v>
      </c>
      <c r="AJ39" s="89">
        <f>'DIY Grundmodell'!V126</f>
        <v>6888.0193499999996</v>
      </c>
      <c r="AK39" s="989"/>
      <c r="AL39" s="33">
        <f>'DIY Grundmodell'!X126</f>
        <v>4192.6306999999997</v>
      </c>
    </row>
    <row r="40" spans="2:38" ht="14.1" customHeight="1" x14ac:dyDescent="0.45">
      <c r="B40" s="10" t="str">
        <f>'DIY Grundmodell'!Q45</f>
        <v>Handelbare langfristige Wertpapiere</v>
      </c>
      <c r="C40" s="30"/>
      <c r="D40" s="30"/>
      <c r="E40" s="29">
        <f>'DIY Grundmodell'!T45</f>
        <v>0</v>
      </c>
      <c r="F40" s="10" t="str">
        <f>'DIY Grundmodell'!U45</f>
        <v>ERP adj.</v>
      </c>
      <c r="G40" s="106">
        <f>'DIY Grundmodell'!V45</f>
        <v>6.6912423369693594E-2</v>
      </c>
      <c r="H40" s="1140"/>
      <c r="I40" s="1140"/>
      <c r="J40" s="1140"/>
      <c r="K40" s="1140"/>
      <c r="L40" s="1140"/>
      <c r="M40" s="1140"/>
      <c r="N40" s="1140"/>
      <c r="O40" s="1176"/>
      <c r="P40" s="51"/>
      <c r="Q40" s="51"/>
      <c r="AD40" s="51"/>
      <c r="AE40" s="51"/>
      <c r="AF40" s="988">
        <f>'DIY Grundmodell'!R127</f>
        <v>45069</v>
      </c>
      <c r="AG40" s="89">
        <f>'DIY Grundmodell'!S127</f>
        <v>246.74</v>
      </c>
      <c r="AH40" s="54">
        <f>'DIY Grundmodell'!T127</f>
        <v>4379.1711299999997</v>
      </c>
      <c r="AI40" s="89">
        <f>'DIY Grundmodell'!U127</f>
        <v>246.74</v>
      </c>
      <c r="AJ40" s="89">
        <f>'DIY Grundmodell'!V127</f>
        <v>4379.1711299999997</v>
      </c>
      <c r="AK40" s="989"/>
      <c r="AL40" s="33">
        <f>'DIY Grundmodell'!X127</f>
        <v>4145.5751899999996</v>
      </c>
    </row>
    <row r="41" spans="2:38" ht="14.1" customHeight="1" x14ac:dyDescent="0.45">
      <c r="B41" s="10" t="str">
        <f>'DIY Grundmodell'!Q46</f>
        <v>(Marktwert) Fremdkapital</v>
      </c>
      <c r="C41" s="30"/>
      <c r="D41" s="30"/>
      <c r="E41" s="29">
        <f>'DIY Grundmodell'!T46</f>
        <v>-96862.515253533027</v>
      </c>
      <c r="F41" s="10" t="str">
        <f>'DIY Grundmodell'!U46</f>
        <v>Beta</v>
      </c>
      <c r="G41" s="135">
        <f>'DIY Grundmodell'!V46</f>
        <v>0.8</v>
      </c>
      <c r="H41" s="1140"/>
      <c r="I41" s="1140"/>
      <c r="J41" s="1140"/>
      <c r="K41" s="1140"/>
      <c r="L41" s="1140"/>
      <c r="M41" s="1140"/>
      <c r="N41" s="1140"/>
      <c r="O41" s="1176"/>
      <c r="P41" s="51" t="s">
        <v>24</v>
      </c>
      <c r="Q41" s="51"/>
      <c r="AD41" s="51"/>
      <c r="AE41" s="51"/>
      <c r="AF41" s="988">
        <f>'DIY Grundmodell'!R128</f>
        <v>45070</v>
      </c>
      <c r="AG41" s="89">
        <f>'DIY Grundmodell'!S128</f>
        <v>249.21</v>
      </c>
      <c r="AH41" s="54">
        <f>'DIY Grundmodell'!T128</f>
        <v>4417.08277</v>
      </c>
      <c r="AI41" s="89">
        <f>'DIY Grundmodell'!U128</f>
        <v>249.21</v>
      </c>
      <c r="AJ41" s="89">
        <f>'DIY Grundmodell'!V128</f>
        <v>4417.08277</v>
      </c>
      <c r="AK41" s="989"/>
      <c r="AL41" s="33">
        <f>'DIY Grundmodell'!X128</f>
        <v>4115.2385700000004</v>
      </c>
    </row>
    <row r="42" spans="2:38" ht="14.1" customHeight="1" x14ac:dyDescent="0.45">
      <c r="B42" s="10" t="str">
        <f>'DIY Grundmodell'!Q47</f>
        <v>Finanzforderungen</v>
      </c>
      <c r="C42" s="30"/>
      <c r="D42" s="30"/>
      <c r="E42" s="29">
        <f>'DIY Grundmodell'!T47</f>
        <v>0</v>
      </c>
      <c r="F42" s="10" t="str">
        <f>'DIY Grundmodell'!U47</f>
        <v>Aufschlag</v>
      </c>
      <c r="G42" s="106">
        <f>'DIY Grundmodell'!V47</f>
        <v>0</v>
      </c>
      <c r="H42" s="1140"/>
      <c r="I42" s="1140"/>
      <c r="J42" s="1140"/>
      <c r="K42" s="1140"/>
      <c r="L42" s="1140"/>
      <c r="M42" s="1140"/>
      <c r="N42" s="1140"/>
      <c r="O42" s="1176"/>
      <c r="P42" s="51"/>
      <c r="Q42" s="51"/>
      <c r="AD42" s="51"/>
      <c r="AE42" s="51"/>
      <c r="AF42" s="988">
        <f>'DIY Grundmodell'!R129</f>
        <v>45071</v>
      </c>
      <c r="AG42" s="89">
        <f>'DIY Grundmodell'!S129</f>
        <v>252.69</v>
      </c>
      <c r="AH42" s="54">
        <f>'DIY Grundmodell'!T129</f>
        <v>5653.03917</v>
      </c>
      <c r="AI42" s="89">
        <f>'DIY Grundmodell'!U129</f>
        <v>252.69</v>
      </c>
      <c r="AJ42" s="89">
        <f>'DIY Grundmodell'!V129</f>
        <v>5653.03917</v>
      </c>
      <c r="AK42" s="989"/>
      <c r="AL42" s="33">
        <f>'DIY Grundmodell'!X129</f>
        <v>4151.2798700000003</v>
      </c>
    </row>
    <row r="43" spans="2:38" ht="14.1" customHeight="1" x14ac:dyDescent="0.45">
      <c r="B43" s="10" t="str">
        <f>'DIY Grundmodell'!Q48</f>
        <v>Anteile Minderheitsgesellschafter</v>
      </c>
      <c r="C43" s="30"/>
      <c r="D43" s="30"/>
      <c r="E43" s="29">
        <f>'DIY Grundmodell'!T48</f>
        <v>0</v>
      </c>
      <c r="F43" s="10" t="str">
        <f>'DIY Grundmodell'!U48</f>
        <v>i EK</v>
      </c>
      <c r="G43" s="59">
        <f>'DIY Grundmodell'!V48</f>
        <v>9.6729938695754886E-2</v>
      </c>
      <c r="H43" s="1140"/>
      <c r="I43" s="1140"/>
      <c r="J43" s="1140"/>
      <c r="K43" s="1140"/>
      <c r="L43" s="1140"/>
      <c r="M43" s="1140"/>
      <c r="N43" s="1140"/>
      <c r="O43" s="1176"/>
      <c r="AF43" s="988">
        <f>'DIY Grundmodell'!R130</f>
        <v>45072</v>
      </c>
      <c r="AG43" s="89">
        <f>'DIY Grundmodell'!S130</f>
        <v>262.04000000000002</v>
      </c>
      <c r="AH43" s="54">
        <f>'DIY Grundmodell'!T130</f>
        <v>6752.4196700000002</v>
      </c>
      <c r="AI43" s="89">
        <f>'DIY Grundmodell'!U130</f>
        <v>262.04000000000002</v>
      </c>
      <c r="AJ43" s="89">
        <f>'DIY Grundmodell'!V130</f>
        <v>6752.4196700000002</v>
      </c>
      <c r="AK43" s="989"/>
      <c r="AL43" s="33">
        <f>'DIY Grundmodell'!X130</f>
        <v>4205.4525299999996</v>
      </c>
    </row>
    <row r="44" spans="2:38" ht="14.1" customHeight="1" x14ac:dyDescent="0.45">
      <c r="B44" s="10" t="str">
        <f>'DIY Grundmodell'!Q49</f>
        <v>Langfristige Passive Abgrenzungen / Sonstiges</v>
      </c>
      <c r="C44" s="30"/>
      <c r="D44" s="30"/>
      <c r="E44" s="29">
        <f>'DIY Grundmodell'!T49</f>
        <v>0</v>
      </c>
      <c r="F44" s="10" t="str">
        <f>'DIY Grundmodell'!U49</f>
        <v>i FK</v>
      </c>
      <c r="G44" s="106">
        <f>'DIY Grundmodell'!V49</f>
        <v>5.5586666666666673E-2</v>
      </c>
      <c r="H44" s="1140"/>
      <c r="I44" s="1140"/>
      <c r="J44" s="1140"/>
      <c r="K44" s="1140"/>
      <c r="L44" s="1140"/>
      <c r="M44" s="1140"/>
      <c r="N44" s="1140"/>
      <c r="O44" s="1176"/>
      <c r="AF44" s="988">
        <f>'DIY Grundmodell'!R131</f>
        <v>45073</v>
      </c>
      <c r="AG44" s="89" t="e">
        <f>'DIY Grundmodell'!S131</f>
        <v>#N/A</v>
      </c>
      <c r="AH44" s="54" t="e">
        <f>'DIY Grundmodell'!T131</f>
        <v>#N/A</v>
      </c>
      <c r="AI44" s="89">
        <f>'DIY Grundmodell'!U131</f>
        <v>262.04000000000002</v>
      </c>
      <c r="AJ44" s="89">
        <f>'DIY Grundmodell'!V131</f>
        <v>0</v>
      </c>
      <c r="AK44" s="989"/>
      <c r="AL44" s="33">
        <f>'DIY Grundmodell'!X131</f>
        <v>4205.4525299999996</v>
      </c>
    </row>
    <row r="45" spans="2:38" ht="14.1" customHeight="1" x14ac:dyDescent="0.45">
      <c r="B45" s="10" t="str">
        <f>'DIY Grundmodell'!Q50</f>
        <v>Ungedeckte Pensionsrückstellungen</v>
      </c>
      <c r="C45" s="30"/>
      <c r="D45" s="30"/>
      <c r="E45" s="29">
        <f>'DIY Grundmodell'!T50</f>
        <v>0</v>
      </c>
      <c r="F45" s="10" t="str">
        <f>'DIY Grundmodell'!U50</f>
        <v>Steuer</v>
      </c>
      <c r="G45" s="106">
        <f>'DIY Grundmodell'!V50</f>
        <v>0.25</v>
      </c>
      <c r="H45" s="1140"/>
      <c r="I45" s="1140"/>
      <c r="J45" s="1140"/>
      <c r="K45" s="1140"/>
      <c r="L45" s="1140"/>
      <c r="M45" s="1140"/>
      <c r="N45" s="1140"/>
      <c r="O45" s="1176"/>
      <c r="AF45" s="988">
        <f>'DIY Grundmodell'!R132</f>
        <v>45074</v>
      </c>
      <c r="AG45" s="89" t="e">
        <f>'DIY Grundmodell'!S132</f>
        <v>#N/A</v>
      </c>
      <c r="AH45" s="54" t="e">
        <f>'DIY Grundmodell'!T132</f>
        <v>#N/A</v>
      </c>
      <c r="AI45" s="89">
        <f>'DIY Grundmodell'!U132</f>
        <v>262.04000000000002</v>
      </c>
      <c r="AJ45" s="89">
        <f>'DIY Grundmodell'!V132</f>
        <v>0</v>
      </c>
      <c r="AK45" s="989"/>
      <c r="AL45" s="33">
        <f>'DIY Grundmodell'!X132</f>
        <v>4205.4525299999996</v>
      </c>
    </row>
    <row r="46" spans="2:38" ht="14.1" customHeight="1" x14ac:dyDescent="0.45">
      <c r="B46" s="10" t="str">
        <f>'DIY Grundmodell'!Q51</f>
        <v>Verlorene Rechtstreitigkeiten</v>
      </c>
      <c r="C46" s="30"/>
      <c r="D46" s="30"/>
      <c r="E46" s="29">
        <f>'DIY Grundmodell'!T51</f>
        <v>0</v>
      </c>
      <c r="F46" s="10" t="str">
        <f>'DIY Grundmodell'!U51</f>
        <v>i FK - T</v>
      </c>
      <c r="G46" s="106">
        <f>'DIY Grundmodell'!V51</f>
        <v>4.1690000000000005E-2</v>
      </c>
      <c r="H46" s="1140"/>
      <c r="I46" s="1140"/>
      <c r="J46" s="1140"/>
      <c r="K46" s="1140"/>
      <c r="L46" s="1140"/>
      <c r="M46" s="1140"/>
      <c r="N46" s="1140"/>
      <c r="O46" s="1176"/>
      <c r="AF46" s="988">
        <f>'DIY Grundmodell'!R133</f>
        <v>45075</v>
      </c>
      <c r="AG46" s="89" t="e">
        <f>'DIY Grundmodell'!S133</f>
        <v>#N/A</v>
      </c>
      <c r="AH46" s="54" t="e">
        <f>'DIY Grundmodell'!T133</f>
        <v>#N/A</v>
      </c>
      <c r="AI46" s="89">
        <f>'DIY Grundmodell'!U133</f>
        <v>262.04000000000002</v>
      </c>
      <c r="AJ46" s="89">
        <f>'DIY Grundmodell'!V133</f>
        <v>0</v>
      </c>
      <c r="AK46" s="989"/>
      <c r="AL46" s="33">
        <f>'DIY Grundmodell'!X133</f>
        <v>4205.4525299999996</v>
      </c>
    </row>
    <row r="47" spans="2:38" ht="14.1" customHeight="1" x14ac:dyDescent="0.45">
      <c r="B47" s="10" t="str">
        <f>'DIY Grundmodell'!Q52</f>
        <v>Wert Eigenkapitaloptionen</v>
      </c>
      <c r="C47" s="30"/>
      <c r="D47" s="30"/>
      <c r="E47" s="29">
        <f>'DIY Grundmodell'!T52</f>
        <v>0</v>
      </c>
      <c r="F47" s="10" t="str">
        <f>'DIY Grundmodell'!U52</f>
        <v>Wert EK</v>
      </c>
      <c r="G47" s="25">
        <f>'DIY Grundmodell'!V52</f>
        <v>1712180.20692</v>
      </c>
      <c r="H47" s="1140"/>
      <c r="I47" s="1140"/>
      <c r="J47" s="1140"/>
      <c r="K47" s="1140"/>
      <c r="L47" s="1140"/>
      <c r="M47" s="1140"/>
      <c r="N47" s="1140"/>
      <c r="O47" s="1176"/>
      <c r="AF47" s="988">
        <f>'DIY Grundmodell'!R134</f>
        <v>45076</v>
      </c>
      <c r="AG47" s="89">
        <f>'DIY Grundmodell'!S134</f>
        <v>262.52</v>
      </c>
      <c r="AH47" s="54">
        <f>'DIY Grundmodell'!T134</f>
        <v>6252.3023300000004</v>
      </c>
      <c r="AI47" s="89">
        <f>'DIY Grundmodell'!U134</f>
        <v>262.52</v>
      </c>
      <c r="AJ47" s="89">
        <f>'DIY Grundmodell'!V134</f>
        <v>6252.3023300000004</v>
      </c>
      <c r="AK47" s="989"/>
      <c r="AL47" s="33">
        <f>'DIY Grundmodell'!X134</f>
        <v>4205.5206900000003</v>
      </c>
    </row>
    <row r="48" spans="2:38" ht="14.1" customHeight="1" x14ac:dyDescent="0.45">
      <c r="B48" s="10" t="str">
        <f>'DIY Grundmodell'!Q53</f>
        <v>Wert Beteiligungen und Finanzinvestitionen</v>
      </c>
      <c r="C48" s="30"/>
      <c r="D48" s="30"/>
      <c r="E48" s="29">
        <f>'DIY Grundmodell'!T53</f>
        <v>27524</v>
      </c>
      <c r="F48" s="10" t="str">
        <f>'DIY Grundmodell'!U53</f>
        <v>Wert FK</v>
      </c>
      <c r="G48" s="25">
        <f>'DIY Grundmodell'!V53</f>
        <v>96862.515253533027</v>
      </c>
      <c r="H48" s="1140"/>
      <c r="I48" s="1140"/>
      <c r="J48" s="1140"/>
      <c r="K48" s="1140"/>
      <c r="L48" s="1140"/>
      <c r="M48" s="1140"/>
      <c r="N48" s="1140"/>
      <c r="O48" s="1176"/>
      <c r="AF48" s="988">
        <f>'DIY Grundmodell'!R135</f>
        <v>45077</v>
      </c>
      <c r="AG48" s="89">
        <f>'DIY Grundmodell'!S135</f>
        <v>264.72000000000003</v>
      </c>
      <c r="AH48" s="54">
        <f>'DIY Grundmodell'!T135</f>
        <v>6743.3952200000003</v>
      </c>
      <c r="AI48" s="89">
        <f>'DIY Grundmodell'!U135</f>
        <v>264.72000000000003</v>
      </c>
      <c r="AJ48" s="89">
        <f>'DIY Grundmodell'!V135</f>
        <v>6743.3952200000003</v>
      </c>
      <c r="AK48" s="989"/>
      <c r="AL48" s="33">
        <f>'DIY Grundmodell'!X135</f>
        <v>4179.82546</v>
      </c>
    </row>
    <row r="49" spans="2:38" ht="14.1" customHeight="1" x14ac:dyDescent="0.45">
      <c r="B49" s="40" t="str">
        <f>'DIY Grundmodell'!Q54</f>
        <v>Wert des Eigenkapitals 100%</v>
      </c>
      <c r="C49" s="36"/>
      <c r="D49" s="36"/>
      <c r="E49" s="33">
        <f>'DIY Grundmodell'!T54</f>
        <v>1542097.0437446027</v>
      </c>
      <c r="F49" s="40" t="str">
        <f>'DIY Grundmodell'!U54</f>
        <v>WACC</v>
      </c>
      <c r="G49" s="105">
        <f>'DIY Grundmodell'!V54</f>
        <v>9.3782906635027433E-2</v>
      </c>
      <c r="H49" s="1140"/>
      <c r="I49" s="1140"/>
      <c r="J49" s="1140"/>
      <c r="K49" s="1140"/>
      <c r="L49" s="1140"/>
      <c r="M49" s="1140"/>
      <c r="N49" s="1140"/>
      <c r="O49" s="1176"/>
      <c r="AF49" s="988">
        <f>'DIY Grundmodell'!R136</f>
        <v>45078</v>
      </c>
      <c r="AG49" s="89">
        <f>'DIY Grundmodell'!S136</f>
        <v>272.61</v>
      </c>
      <c r="AH49" s="54">
        <f>'DIY Grundmodell'!T136</f>
        <v>6981.40852</v>
      </c>
      <c r="AI49" s="89">
        <f>'DIY Grundmodell'!U136</f>
        <v>272.61</v>
      </c>
      <c r="AJ49" s="89">
        <f>'DIY Grundmodell'!V136</f>
        <v>6981.40852</v>
      </c>
      <c r="AK49" s="989"/>
      <c r="AL49" s="33">
        <f>'DIY Grundmodell'!X136</f>
        <v>4221.0202200000003</v>
      </c>
    </row>
    <row r="50" spans="2:38" ht="14.1" customHeight="1" x14ac:dyDescent="0.45">
      <c r="B50" s="60" t="str">
        <f>'DIY Grundmodell'!Q55</f>
        <v>Umsatzverteilung Industrien</v>
      </c>
      <c r="C50" s="61"/>
      <c r="D50" s="62"/>
      <c r="E50" s="60" t="str">
        <f>'DIY Grundmodell'!T55</f>
        <v>Umsatzverteilung Regionen</v>
      </c>
      <c r="F50" s="63"/>
      <c r="G50" s="64"/>
      <c r="H50" s="1140"/>
      <c r="I50" s="1140"/>
      <c r="J50" s="1140"/>
      <c r="K50" s="1140"/>
      <c r="L50" s="1140"/>
      <c r="M50" s="1140"/>
      <c r="N50" s="1140"/>
      <c r="O50" s="1176"/>
      <c r="AF50" s="988">
        <f>'DIY Grundmodell'!R137</f>
        <v>45079</v>
      </c>
      <c r="AG50" s="89" t="e">
        <f>'DIY Grundmodell'!S137</f>
        <v>#N/A</v>
      </c>
      <c r="AH50" s="54" t="e">
        <f>'DIY Grundmodell'!T137</f>
        <v>#N/A</v>
      </c>
      <c r="AI50" s="89">
        <f>'DIY Grundmodell'!U137</f>
        <v>272.61</v>
      </c>
      <c r="AJ50" s="89">
        <f>'DIY Grundmodell'!V137</f>
        <v>5293.2492899999997</v>
      </c>
      <c r="AK50" s="989"/>
      <c r="AL50" s="33">
        <f>'DIY Grundmodell'!X137</f>
        <v>4282.3655699999999</v>
      </c>
    </row>
    <row r="51" spans="2:38" ht="14.1" customHeight="1" x14ac:dyDescent="0.45">
      <c r="B51" s="65" t="str">
        <f>'DIY Grundmodell'!Q56</f>
        <v>Interactive Media and Services</v>
      </c>
      <c r="C51" s="8"/>
      <c r="D51" s="78">
        <f>'DIY Grundmodell'!S56</f>
        <v>0.98901804285301986</v>
      </c>
      <c r="E51" s="65" t="str">
        <f>'DIY Grundmodell'!T56</f>
        <v>United States</v>
      </c>
      <c r="F51" s="5"/>
      <c r="G51" s="78">
        <f>'DIY Grundmodell'!V56</f>
        <v>0.37210274374769864</v>
      </c>
      <c r="H51" s="1140"/>
      <c r="I51" s="1140"/>
      <c r="J51" s="1140"/>
      <c r="K51" s="1140"/>
      <c r="L51" s="1140"/>
      <c r="M51" s="1140"/>
      <c r="N51" s="1140"/>
      <c r="O51" s="1176"/>
      <c r="AF51" s="988">
        <f>'DIY Grundmodell'!R138</f>
        <v>45080</v>
      </c>
      <c r="AG51" s="89" t="e">
        <f>'DIY Grundmodell'!S138</f>
        <v>#N/A</v>
      </c>
      <c r="AH51" s="54" t="e">
        <f>'DIY Grundmodell'!T138</f>
        <v>#N/A</v>
      </c>
      <c r="AI51" s="89">
        <f>'DIY Grundmodell'!U138</f>
        <v>272.61</v>
      </c>
      <c r="AJ51" s="89">
        <f>'DIY Grundmodell'!V138</f>
        <v>0</v>
      </c>
      <c r="AK51" s="989"/>
      <c r="AL51" s="33">
        <f>'DIY Grundmodell'!X138</f>
        <v>4282.3655699999999</v>
      </c>
    </row>
    <row r="52" spans="2:38" ht="14.1" customHeight="1" x14ac:dyDescent="0.45">
      <c r="B52" s="65" t="str">
        <f>'DIY Grundmodell'!Q57</f>
        <v>Technology Hardware, Storage &amp; Peripherals</v>
      </c>
      <c r="C52" s="8"/>
      <c r="D52" s="78">
        <f>'DIY Grundmodell'!S57</f>
        <v>1.0981957146980087E-2</v>
      </c>
      <c r="E52" s="65" t="str">
        <f>'DIY Grundmodell'!T57</f>
        <v>Asia-Pacific</v>
      </c>
      <c r="F52" s="5"/>
      <c r="G52" s="78">
        <f>'DIY Grundmodell'!V57</f>
        <v>0.26779156673268117</v>
      </c>
      <c r="H52" s="1140"/>
      <c r="I52" s="1140"/>
      <c r="J52" s="1140"/>
      <c r="K52" s="1140"/>
      <c r="L52" s="1140"/>
      <c r="M52" s="1140"/>
      <c r="N52" s="1140"/>
      <c r="O52" s="1176"/>
      <c r="AF52" s="988">
        <f>'DIY Grundmodell'!R139</f>
        <v>45081</v>
      </c>
      <c r="AG52" s="89" t="e">
        <f>'DIY Grundmodell'!S139</f>
        <v>#N/A</v>
      </c>
      <c r="AH52" s="54" t="e">
        <f>'DIY Grundmodell'!T139</f>
        <v>#N/A</v>
      </c>
      <c r="AI52" s="89">
        <f>'DIY Grundmodell'!U139</f>
        <v>272.61</v>
      </c>
      <c r="AJ52" s="89">
        <f>'DIY Grundmodell'!V139</f>
        <v>0</v>
      </c>
      <c r="AK52" s="989"/>
      <c r="AL52" s="33">
        <f>'DIY Grundmodell'!X139</f>
        <v>4282.3655699999999</v>
      </c>
    </row>
    <row r="53" spans="2:38" ht="14.1" customHeight="1" x14ac:dyDescent="0.45">
      <c r="B53" s="65">
        <f>'DIY Grundmodell'!Q58</f>
        <v>0</v>
      </c>
      <c r="C53" s="8"/>
      <c r="D53" s="78">
        <f>'DIY Grundmodell'!S58</f>
        <v>0</v>
      </c>
      <c r="E53" s="65" t="str">
        <f>'DIY Grundmodell'!T58</f>
        <v>Europe</v>
      </c>
      <c r="F53" s="5"/>
      <c r="G53" s="78">
        <f>'DIY Grundmodell'!V58</f>
        <v>0.23172576455718877</v>
      </c>
      <c r="H53" s="1140"/>
      <c r="I53" s="1140"/>
      <c r="J53" s="1140"/>
      <c r="K53" s="1140"/>
      <c r="L53" s="1140"/>
      <c r="M53" s="1140"/>
      <c r="N53" s="1140"/>
      <c r="O53" s="1176"/>
      <c r="AF53" s="988">
        <f>'DIY Grundmodell'!R140</f>
        <v>45082</v>
      </c>
      <c r="AG53" s="89">
        <f>'DIY Grundmodell'!S140</f>
        <v>271.39</v>
      </c>
      <c r="AH53" s="54">
        <f>'DIY Grundmodell'!T140</f>
        <v>5629.4281199999996</v>
      </c>
      <c r="AI53" s="89">
        <f>'DIY Grundmodell'!U140</f>
        <v>271.39</v>
      </c>
      <c r="AJ53" s="89">
        <f>'DIY Grundmodell'!V140</f>
        <v>5629.4281199999996</v>
      </c>
      <c r="AK53" s="989"/>
      <c r="AL53" s="33">
        <f>'DIY Grundmodell'!X140</f>
        <v>4273.7941899999996</v>
      </c>
    </row>
    <row r="54" spans="2:38" ht="14.1" customHeight="1" x14ac:dyDescent="0.45">
      <c r="B54" s="65">
        <f>'DIY Grundmodell'!Q59</f>
        <v>0</v>
      </c>
      <c r="C54" s="8"/>
      <c r="D54" s="78">
        <f>'DIY Grundmodell'!S59</f>
        <v>0</v>
      </c>
      <c r="E54" s="65" t="str">
        <f>'DIY Grundmodell'!T59</f>
        <v>Rest of The World</v>
      </c>
      <c r="F54" s="5"/>
      <c r="G54" s="78">
        <f>'DIY Grundmodell'!V59</f>
        <v>0.10804812754396266</v>
      </c>
      <c r="H54" s="1140"/>
      <c r="I54" s="1140"/>
      <c r="J54" s="1140"/>
      <c r="K54" s="1140"/>
      <c r="L54" s="1140"/>
      <c r="M54" s="1140"/>
      <c r="N54" s="1140"/>
      <c r="O54" s="1176"/>
      <c r="AF54" s="988">
        <f>'DIY Grundmodell'!R141</f>
        <v>45083</v>
      </c>
      <c r="AG54" s="89">
        <f>'DIY Grundmodell'!S141</f>
        <v>271.12</v>
      </c>
      <c r="AH54" s="54">
        <f>'DIY Grundmodell'!T141</f>
        <v>5264.8819899999999</v>
      </c>
      <c r="AI54" s="89">
        <f>'DIY Grundmodell'!U141</f>
        <v>271.12</v>
      </c>
      <c r="AJ54" s="89">
        <f>'DIY Grundmodell'!V141</f>
        <v>5264.8819899999999</v>
      </c>
      <c r="AK54" s="989"/>
      <c r="AL54" s="33">
        <f>'DIY Grundmodell'!X141</f>
        <v>4283.8483900000001</v>
      </c>
    </row>
    <row r="55" spans="2:38" ht="14.1" customHeight="1" x14ac:dyDescent="0.45">
      <c r="B55" s="65">
        <f>'DIY Grundmodell'!Q60</f>
        <v>0</v>
      </c>
      <c r="C55" s="8"/>
      <c r="D55" s="78">
        <f>'DIY Grundmodell'!S60</f>
        <v>0</v>
      </c>
      <c r="E55" s="65" t="str">
        <f>'DIY Grundmodell'!T60</f>
        <v>Canada</v>
      </c>
      <c r="F55" s="5"/>
      <c r="G55" s="78">
        <f>'DIY Grundmodell'!V60</f>
        <v>2.0331797418468796E-2</v>
      </c>
      <c r="H55" s="1140"/>
      <c r="I55" s="1140"/>
      <c r="J55" s="1140"/>
      <c r="K55" s="1140"/>
      <c r="L55" s="1140"/>
      <c r="M55" s="1140"/>
      <c r="N55" s="1140"/>
      <c r="O55" s="1176"/>
      <c r="AF55" s="988">
        <f>'DIY Grundmodell'!R142</f>
        <v>45084</v>
      </c>
      <c r="AG55" s="89">
        <f>'DIY Grundmodell'!S142</f>
        <v>263.60000000000002</v>
      </c>
      <c r="AH55" s="54">
        <f>'DIY Grundmodell'!T142</f>
        <v>6896.7320799999998</v>
      </c>
      <c r="AI55" s="89">
        <f>'DIY Grundmodell'!U142</f>
        <v>263.60000000000002</v>
      </c>
      <c r="AJ55" s="89">
        <f>'DIY Grundmodell'!V142</f>
        <v>6896.7320799999998</v>
      </c>
      <c r="AK55" s="989"/>
      <c r="AL55" s="33">
        <f>'DIY Grundmodell'!X142</f>
        <v>4267.5184600000002</v>
      </c>
    </row>
    <row r="56" spans="2:38" ht="14.1" customHeight="1" x14ac:dyDescent="0.45">
      <c r="B56" s="65">
        <f>'DIY Grundmodell'!Q61</f>
        <v>0</v>
      </c>
      <c r="C56" s="8"/>
      <c r="D56" s="78">
        <f>'DIY Grundmodell'!S61</f>
        <v>0</v>
      </c>
      <c r="E56" s="65">
        <f>'DIY Grundmodell'!T61</f>
        <v>0</v>
      </c>
      <c r="F56" s="5"/>
      <c r="G56" s="78">
        <f>'DIY Grundmodell'!V61</f>
        <v>0</v>
      </c>
      <c r="H56" s="1140"/>
      <c r="I56" s="1140"/>
      <c r="J56" s="1140"/>
      <c r="K56" s="1140"/>
      <c r="L56" s="1140"/>
      <c r="M56" s="1140"/>
      <c r="N56" s="1140"/>
      <c r="O56" s="1176"/>
      <c r="AF56" s="988">
        <f>'DIY Grundmodell'!R143</f>
        <v>45085</v>
      </c>
      <c r="AG56" s="89">
        <f>'DIY Grundmodell'!S143</f>
        <v>264.58</v>
      </c>
      <c r="AH56" s="54">
        <f>'DIY Grundmodell'!T143</f>
        <v>5529.5523999999996</v>
      </c>
      <c r="AI56" s="89">
        <f>'DIY Grundmodell'!U143</f>
        <v>264.58</v>
      </c>
      <c r="AJ56" s="89">
        <f>'DIY Grundmodell'!V143</f>
        <v>5529.5523999999996</v>
      </c>
      <c r="AK56" s="989"/>
      <c r="AL56" s="33">
        <f>'DIY Grundmodell'!X143</f>
        <v>4293.9277700000002</v>
      </c>
    </row>
    <row r="57" spans="2:38" ht="14.1" customHeight="1" thickBot="1" x14ac:dyDescent="0.5">
      <c r="B57" s="65">
        <f>'DIY Grundmodell'!Q62</f>
        <v>0</v>
      </c>
      <c r="C57" s="8"/>
      <c r="D57" s="78">
        <f>'DIY Grundmodell'!S62</f>
        <v>0</v>
      </c>
      <c r="E57" s="65">
        <f>'DIY Grundmodell'!T62</f>
        <v>0</v>
      </c>
      <c r="F57" s="5"/>
      <c r="G57" s="78">
        <f>'DIY Grundmodell'!V62</f>
        <v>0</v>
      </c>
      <c r="H57" s="1142"/>
      <c r="I57" s="1142"/>
      <c r="J57" s="1142"/>
      <c r="K57" s="1142"/>
      <c r="L57" s="1142"/>
      <c r="M57" s="1142"/>
      <c r="N57" s="1142"/>
      <c r="O57" s="1177"/>
      <c r="AF57" s="988">
        <f>'DIY Grundmodell'!R144</f>
        <v>45086</v>
      </c>
      <c r="AG57" s="89">
        <f>'DIY Grundmodell'!S144</f>
        <v>264.95</v>
      </c>
      <c r="AH57" s="54">
        <f>'DIY Grundmodell'!T144</f>
        <v>4490.8479200000002</v>
      </c>
      <c r="AI57" s="89">
        <f>'DIY Grundmodell'!U144</f>
        <v>264.95</v>
      </c>
      <c r="AJ57" s="89">
        <f>'DIY Grundmodell'!V144</f>
        <v>4490.8479200000002</v>
      </c>
      <c r="AK57" s="989"/>
      <c r="AL57" s="33">
        <f>'DIY Grundmodell'!X144</f>
        <v>4298.8573100000003</v>
      </c>
    </row>
    <row r="58" spans="2:38" ht="14.1" customHeight="1" thickBot="1" x14ac:dyDescent="0.5">
      <c r="B58" s="66">
        <f>IF(D58=0,0,'DIY Grundmodell'!Q63)</f>
        <v>0</v>
      </c>
      <c r="C58" s="104"/>
      <c r="D58" s="68">
        <f>'DIY Grundmodell'!S63</f>
        <v>0</v>
      </c>
      <c r="E58" s="66">
        <f>IF(G58=0,0,'DIY Grundmodell'!T63)</f>
        <v>0</v>
      </c>
      <c r="F58" s="26"/>
      <c r="G58" s="79">
        <f>'DIY Grundmodell'!V63</f>
        <v>0</v>
      </c>
      <c r="H58" s="113" t="str">
        <f>'DIY Grundmodell'!G58</f>
        <v>Haftungsfreizeichnung: Die Unterlage stellt keinerlei Empfehlung dar.</v>
      </c>
      <c r="I58" s="67"/>
      <c r="J58" s="67"/>
      <c r="K58" s="67"/>
      <c r="L58" s="67"/>
      <c r="M58" s="67"/>
      <c r="N58" s="67"/>
      <c r="O58" s="114"/>
      <c r="AF58" s="988">
        <f>'DIY Grundmodell'!R145</f>
        <v>45087</v>
      </c>
      <c r="AG58" s="89" t="e">
        <f>'DIY Grundmodell'!S145</f>
        <v>#N/A</v>
      </c>
      <c r="AH58" s="54" t="e">
        <f>'DIY Grundmodell'!T145</f>
        <v>#N/A</v>
      </c>
      <c r="AI58" s="89">
        <f>'DIY Grundmodell'!U145</f>
        <v>264.95</v>
      </c>
      <c r="AJ58" s="89">
        <f>'DIY Grundmodell'!V145</f>
        <v>0</v>
      </c>
      <c r="AK58" s="989"/>
      <c r="AL58" s="33">
        <f>'DIY Grundmodell'!X145</f>
        <v>4298.8573100000003</v>
      </c>
    </row>
    <row r="59" spans="2:38" ht="14.1" customHeight="1" thickBot="1" x14ac:dyDescent="0.5">
      <c r="AF59" s="988">
        <f>'DIY Grundmodell'!R146</f>
        <v>45088</v>
      </c>
      <c r="AG59" s="89" t="e">
        <f>'DIY Grundmodell'!S146</f>
        <v>#N/A</v>
      </c>
      <c r="AH59" s="54" t="e">
        <f>'DIY Grundmodell'!T146</f>
        <v>#N/A</v>
      </c>
      <c r="AI59" s="89">
        <f>'DIY Grundmodell'!U146</f>
        <v>264.95</v>
      </c>
      <c r="AJ59" s="89">
        <f>'DIY Grundmodell'!V146</f>
        <v>0</v>
      </c>
      <c r="AK59" s="989"/>
      <c r="AL59" s="33">
        <f>'DIY Grundmodell'!X146</f>
        <v>4298.8573100000003</v>
      </c>
    </row>
    <row r="60" spans="2:38" ht="14.1" customHeight="1" x14ac:dyDescent="0.45">
      <c r="B60" s="90" t="str">
        <f>'DIY Grundmodell'!Q65</f>
        <v>Prognose</v>
      </c>
      <c r="C60" s="91" t="str">
        <f>'DIY Grundmodell'!R65</f>
        <v>LTM</v>
      </c>
      <c r="D60" s="192" t="str">
        <f>'DIY Grundmodell'!S65</f>
        <v>LTM+1</v>
      </c>
      <c r="E60" s="43" t="str">
        <f>'DIY Grundmodell'!T65</f>
        <v>LTM+2</v>
      </c>
      <c r="F60" s="43" t="str">
        <f>'DIY Grundmodell'!U65</f>
        <v>LTM+3</v>
      </c>
      <c r="G60" s="43" t="str">
        <f>'DIY Grundmodell'!V65</f>
        <v>LTM+4</v>
      </c>
      <c r="H60" s="43" t="str">
        <f>'DIY Grundmodell'!W65</f>
        <v>LTM+5</v>
      </c>
      <c r="I60" s="43" t="str">
        <f>'DIY Grundmodell'!X65</f>
        <v>LTM+6</v>
      </c>
      <c r="J60" s="43" t="str">
        <f>'DIY Grundmodell'!Y65</f>
        <v>LTM+7</v>
      </c>
      <c r="K60" s="43" t="str">
        <f>'DIY Grundmodell'!Z65</f>
        <v>LTM+8</v>
      </c>
      <c r="L60" s="43" t="str">
        <f>'DIY Grundmodell'!AA65</f>
        <v>LTM+9</v>
      </c>
      <c r="M60" s="43" t="str">
        <f>'DIY Grundmodell'!AB65</f>
        <v>LTM+10</v>
      </c>
      <c r="N60" s="43" t="str">
        <f>'DIY Grundmodell'!AC65</f>
        <v>ewig</v>
      </c>
      <c r="O60" s="192" t="str">
        <f>'DIY Grundmodell'!AD65</f>
        <v>Summe</v>
      </c>
      <c r="AF60" s="988">
        <f>'DIY Grundmodell'!R147</f>
        <v>45089</v>
      </c>
      <c r="AG60" s="89">
        <f>'DIY Grundmodell'!S147</f>
        <v>271.05</v>
      </c>
      <c r="AH60" s="54">
        <f>'DIY Grundmodell'!T147</f>
        <v>4193.6048300000002</v>
      </c>
      <c r="AI60" s="89">
        <f>'DIY Grundmodell'!U147</f>
        <v>271.05</v>
      </c>
      <c r="AJ60" s="89">
        <f>'DIY Grundmodell'!V147</f>
        <v>4193.6048300000002</v>
      </c>
      <c r="AK60" s="989"/>
      <c r="AL60" s="33">
        <f>'DIY Grundmodell'!X147</f>
        <v>4338.93444</v>
      </c>
    </row>
    <row r="61" spans="2:38" ht="14.1" customHeight="1" x14ac:dyDescent="0.3">
      <c r="B61" s="92" t="str">
        <f>'DIY Grundmodell'!Q66</f>
        <v>Invest. Kapital</v>
      </c>
      <c r="C61" s="81">
        <f>'DIY Grundmodell'!R66</f>
        <v>168073</v>
      </c>
      <c r="D61" s="190">
        <f>'DIY Grundmodell'!S66</f>
        <v>231034.02408547589</v>
      </c>
      <c r="E61" s="81">
        <f>'DIY Grundmodell'!T66</f>
        <v>300505.70990116074</v>
      </c>
      <c r="F61" s="81">
        <f>'DIY Grundmodell'!U66</f>
        <v>363960.26052359527</v>
      </c>
      <c r="G61" s="81">
        <f>'DIY Grundmodell'!V66</f>
        <v>414815.55140340701</v>
      </c>
      <c r="H61" s="81">
        <f>'DIY Grundmodell'!W66</f>
        <v>464988.08401823137</v>
      </c>
      <c r="I61" s="81">
        <f>'DIY Grundmodell'!X66</f>
        <v>488005.35669847328</v>
      </c>
      <c r="J61" s="81">
        <f>'DIY Grundmodell'!Y66</f>
        <v>513195.66194751824</v>
      </c>
      <c r="K61" s="81">
        <f>'DIY Grundmodell'!Z66</f>
        <v>531395.1282192308</v>
      </c>
      <c r="L61" s="81">
        <f>'DIY Grundmodell'!AA66</f>
        <v>544796.261416291</v>
      </c>
      <c r="M61" s="81">
        <f>'DIY Grundmodell'!AB66</f>
        <v>558776.32356746425</v>
      </c>
      <c r="N61" s="81">
        <f>'DIY Grundmodell'!AC66</f>
        <v>596487.97960820852</v>
      </c>
      <c r="O61" s="190">
        <f>'DIY Grundmodell'!AD66</f>
        <v>4411472.3617808474</v>
      </c>
      <c r="AF61" s="988">
        <f>'DIY Grundmodell'!R148</f>
        <v>45090</v>
      </c>
      <c r="AG61" s="89">
        <f>'DIY Grundmodell'!S148</f>
        <v>271.32</v>
      </c>
      <c r="AH61" s="54">
        <f>'DIY Grundmodell'!T148</f>
        <v>4385.6229899999998</v>
      </c>
      <c r="AI61" s="89">
        <f>'DIY Grundmodell'!U148</f>
        <v>271.32</v>
      </c>
      <c r="AJ61" s="89">
        <f>'DIY Grundmodell'!V148</f>
        <v>4385.6229899999998</v>
      </c>
      <c r="AK61" s="989"/>
      <c r="AL61" s="33">
        <f>'DIY Grundmodell'!X148</f>
        <v>4369.0063899999996</v>
      </c>
    </row>
    <row r="62" spans="2:38" ht="14.1" customHeight="1" thickBot="1" x14ac:dyDescent="0.35">
      <c r="B62" s="93" t="str">
        <f>'DIY Grundmodell'!Q67</f>
        <v>Umsatz/Kapital</v>
      </c>
      <c r="C62" s="94">
        <f>'DIY Grundmodell'!R67</f>
        <v>1.1957066274773462</v>
      </c>
      <c r="D62" s="191">
        <f>'DIY Grundmodell'!S67</f>
        <v>1.0858311930159155</v>
      </c>
      <c r="E62" s="94">
        <f>'DIY Grundmodell'!T67</f>
        <v>0.94515470302849958</v>
      </c>
      <c r="F62" s="94">
        <f>'DIY Grundmodell'!U67</f>
        <v>0.86980169190502254</v>
      </c>
      <c r="G62" s="94">
        <f>'DIY Grundmodell'!V67</f>
        <v>0.84344476236334898</v>
      </c>
      <c r="H62" s="94">
        <f>'DIY Grundmodell'!W67</f>
        <v>0.82347310448589417</v>
      </c>
      <c r="I62" s="94">
        <f>'DIY Grundmodell'!X67</f>
        <v>0.85870940817319541</v>
      </c>
      <c r="J62" s="94">
        <f>'DIY Grundmodell'!Y67</f>
        <v>0.8936498794779365</v>
      </c>
      <c r="K62" s="94">
        <f>'DIY Grundmodell'!Z67</f>
        <v>0.94452264948217401</v>
      </c>
      <c r="L62" s="94">
        <f>'DIY Grundmodell'!AA67</f>
        <v>0.97870764017412892</v>
      </c>
      <c r="M62" s="94">
        <f>'DIY Grundmodell'!AB67</f>
        <v>0.99544364802987706</v>
      </c>
      <c r="N62" s="94">
        <f>'DIY Grundmodell'!AC67</f>
        <v>0.97279327090334256</v>
      </c>
      <c r="O62" s="191">
        <f>'DIY Grundmodell'!AD67</f>
        <v>0.13153420109003089</v>
      </c>
      <c r="AF62" s="988">
        <f>'DIY Grundmodell'!R149</f>
        <v>45091</v>
      </c>
      <c r="AG62" s="89">
        <f>'DIY Grundmodell'!S149</f>
        <v>273.35000000000002</v>
      </c>
      <c r="AH62" s="54">
        <f>'DIY Grundmodell'!T149</f>
        <v>5241.5042899999999</v>
      </c>
      <c r="AI62" s="89">
        <f>'DIY Grundmodell'!U149</f>
        <v>273.35000000000002</v>
      </c>
      <c r="AJ62" s="89">
        <f>'DIY Grundmodell'!V149</f>
        <v>5241.5042899999999</v>
      </c>
      <c r="AK62" s="989"/>
      <c r="AL62" s="33">
        <f>'DIY Grundmodell'!X149</f>
        <v>4372.5894399999997</v>
      </c>
    </row>
    <row r="63" spans="2:38" ht="14.1" customHeight="1" x14ac:dyDescent="0.45">
      <c r="AF63" s="988">
        <f>'DIY Grundmodell'!R150</f>
        <v>45092</v>
      </c>
      <c r="AG63" s="89">
        <f>'DIY Grundmodell'!S150</f>
        <v>281.83</v>
      </c>
      <c r="AH63" s="54">
        <f>'DIY Grundmodell'!T150</f>
        <v>7320.0988200000002</v>
      </c>
      <c r="AI63" s="89">
        <f>'DIY Grundmodell'!U150</f>
        <v>281.83</v>
      </c>
      <c r="AJ63" s="89">
        <f>'DIY Grundmodell'!V150</f>
        <v>7320.0988200000002</v>
      </c>
      <c r="AK63" s="989"/>
      <c r="AL63" s="33">
        <f>'DIY Grundmodell'!X150</f>
        <v>4425.8442599999998</v>
      </c>
    </row>
    <row r="64" spans="2:38" ht="14.1" customHeight="1" x14ac:dyDescent="0.45">
      <c r="AF64" s="988">
        <f>'DIY Grundmodell'!R151</f>
        <v>45093</v>
      </c>
      <c r="AG64" s="89">
        <f>'DIY Grundmodell'!S151</f>
        <v>281</v>
      </c>
      <c r="AH64" s="54">
        <f>'DIY Grundmodell'!T151</f>
        <v>12118.89241</v>
      </c>
      <c r="AI64" s="89">
        <f>'DIY Grundmodell'!U151</f>
        <v>281</v>
      </c>
      <c r="AJ64" s="89">
        <f>'DIY Grundmodell'!V151</f>
        <v>12118.89241</v>
      </c>
      <c r="AK64" s="989"/>
      <c r="AL64" s="33">
        <f>'DIY Grundmodell'!X151</f>
        <v>4409.5943600000001</v>
      </c>
    </row>
    <row r="65" spans="2:38" ht="14.1" customHeight="1" x14ac:dyDescent="0.45">
      <c r="B65" s="116" t="str">
        <f>'DIY Grundmodell'!Q70</f>
        <v>Herleitung WACC</v>
      </c>
      <c r="C65" s="43"/>
      <c r="D65" s="193" t="str">
        <f>'DIY Grundmodell'!S70</f>
        <v>LTM</v>
      </c>
      <c r="E65" s="43" t="str">
        <f>'DIY Grundmodell'!T70</f>
        <v>LTM+1</v>
      </c>
      <c r="F65" s="43" t="str">
        <f>'DIY Grundmodell'!U70</f>
        <v>LTM+2</v>
      </c>
      <c r="G65" s="43" t="str">
        <f>'DIY Grundmodell'!V70</f>
        <v>LTM+3</v>
      </c>
      <c r="H65" s="43" t="str">
        <f>'DIY Grundmodell'!W70</f>
        <v>LTM+4</v>
      </c>
      <c r="I65" s="43" t="str">
        <f>'DIY Grundmodell'!X70</f>
        <v>LTM+5</v>
      </c>
      <c r="J65" s="43" t="str">
        <f>'DIY Grundmodell'!Y70</f>
        <v>LTM+6</v>
      </c>
      <c r="K65" s="43" t="str">
        <f>'DIY Grundmodell'!Z70</f>
        <v>LTM+7</v>
      </c>
      <c r="L65" s="43" t="str">
        <f>'DIY Grundmodell'!AA70</f>
        <v>LTM+8</v>
      </c>
      <c r="M65" s="43" t="str">
        <f>'DIY Grundmodell'!AB70</f>
        <v>LTM+9</v>
      </c>
      <c r="N65" s="43" t="str">
        <f>'DIY Grundmodell'!AC70</f>
        <v>LTM+10</v>
      </c>
      <c r="O65" s="44" t="str">
        <f>'DIY Grundmodell'!AD70</f>
        <v>ewig</v>
      </c>
      <c r="AF65" s="988">
        <f>'DIY Grundmodell'!R152</f>
        <v>45094</v>
      </c>
      <c r="AG65" s="89" t="e">
        <f>'DIY Grundmodell'!S152</f>
        <v>#N/A</v>
      </c>
      <c r="AH65" s="54" t="e">
        <f>'DIY Grundmodell'!T152</f>
        <v>#N/A</v>
      </c>
      <c r="AI65" s="89">
        <f>'DIY Grundmodell'!U152</f>
        <v>281</v>
      </c>
      <c r="AJ65" s="89">
        <f>'DIY Grundmodell'!V152</f>
        <v>0</v>
      </c>
      <c r="AK65" s="989"/>
      <c r="AL65" s="33">
        <f>'DIY Grundmodell'!X152</f>
        <v>4409.5943600000001</v>
      </c>
    </row>
    <row r="66" spans="2:38" ht="14.1" customHeight="1" x14ac:dyDescent="0.45">
      <c r="B66" s="1" t="str">
        <f>'DIY Grundmodell'!Q71</f>
        <v>ERP adj.</v>
      </c>
      <c r="C66" s="1"/>
      <c r="D66" s="194">
        <f>'DIY Grundmodell'!S71</f>
        <v>6.6912423369693594E-2</v>
      </c>
      <c r="E66" s="2">
        <f>'DIY Grundmodell'!T71</f>
        <v>6.6912423369693594E-2</v>
      </c>
      <c r="F66" s="2">
        <f>'DIY Grundmodell'!U71</f>
        <v>6.6912423369693594E-2</v>
      </c>
      <c r="G66" s="2">
        <f>'DIY Grundmodell'!V71</f>
        <v>6.6912423369693594E-2</v>
      </c>
      <c r="H66" s="2">
        <f>'DIY Grundmodell'!W71</f>
        <v>6.6912423369693594E-2</v>
      </c>
      <c r="I66" s="2">
        <f>'DIY Grundmodell'!X71</f>
        <v>6.6912423369693594E-2</v>
      </c>
      <c r="J66" s="2">
        <f>'DIY Grundmodell'!Y71</f>
        <v>6.6912423369693594E-2</v>
      </c>
      <c r="K66" s="2">
        <f>'DIY Grundmodell'!Z71</f>
        <v>6.6912423369693594E-2</v>
      </c>
      <c r="L66" s="2">
        <f>'DIY Grundmodell'!AA71</f>
        <v>6.6912423369693594E-2</v>
      </c>
      <c r="M66" s="2">
        <f>'DIY Grundmodell'!AB71</f>
        <v>6.6912423369693594E-2</v>
      </c>
      <c r="N66" s="2">
        <f>'DIY Grundmodell'!AC71</f>
        <v>6.6912423369693594E-2</v>
      </c>
      <c r="O66" s="194">
        <f>'DIY Grundmodell'!AD71</f>
        <v>6.6912423369693594E-2</v>
      </c>
      <c r="AF66" s="988">
        <f>'DIY Grundmodell'!R153</f>
        <v>45095</v>
      </c>
      <c r="AG66" s="89" t="e">
        <f>'DIY Grundmodell'!S153</f>
        <v>#N/A</v>
      </c>
      <c r="AH66" s="54" t="e">
        <f>'DIY Grundmodell'!T153</f>
        <v>#N/A</v>
      </c>
      <c r="AI66" s="89">
        <f>'DIY Grundmodell'!U153</f>
        <v>281</v>
      </c>
      <c r="AJ66" s="89">
        <f>'DIY Grundmodell'!V153</f>
        <v>0</v>
      </c>
      <c r="AK66" s="989"/>
      <c r="AL66" s="33">
        <f>'DIY Grundmodell'!X153</f>
        <v>4409.5943600000001</v>
      </c>
    </row>
    <row r="67" spans="2:38" ht="14.1" customHeight="1" x14ac:dyDescent="0.45">
      <c r="B67" s="1" t="str">
        <f>'DIY Grundmodell'!Q72</f>
        <v>i (rf)</v>
      </c>
      <c r="C67" s="1"/>
      <c r="D67" s="194">
        <f>'DIY Grundmodell'!S72</f>
        <v>4.3200000000000002E-2</v>
      </c>
      <c r="E67" s="2">
        <f>'DIY Grundmodell'!T72</f>
        <v>4.3200000000000002E-2</v>
      </c>
      <c r="F67" s="2">
        <f>'DIY Grundmodell'!U72</f>
        <v>4.3200000000000002E-2</v>
      </c>
      <c r="G67" s="2">
        <f>'DIY Grundmodell'!V72</f>
        <v>4.3200000000000002E-2</v>
      </c>
      <c r="H67" s="2">
        <f>'DIY Grundmodell'!W72</f>
        <v>4.3200000000000002E-2</v>
      </c>
      <c r="I67" s="2">
        <f>'DIY Grundmodell'!X72</f>
        <v>4.3200000000000002E-2</v>
      </c>
      <c r="J67" s="2">
        <f>'DIY Grundmodell'!Y72</f>
        <v>4.3200000000000002E-2</v>
      </c>
      <c r="K67" s="2">
        <f>'DIY Grundmodell'!Z72</f>
        <v>4.3200000000000002E-2</v>
      </c>
      <c r="L67" s="2">
        <f>'DIY Grundmodell'!AA72</f>
        <v>4.3200000000000002E-2</v>
      </c>
      <c r="M67" s="2">
        <f>'DIY Grundmodell'!AB72</f>
        <v>4.3200000000000002E-2</v>
      </c>
      <c r="N67" s="2">
        <f>'DIY Grundmodell'!AC72</f>
        <v>4.3200000000000002E-2</v>
      </c>
      <c r="O67" s="194">
        <f>'DIY Grundmodell'!AD72</f>
        <v>4.3200000000000002E-2</v>
      </c>
      <c r="AF67" s="988">
        <f>'DIY Grundmodell'!R154</f>
        <v>45096</v>
      </c>
      <c r="AG67" s="89" t="e">
        <f>'DIY Grundmodell'!S154</f>
        <v>#N/A</v>
      </c>
      <c r="AH67" s="54" t="e">
        <f>'DIY Grundmodell'!T154</f>
        <v>#N/A</v>
      </c>
      <c r="AI67" s="89">
        <f>'DIY Grundmodell'!U154</f>
        <v>281</v>
      </c>
      <c r="AJ67" s="89">
        <f>'DIY Grundmodell'!V154</f>
        <v>0</v>
      </c>
      <c r="AK67" s="989"/>
      <c r="AL67" s="33">
        <f>'DIY Grundmodell'!X154</f>
        <v>4409.5943600000001</v>
      </c>
    </row>
    <row r="68" spans="2:38" ht="14.1" customHeight="1" x14ac:dyDescent="0.45">
      <c r="B68" s="1" t="str">
        <f>'DIY Grundmodell'!Q73</f>
        <v>Beta unlev.</v>
      </c>
      <c r="C68" s="1"/>
      <c r="D68" s="195">
        <f>'DIY Grundmodell'!S73</f>
        <v>1.043891231397104</v>
      </c>
      <c r="E68" s="85">
        <f>'DIY Grundmodell'!T73</f>
        <v>1.043891231397104</v>
      </c>
      <c r="F68" s="85">
        <f>'DIY Grundmodell'!U73</f>
        <v>1.043891231397104</v>
      </c>
      <c r="G68" s="85">
        <f>'DIY Grundmodell'!V73</f>
        <v>1.043891231397104</v>
      </c>
      <c r="H68" s="85">
        <f>'DIY Grundmodell'!W73</f>
        <v>1.043891231397104</v>
      </c>
      <c r="I68" s="85">
        <f>'DIY Grundmodell'!X73</f>
        <v>1.043891231397104</v>
      </c>
      <c r="J68" s="85">
        <f>'DIY Grundmodell'!Y73</f>
        <v>1.043891231397104</v>
      </c>
      <c r="K68" s="85">
        <f>'DIY Grundmodell'!Z73</f>
        <v>1.043891231397104</v>
      </c>
      <c r="L68" s="85">
        <f>'DIY Grundmodell'!AA73</f>
        <v>1.043891231397104</v>
      </c>
      <c r="M68" s="85">
        <f>'DIY Grundmodell'!AB73</f>
        <v>1.043891231397104</v>
      </c>
      <c r="N68" s="85">
        <f>'DIY Grundmodell'!AC73</f>
        <v>1.043891231397104</v>
      </c>
      <c r="O68" s="195">
        <f>'DIY Grundmodell'!AD73</f>
        <v>1.043891231397104</v>
      </c>
      <c r="AF68" s="988">
        <f>'DIY Grundmodell'!R155</f>
        <v>45097</v>
      </c>
      <c r="AG68" s="89">
        <f>'DIY Grundmodell'!S155</f>
        <v>284.33</v>
      </c>
      <c r="AH68" s="54">
        <f>'DIY Grundmodell'!T155</f>
        <v>5886.0828000000001</v>
      </c>
      <c r="AI68" s="89">
        <f>'DIY Grundmodell'!U155</f>
        <v>284.33</v>
      </c>
      <c r="AJ68" s="89">
        <f>'DIY Grundmodell'!V155</f>
        <v>5886.0828000000001</v>
      </c>
      <c r="AK68" s="989"/>
      <c r="AL68" s="33">
        <f>'DIY Grundmodell'!X155</f>
        <v>4388.7097599999997</v>
      </c>
    </row>
    <row r="69" spans="2:38" ht="14.1" customHeight="1" x14ac:dyDescent="0.45">
      <c r="B69" s="1" t="str">
        <f>'DIY Grundmodell'!Q74</f>
        <v>Beta relev.</v>
      </c>
      <c r="C69" s="1"/>
      <c r="D69" s="195">
        <f>'DIY Grundmodell'!S74</f>
        <v>1.0881829755935819</v>
      </c>
      <c r="E69" s="85">
        <f>'DIY Grundmodell'!T74</f>
        <v>1.1102993685733724</v>
      </c>
      <c r="F69" s="85">
        <f>'DIY Grundmodell'!U74</f>
        <v>1.1336308618402802</v>
      </c>
      <c r="G69" s="85">
        <f>'DIY Grundmodell'!V74</f>
        <v>1.1582804224892114</v>
      </c>
      <c r="H69" s="85">
        <f>'DIY Grundmodell'!W74</f>
        <v>1.1843629896350254</v>
      </c>
      <c r="I69" s="85">
        <f>'DIY Grundmodell'!X74</f>
        <v>1.2120072664926356</v>
      </c>
      <c r="J69" s="85">
        <f>'DIY Grundmodell'!Y74</f>
        <v>1.2413578442973685</v>
      </c>
      <c r="K69" s="85">
        <f>'DIY Grundmodell'!Z74</f>
        <v>1.2725777320366265</v>
      </c>
      <c r="L69" s="85">
        <f>'DIY Grundmodell'!AA74</f>
        <v>1.3058513854283169</v>
      </c>
      <c r="M69" s="85">
        <f>'DIY Grundmodell'!AB74</f>
        <v>1.3413883540038916</v>
      </c>
      <c r="N69" s="85">
        <f>'DIY Grundmodell'!AC74</f>
        <v>1.3794276986318874</v>
      </c>
      <c r="O69" s="195">
        <f>'DIY Grundmodell'!AD74</f>
        <v>1.3794276986318874</v>
      </c>
      <c r="AF69" s="988">
        <f>'DIY Grundmodell'!R156</f>
        <v>45098</v>
      </c>
      <c r="AG69" s="89">
        <f>'DIY Grundmodell'!S156</f>
        <v>281.64</v>
      </c>
      <c r="AH69" s="54">
        <f>'DIY Grundmodell'!T156</f>
        <v>5789.4397200000003</v>
      </c>
      <c r="AI69" s="89">
        <f>'DIY Grundmodell'!U156</f>
        <v>281.64</v>
      </c>
      <c r="AJ69" s="89">
        <f>'DIY Grundmodell'!V156</f>
        <v>5789.4397200000003</v>
      </c>
      <c r="AK69" s="989"/>
      <c r="AL69" s="33">
        <f>'DIY Grundmodell'!X156</f>
        <v>4365.6898300000003</v>
      </c>
    </row>
    <row r="70" spans="2:38" ht="14.1" customHeight="1" x14ac:dyDescent="0.45">
      <c r="B70" s="1" t="str">
        <f>'DIY Grundmodell'!Q75</f>
        <v>Aufschlag</v>
      </c>
      <c r="C70" s="1"/>
      <c r="D70" s="195">
        <f>'DIY Grundmodell'!S75</f>
        <v>-0.52103406684745002</v>
      </c>
      <c r="E70" s="85">
        <f>'DIY Grundmodell'!T75</f>
        <v>-0.52103406684745002</v>
      </c>
      <c r="F70" s="85">
        <f>'DIY Grundmodell'!U75</f>
        <v>-0.52103406684745002</v>
      </c>
      <c r="G70" s="85">
        <f>'DIY Grundmodell'!V75</f>
        <v>-0.52103406684745002</v>
      </c>
      <c r="H70" s="85">
        <f>'DIY Grundmodell'!W75</f>
        <v>-0.52103406684745002</v>
      </c>
      <c r="I70" s="85">
        <f>'DIY Grundmodell'!X75</f>
        <v>-0.52103406684745002</v>
      </c>
      <c r="J70" s="85">
        <f>'DIY Grundmodell'!Y75</f>
        <v>-0.52103406684745002</v>
      </c>
      <c r="K70" s="85">
        <f>'DIY Grundmodell'!Z75</f>
        <v>-0.52103406684745002</v>
      </c>
      <c r="L70" s="85">
        <f>'DIY Grundmodell'!AA75</f>
        <v>-0.52103406684745002</v>
      </c>
      <c r="M70" s="85">
        <f>'DIY Grundmodell'!AB75</f>
        <v>-0.52103406684745002</v>
      </c>
      <c r="N70" s="85">
        <f>'DIY Grundmodell'!AC75</f>
        <v>-0.52103406684745002</v>
      </c>
      <c r="O70" s="198">
        <f>'DIY Grundmodell'!AD75</f>
        <v>-0.52103406684745002</v>
      </c>
      <c r="AF70" s="988">
        <f>'DIY Grundmodell'!R157</f>
        <v>45099</v>
      </c>
      <c r="AG70" s="89">
        <f>'DIY Grundmodell'!S157</f>
        <v>284.88</v>
      </c>
      <c r="AH70" s="54">
        <f>'DIY Grundmodell'!T157</f>
        <v>5003.3648199999998</v>
      </c>
      <c r="AI70" s="89">
        <f>'DIY Grundmodell'!U157</f>
        <v>284.88</v>
      </c>
      <c r="AJ70" s="89">
        <f>'DIY Grundmodell'!V157</f>
        <v>5003.3648199999998</v>
      </c>
      <c r="AK70" s="989"/>
      <c r="AL70" s="33">
        <f>'DIY Grundmodell'!X157</f>
        <v>4381.89048</v>
      </c>
    </row>
    <row r="71" spans="2:38" ht="14.1" customHeight="1" x14ac:dyDescent="0.45">
      <c r="B71" s="1" t="str">
        <f>'DIY Grundmodell'!Q76</f>
        <v>Bewertungsbeta</v>
      </c>
      <c r="C71" s="1"/>
      <c r="D71" s="195">
        <f>'DIY Grundmodell'!S76</f>
        <v>0.8</v>
      </c>
      <c r="E71" s="85">
        <f>'DIY Grundmodell'!T76</f>
        <v>0.8</v>
      </c>
      <c r="F71" s="85">
        <f>'DIY Grundmodell'!U76</f>
        <v>0.8</v>
      </c>
      <c r="G71" s="85">
        <f>'DIY Grundmodell'!V76</f>
        <v>0.8</v>
      </c>
      <c r="H71" s="85">
        <f>'DIY Grundmodell'!W76</f>
        <v>0.8</v>
      </c>
      <c r="I71" s="85">
        <f>'DIY Grundmodell'!X76</f>
        <v>0.8</v>
      </c>
      <c r="J71" s="85">
        <f>'DIY Grundmodell'!Y76</f>
        <v>0.8</v>
      </c>
      <c r="K71" s="85">
        <f>'DIY Grundmodell'!Z76</f>
        <v>0.8</v>
      </c>
      <c r="L71" s="85">
        <f>'DIY Grundmodell'!AA76</f>
        <v>0.8</v>
      </c>
      <c r="M71" s="85">
        <f>'DIY Grundmodell'!AB76</f>
        <v>0.82035428715644154</v>
      </c>
      <c r="N71" s="85">
        <f>'DIY Grundmodell'!AC76</f>
        <v>0.85839363178443739</v>
      </c>
      <c r="O71" s="198">
        <f>'DIY Grundmodell'!AD76</f>
        <v>0.85839363178443739</v>
      </c>
      <c r="AF71" s="988">
        <f>'DIY Grundmodell'!R158</f>
        <v>45100</v>
      </c>
      <c r="AG71" s="89">
        <f>'DIY Grundmodell'!S158</f>
        <v>288.73</v>
      </c>
      <c r="AH71" s="54">
        <f>'DIY Grundmodell'!T158</f>
        <v>14751.80413</v>
      </c>
      <c r="AI71" s="89">
        <f>'DIY Grundmodell'!U158</f>
        <v>288.73</v>
      </c>
      <c r="AJ71" s="89">
        <f>'DIY Grundmodell'!V158</f>
        <v>14751.80413</v>
      </c>
      <c r="AK71" s="989"/>
      <c r="AL71" s="33">
        <f>'DIY Grundmodell'!X158</f>
        <v>4348.3306700000003</v>
      </c>
    </row>
    <row r="72" spans="2:38" ht="14.1" customHeight="1" x14ac:dyDescent="0.45">
      <c r="B72" s="1" t="str">
        <f>'DIY Grundmodell'!Q77</f>
        <v>Aufschlag Länderrisiko</v>
      </c>
      <c r="C72" s="1"/>
      <c r="D72" s="194">
        <f>'DIY Grundmodell'!S77</f>
        <v>0</v>
      </c>
      <c r="E72" s="2">
        <f>'DIY Grundmodell'!T77</f>
        <v>0</v>
      </c>
      <c r="F72" s="2">
        <f>'DIY Grundmodell'!U77</f>
        <v>0</v>
      </c>
      <c r="G72" s="2">
        <f>'DIY Grundmodell'!V77</f>
        <v>0</v>
      </c>
      <c r="H72" s="2">
        <f>'DIY Grundmodell'!W77</f>
        <v>0</v>
      </c>
      <c r="I72" s="2">
        <f>'DIY Grundmodell'!X77</f>
        <v>0</v>
      </c>
      <c r="J72" s="2">
        <f>'DIY Grundmodell'!Y77</f>
        <v>0</v>
      </c>
      <c r="K72" s="2">
        <f>'DIY Grundmodell'!Z77</f>
        <v>0</v>
      </c>
      <c r="L72" s="2">
        <f>'DIY Grundmodell'!AA77</f>
        <v>0</v>
      </c>
      <c r="M72" s="2">
        <f>'DIY Grundmodell'!AB77</f>
        <v>0</v>
      </c>
      <c r="N72" s="2">
        <f>'DIY Grundmodell'!AC77</f>
        <v>0</v>
      </c>
      <c r="O72" s="194">
        <f>'DIY Grundmodell'!AD77</f>
        <v>0</v>
      </c>
      <c r="AF72" s="988">
        <f>'DIY Grundmodell'!R159</f>
        <v>45101</v>
      </c>
      <c r="AG72" s="89" t="e">
        <f>'DIY Grundmodell'!S159</f>
        <v>#N/A</v>
      </c>
      <c r="AH72" s="54" t="e">
        <f>'DIY Grundmodell'!T159</f>
        <v>#N/A</v>
      </c>
      <c r="AI72" s="89">
        <f>'DIY Grundmodell'!U159</f>
        <v>288.73</v>
      </c>
      <c r="AJ72" s="89">
        <f>'DIY Grundmodell'!V159</f>
        <v>0</v>
      </c>
      <c r="AK72" s="989"/>
      <c r="AL72" s="33">
        <f>'DIY Grundmodell'!X159</f>
        <v>4348.3306700000003</v>
      </c>
    </row>
    <row r="73" spans="2:38" ht="14.1" customHeight="1" x14ac:dyDescent="0.45">
      <c r="B73" s="82" t="str">
        <f>'DIY Grundmodell'!Q78</f>
        <v>Eigenkapitalkosten</v>
      </c>
      <c r="C73" s="82"/>
      <c r="D73" s="196">
        <f>'DIY Grundmodell'!S78</f>
        <v>9.6729938695754886E-2</v>
      </c>
      <c r="E73" s="84">
        <f>'DIY Grundmodell'!T78</f>
        <v>9.6729938695754886E-2</v>
      </c>
      <c r="F73" s="84">
        <f>'DIY Grundmodell'!U78</f>
        <v>9.6729938695754886E-2</v>
      </c>
      <c r="G73" s="84">
        <f>'DIY Grundmodell'!V78</f>
        <v>9.6729938695754886E-2</v>
      </c>
      <c r="H73" s="84">
        <f>'DIY Grundmodell'!W78</f>
        <v>9.6729938695754886E-2</v>
      </c>
      <c r="I73" s="84">
        <f>'DIY Grundmodell'!X78</f>
        <v>9.6729938695754886E-2</v>
      </c>
      <c r="J73" s="84">
        <f>'DIY Grundmodell'!Y78</f>
        <v>9.6729938695754886E-2</v>
      </c>
      <c r="K73" s="84">
        <f>'DIY Grundmodell'!Z78</f>
        <v>9.6729938695754886E-2</v>
      </c>
      <c r="L73" s="84">
        <f>'DIY Grundmodell'!AA78</f>
        <v>9.6729938695754886E-2</v>
      </c>
      <c r="M73" s="84">
        <f>'DIY Grundmodell'!AB78</f>
        <v>9.809189337535501E-2</v>
      </c>
      <c r="N73" s="84">
        <f>'DIY Grundmodell'!AC78</f>
        <v>0.10063719810780915</v>
      </c>
      <c r="O73" s="196">
        <f>'DIY Grundmodell'!AD78</f>
        <v>0.10063719810780915</v>
      </c>
      <c r="AF73" s="988">
        <f>'DIY Grundmodell'!R160</f>
        <v>45102</v>
      </c>
      <c r="AG73" s="89" t="e">
        <f>'DIY Grundmodell'!S160</f>
        <v>#N/A</v>
      </c>
      <c r="AH73" s="54" t="e">
        <f>'DIY Grundmodell'!T160</f>
        <v>#N/A</v>
      </c>
      <c r="AI73" s="89">
        <f>'DIY Grundmodell'!U160</f>
        <v>288.73</v>
      </c>
      <c r="AJ73" s="89">
        <f>'DIY Grundmodell'!V160</f>
        <v>0</v>
      </c>
      <c r="AK73" s="989"/>
      <c r="AL73" s="33">
        <f>'DIY Grundmodell'!X160</f>
        <v>4348.3306700000003</v>
      </c>
    </row>
    <row r="74" spans="2:38" ht="14.1" customHeight="1" x14ac:dyDescent="0.45">
      <c r="B74" s="1" t="str">
        <f>'DIY Grundmodell'!Q79</f>
        <v>Steuer</v>
      </c>
      <c r="C74" s="1"/>
      <c r="D74" s="194">
        <f>'DIY Grundmodell'!S79</f>
        <v>0.25</v>
      </c>
      <c r="E74" s="2">
        <f>'DIY Grundmodell'!T79</f>
        <v>0.25</v>
      </c>
      <c r="F74" s="2">
        <f>'DIY Grundmodell'!U79</f>
        <v>0.25</v>
      </c>
      <c r="G74" s="2">
        <f>'DIY Grundmodell'!V79</f>
        <v>0.25</v>
      </c>
      <c r="H74" s="2">
        <f>'DIY Grundmodell'!W79</f>
        <v>0.25</v>
      </c>
      <c r="I74" s="2">
        <f>'DIY Grundmodell'!X79</f>
        <v>0.25</v>
      </c>
      <c r="J74" s="2">
        <f>'DIY Grundmodell'!Y79</f>
        <v>0.25</v>
      </c>
      <c r="K74" s="2">
        <f>'DIY Grundmodell'!Z79</f>
        <v>0.25</v>
      </c>
      <c r="L74" s="2">
        <f>'DIY Grundmodell'!AA79</f>
        <v>0.25</v>
      </c>
      <c r="M74" s="2">
        <f>'DIY Grundmodell'!AB79</f>
        <v>0.25</v>
      </c>
      <c r="N74" s="2">
        <f>'DIY Grundmodell'!AC79</f>
        <v>0.25</v>
      </c>
      <c r="O74" s="194">
        <f>'DIY Grundmodell'!AD79</f>
        <v>0.25</v>
      </c>
      <c r="AF74" s="988">
        <f>'DIY Grundmodell'!R161</f>
        <v>45103</v>
      </c>
      <c r="AG74" s="89">
        <f>'DIY Grundmodell'!S161</f>
        <v>278.47000000000003</v>
      </c>
      <c r="AH74" s="54">
        <f>'DIY Grundmodell'!T161</f>
        <v>6748.0663199999999</v>
      </c>
      <c r="AI74" s="89">
        <f>'DIY Grundmodell'!U161</f>
        <v>278.47000000000003</v>
      </c>
      <c r="AJ74" s="89">
        <f>'DIY Grundmodell'!V161</f>
        <v>6748.0663199999999</v>
      </c>
      <c r="AK74" s="989"/>
      <c r="AL74" s="33">
        <f>'DIY Grundmodell'!X161</f>
        <v>4328.82161</v>
      </c>
    </row>
    <row r="75" spans="2:38" ht="14.1" customHeight="1" x14ac:dyDescent="0.45">
      <c r="B75" s="1" t="str">
        <f>'DIY Grundmodell'!Q80</f>
        <v>i FK</v>
      </c>
      <c r="C75" s="1"/>
      <c r="D75" s="194">
        <f>'DIY Grundmodell'!S80</f>
        <v>5.5586666666666673E-2</v>
      </c>
      <c r="E75" s="2">
        <f>'DIY Grundmodell'!T80</f>
        <v>5.5586666666666673E-2</v>
      </c>
      <c r="F75" s="2">
        <f>'DIY Grundmodell'!U80</f>
        <v>5.5586666666666673E-2</v>
      </c>
      <c r="G75" s="2">
        <f>'DIY Grundmodell'!V80</f>
        <v>5.5586666666666673E-2</v>
      </c>
      <c r="H75" s="2">
        <f>'DIY Grundmodell'!W80</f>
        <v>5.5586666666666673E-2</v>
      </c>
      <c r="I75" s="2">
        <f>'DIY Grundmodell'!X80</f>
        <v>5.5586666666666673E-2</v>
      </c>
      <c r="J75" s="2">
        <f>'DIY Grundmodell'!Y80</f>
        <v>5.5586666666666673E-2</v>
      </c>
      <c r="K75" s="2">
        <f>'DIY Grundmodell'!Z80</f>
        <v>5.5586666666666673E-2</v>
      </c>
      <c r="L75" s="2">
        <f>'DIY Grundmodell'!AA80</f>
        <v>5.5586666666666673E-2</v>
      </c>
      <c r="M75" s="2">
        <f>'DIY Grundmodell'!AB80</f>
        <v>5.5586666666666673E-2</v>
      </c>
      <c r="N75" s="2">
        <f>'DIY Grundmodell'!AC80</f>
        <v>5.5586666666666673E-2</v>
      </c>
      <c r="O75" s="194">
        <f>'DIY Grundmodell'!AD80</f>
        <v>5.5586666666666673E-2</v>
      </c>
      <c r="AF75" s="988">
        <f>'DIY Grundmodell'!R162</f>
        <v>45104</v>
      </c>
      <c r="AG75" s="89">
        <f>'DIY Grundmodell'!S162</f>
        <v>287.05</v>
      </c>
      <c r="AH75" s="54">
        <f>'DIY Grundmodell'!T162</f>
        <v>7494.3760300000004</v>
      </c>
      <c r="AI75" s="89">
        <f>'DIY Grundmodell'!U162</f>
        <v>287.05</v>
      </c>
      <c r="AJ75" s="89">
        <f>'DIY Grundmodell'!V162</f>
        <v>7494.3760300000004</v>
      </c>
      <c r="AK75" s="989"/>
      <c r="AL75" s="33">
        <f>'DIY Grundmodell'!X162</f>
        <v>4378.4053199999998</v>
      </c>
    </row>
    <row r="76" spans="2:38" ht="14.1" customHeight="1" x14ac:dyDescent="0.45">
      <c r="B76" s="82" t="str">
        <f>'DIY Grundmodell'!Q81</f>
        <v>Fremdkapitalko. n. Steuer</v>
      </c>
      <c r="C76" s="82"/>
      <c r="D76" s="196">
        <f>'DIY Grundmodell'!S81</f>
        <v>4.1690000000000005E-2</v>
      </c>
      <c r="E76" s="84">
        <f>'DIY Grundmodell'!T81</f>
        <v>4.1690000000000005E-2</v>
      </c>
      <c r="F76" s="84">
        <f>'DIY Grundmodell'!U81</f>
        <v>4.1690000000000005E-2</v>
      </c>
      <c r="G76" s="84">
        <f>'DIY Grundmodell'!V81</f>
        <v>4.1690000000000005E-2</v>
      </c>
      <c r="H76" s="84">
        <f>'DIY Grundmodell'!W81</f>
        <v>4.1690000000000005E-2</v>
      </c>
      <c r="I76" s="84">
        <f>'DIY Grundmodell'!X81</f>
        <v>4.1690000000000005E-2</v>
      </c>
      <c r="J76" s="84">
        <f>'DIY Grundmodell'!Y81</f>
        <v>4.1690000000000005E-2</v>
      </c>
      <c r="K76" s="84">
        <f>'DIY Grundmodell'!Z81</f>
        <v>4.1690000000000005E-2</v>
      </c>
      <c r="L76" s="84">
        <f>'DIY Grundmodell'!AA81</f>
        <v>4.1690000000000005E-2</v>
      </c>
      <c r="M76" s="84">
        <f>'DIY Grundmodell'!AB81</f>
        <v>4.1690000000000005E-2</v>
      </c>
      <c r="N76" s="84">
        <f>'DIY Grundmodell'!AC81</f>
        <v>4.1690000000000005E-2</v>
      </c>
      <c r="O76" s="196">
        <f>'DIY Grundmodell'!AD81</f>
        <v>4.1690000000000005E-2</v>
      </c>
      <c r="AF76" s="988">
        <f>'DIY Grundmodell'!R163</f>
        <v>45105</v>
      </c>
      <c r="AG76" s="89">
        <f>'DIY Grundmodell'!S163</f>
        <v>285.29000000000002</v>
      </c>
      <c r="AH76" s="54">
        <f>'DIY Grundmodell'!T163</f>
        <v>4770.6527599999999</v>
      </c>
      <c r="AI76" s="89">
        <f>'DIY Grundmodell'!U163</f>
        <v>285.29000000000002</v>
      </c>
      <c r="AJ76" s="89">
        <f>'DIY Grundmodell'!V163</f>
        <v>4770.6527599999999</v>
      </c>
      <c r="AK76" s="989"/>
      <c r="AL76" s="33">
        <f>'DIY Grundmodell'!X163</f>
        <v>4376.8637099999996</v>
      </c>
    </row>
    <row r="77" spans="2:38" ht="14.1" customHeight="1" x14ac:dyDescent="0.45">
      <c r="B77" s="83" t="str">
        <f>'DIY Grundmodell'!Q82</f>
        <v>Eigenkapitalwert (Marktk.)</v>
      </c>
      <c r="C77" s="83"/>
      <c r="D77" s="46">
        <f>'DIY Grundmodell'!S82</f>
        <v>1712180.20692</v>
      </c>
      <c r="E77" s="33">
        <f>'DIY Grundmodell'!T82</f>
        <v>0</v>
      </c>
      <c r="F77" s="115">
        <f>'DIY Grundmodell'!U82</f>
        <v>0</v>
      </c>
      <c r="G77" s="115">
        <f>'DIY Grundmodell'!V82</f>
        <v>0</v>
      </c>
      <c r="H77" s="115">
        <f>'DIY Grundmodell'!W82</f>
        <v>0</v>
      </c>
      <c r="I77" s="115">
        <f>'DIY Grundmodell'!X82</f>
        <v>0</v>
      </c>
      <c r="J77" s="115">
        <f>'DIY Grundmodell'!Y82</f>
        <v>0</v>
      </c>
      <c r="K77" s="115">
        <f>'DIY Grundmodell'!Z82</f>
        <v>0</v>
      </c>
      <c r="L77" s="115">
        <f>'DIY Grundmodell'!AA82</f>
        <v>0</v>
      </c>
      <c r="M77" s="115">
        <f>'DIY Grundmodell'!AB82</f>
        <v>0</v>
      </c>
      <c r="N77" s="115">
        <f>'DIY Grundmodell'!AC82</f>
        <v>0</v>
      </c>
      <c r="O77" s="197">
        <f>'DIY Grundmodell'!AD82</f>
        <v>0</v>
      </c>
      <c r="AF77" s="988">
        <f>'DIY Grundmodell'!R164</f>
        <v>45106</v>
      </c>
      <c r="AG77" s="89">
        <f>'DIY Grundmodell'!S164</f>
        <v>281.52999999999997</v>
      </c>
      <c r="AH77" s="54">
        <f>'DIY Grundmodell'!T164</f>
        <v>4334.34861</v>
      </c>
      <c r="AI77" s="89">
        <f>'DIY Grundmodell'!U164</f>
        <v>281.52999999999997</v>
      </c>
      <c r="AJ77" s="89">
        <f>'DIY Grundmodell'!V164</f>
        <v>4334.34861</v>
      </c>
      <c r="AK77" s="989"/>
      <c r="AL77" s="33">
        <f>'DIY Grundmodell'!X164</f>
        <v>4396.4434199999996</v>
      </c>
    </row>
    <row r="78" spans="2:38" ht="14.1" customHeight="1" x14ac:dyDescent="0.45">
      <c r="B78" s="83" t="str">
        <f>'DIY Grundmodell'!Q83</f>
        <v>Fremdkapitalwert</v>
      </c>
      <c r="C78" s="83"/>
      <c r="D78" s="46">
        <f>'DIY Grundmodell'!S83</f>
        <v>96862.515253533027</v>
      </c>
      <c r="E78" s="33">
        <f>'DIY Grundmodell'!T83</f>
        <v>129590.2356967489</v>
      </c>
      <c r="F78" s="33">
        <f>'DIY Grundmodell'!U83</f>
        <v>185504.86087150063</v>
      </c>
      <c r="G78" s="33">
        <f>'DIY Grundmodell'!V83</f>
        <v>248268.08390763131</v>
      </c>
      <c r="H78" s="33">
        <f>'DIY Grundmodell'!W83</f>
        <v>316493.80031059776</v>
      </c>
      <c r="I78" s="33">
        <f>'DIY Grundmodell'!X83</f>
        <v>391300.39766925259</v>
      </c>
      <c r="J78" s="33">
        <f>'DIY Grundmodell'!Y83</f>
        <v>467157.86615034682</v>
      </c>
      <c r="K78" s="33">
        <f>'DIY Grundmodell'!Z83</f>
        <v>547901.91221912357</v>
      </c>
      <c r="L78" s="33">
        <f>'DIY Grundmodell'!AA83</f>
        <v>630824.84060264274</v>
      </c>
      <c r="M78" s="33">
        <f>'DIY Grundmodell'!AB83</f>
        <v>716870.08704631077</v>
      </c>
      <c r="N78" s="33">
        <f>'DIY Grundmodell'!AC83</f>
        <v>808367.51683881844</v>
      </c>
      <c r="O78" s="46">
        <f>'DIY Grundmodell'!AD83</f>
        <v>0</v>
      </c>
      <c r="AF78" s="988">
        <f>'DIY Grundmodell'!R165</f>
        <v>45107</v>
      </c>
      <c r="AG78" s="89">
        <f>'DIY Grundmodell'!S165</f>
        <v>286.98</v>
      </c>
      <c r="AH78" s="54">
        <f>'DIY Grundmodell'!T165</f>
        <v>5652.0343700000003</v>
      </c>
      <c r="AI78" s="89">
        <f>'DIY Grundmodell'!U165</f>
        <v>286.98</v>
      </c>
      <c r="AJ78" s="89">
        <f>'DIY Grundmodell'!V165</f>
        <v>5652.0343700000003</v>
      </c>
      <c r="AK78" s="989"/>
      <c r="AL78" s="33">
        <f>'DIY Grundmodell'!X165</f>
        <v>4450.3813099999998</v>
      </c>
    </row>
    <row r="79" spans="2:38" ht="14.1" customHeight="1" x14ac:dyDescent="0.45">
      <c r="B79" s="83" t="str">
        <f>'DIY Grundmodell'!Q84</f>
        <v>FK/EK</v>
      </c>
      <c r="C79" s="83"/>
      <c r="D79" s="194">
        <f>'DIY Grundmodell'!S84</f>
        <v>5.6572617100729534E-2</v>
      </c>
      <c r="E79" s="2">
        <f>'DIY Grundmodell'!T84</f>
        <v>8.4821272790257002E-2</v>
      </c>
      <c r="F79" s="2">
        <f>'DIY Grundmodell'!U84</f>
        <v>0.11462194239409676</v>
      </c>
      <c r="G79" s="2">
        <f>'DIY Grundmodell'!V84</f>
        <v>0.14610614292833732</v>
      </c>
      <c r="H79" s="2">
        <f>'DIY Grundmodell'!W84</f>
        <v>0.17942068293829075</v>
      </c>
      <c r="I79" s="2">
        <f>'DIY Grundmodell'!X84</f>
        <v>0.21472995147272994</v>
      </c>
      <c r="J79" s="2">
        <f>'DIY Grundmodell'!Y84</f>
        <v>0.25221863090848728</v>
      </c>
      <c r="K79" s="2">
        <f>'DIY Grundmodell'!Z84</f>
        <v>0.29209492810658361</v>
      </c>
      <c r="L79" s="2">
        <f>'DIY Grundmodell'!AA84</f>
        <v>0.33459444324241255</v>
      </c>
      <c r="M79" s="2">
        <f>'DIY Grundmodell'!AB84</f>
        <v>0.37998482812381223</v>
      </c>
      <c r="N79" s="2">
        <f>'DIY Grundmodell'!AC84</f>
        <v>0.4285714285714286</v>
      </c>
      <c r="O79" s="194">
        <f>'DIY Grundmodell'!AD84</f>
        <v>0.4285714285714286</v>
      </c>
      <c r="AF79" s="988">
        <f>'DIY Grundmodell'!R166</f>
        <v>45108</v>
      </c>
      <c r="AG79" s="89" t="e">
        <f>'DIY Grundmodell'!S166</f>
        <v>#N/A</v>
      </c>
      <c r="AH79" s="54" t="e">
        <f>'DIY Grundmodell'!T166</f>
        <v>#N/A</v>
      </c>
      <c r="AI79" s="89">
        <f>'DIY Grundmodell'!U166</f>
        <v>286.98</v>
      </c>
      <c r="AJ79" s="89">
        <f>'DIY Grundmodell'!V166</f>
        <v>0</v>
      </c>
      <c r="AK79" s="989"/>
      <c r="AL79" s="33">
        <f>'DIY Grundmodell'!X166</f>
        <v>4450.3813099999998</v>
      </c>
    </row>
    <row r="80" spans="2:38" ht="14.1" customHeight="1" x14ac:dyDescent="0.45">
      <c r="B80" s="83" t="str">
        <f>'DIY Grundmodell'!Q85</f>
        <v>EK/GK</v>
      </c>
      <c r="C80" s="83"/>
      <c r="D80" s="194">
        <f>'DIY Grundmodell'!S85</f>
        <v>0.94645647995689441</v>
      </c>
      <c r="E80" s="2">
        <f>'DIY Grundmodell'!T85</f>
        <v>0.92181083196120484</v>
      </c>
      <c r="F80" s="2">
        <f>'DIY Grundmodell'!U85</f>
        <v>0.89716518396551548</v>
      </c>
      <c r="G80" s="2">
        <f>'DIY Grundmodell'!V85</f>
        <v>0.87251953596982601</v>
      </c>
      <c r="H80" s="2">
        <f>'DIY Grundmodell'!W85</f>
        <v>0.84787388797413654</v>
      </c>
      <c r="I80" s="2">
        <f>'DIY Grundmodell'!X85</f>
        <v>0.82322823997844718</v>
      </c>
      <c r="J80" s="2">
        <f>'DIY Grundmodell'!Y85</f>
        <v>0.79858259198275772</v>
      </c>
      <c r="K80" s="2">
        <f>'DIY Grundmodell'!Z85</f>
        <v>0.77393694398706825</v>
      </c>
      <c r="L80" s="2">
        <f>'DIY Grundmodell'!AA85</f>
        <v>0.74929129599137889</v>
      </c>
      <c r="M80" s="2">
        <f>'DIY Grundmodell'!AB85</f>
        <v>0.72464564799568942</v>
      </c>
      <c r="N80" s="2">
        <f>'DIY Grundmodell'!AC85</f>
        <v>0.7</v>
      </c>
      <c r="O80" s="194">
        <f>'DIY Grundmodell'!AD85</f>
        <v>0.7</v>
      </c>
      <c r="AF80" s="988">
        <f>'DIY Grundmodell'!R167</f>
        <v>45109</v>
      </c>
      <c r="AG80" s="89" t="e">
        <f>'DIY Grundmodell'!S167</f>
        <v>#N/A</v>
      </c>
      <c r="AH80" s="54" t="e">
        <f>'DIY Grundmodell'!T167</f>
        <v>#N/A</v>
      </c>
      <c r="AI80" s="89">
        <f>'DIY Grundmodell'!U167</f>
        <v>286.98</v>
      </c>
      <c r="AJ80" s="89">
        <f>'DIY Grundmodell'!V167</f>
        <v>0</v>
      </c>
      <c r="AK80" s="989"/>
      <c r="AL80" s="33">
        <f>'DIY Grundmodell'!X167</f>
        <v>4450.3813099999998</v>
      </c>
    </row>
    <row r="81" spans="2:38" ht="14.1" customHeight="1" x14ac:dyDescent="0.45">
      <c r="B81" s="83" t="str">
        <f>'DIY Grundmodell'!Q86</f>
        <v>FK/GK</v>
      </c>
      <c r="C81" s="83"/>
      <c r="D81" s="194">
        <f>'DIY Grundmodell'!S86</f>
        <v>5.3543520043105683E-2</v>
      </c>
      <c r="E81" s="2">
        <f>'DIY Grundmodell'!T86</f>
        <v>7.8189168038795109E-2</v>
      </c>
      <c r="F81" s="2">
        <f>'DIY Grundmodell'!U86</f>
        <v>0.10283481603448454</v>
      </c>
      <c r="G81" s="2">
        <f>'DIY Grundmodell'!V86</f>
        <v>0.12748046403017396</v>
      </c>
      <c r="H81" s="2">
        <f>'DIY Grundmodell'!W86</f>
        <v>0.1521261120258634</v>
      </c>
      <c r="I81" s="2">
        <f>'DIY Grundmodell'!X86</f>
        <v>0.17677176002155284</v>
      </c>
      <c r="J81" s="2">
        <f>'DIY Grundmodell'!Y86</f>
        <v>0.20141740801724228</v>
      </c>
      <c r="K81" s="2">
        <f>'DIY Grundmodell'!Z86</f>
        <v>0.22606305601293172</v>
      </c>
      <c r="L81" s="2">
        <f>'DIY Grundmodell'!AA86</f>
        <v>0.25070870400862116</v>
      </c>
      <c r="M81" s="2">
        <f>'DIY Grundmodell'!AB86</f>
        <v>0.27535435200431058</v>
      </c>
      <c r="N81" s="2">
        <f>'DIY Grundmodell'!AC86</f>
        <v>0.3</v>
      </c>
      <c r="O81" s="194">
        <f>'DIY Grundmodell'!AD86</f>
        <v>0.3</v>
      </c>
      <c r="AF81" s="988">
        <f>'DIY Grundmodell'!R168</f>
        <v>45110</v>
      </c>
      <c r="AG81" s="89">
        <f>'DIY Grundmodell'!S168</f>
        <v>286.02</v>
      </c>
      <c r="AH81" s="54">
        <f>'DIY Grundmodell'!T168</f>
        <v>2462.2188999999998</v>
      </c>
      <c r="AI81" s="89">
        <f>'DIY Grundmodell'!U168</f>
        <v>286.02</v>
      </c>
      <c r="AJ81" s="89">
        <f>'DIY Grundmodell'!V168</f>
        <v>2462.2188999999998</v>
      </c>
      <c r="AK81" s="989"/>
      <c r="AL81" s="33">
        <f>'DIY Grundmodell'!X168</f>
        <v>4455.5938800000004</v>
      </c>
    </row>
    <row r="82" spans="2:38" ht="14.1" customHeight="1" x14ac:dyDescent="0.45">
      <c r="B82" s="82" t="str">
        <f>'DIY Grundmodell'!Q87</f>
        <v>WACC</v>
      </c>
      <c r="C82" s="82"/>
      <c r="D82" s="196">
        <f>'DIY Grundmodell'!S87</f>
        <v>9.3782906635027447E-2</v>
      </c>
      <c r="E82" s="84">
        <f>'DIY Grundmodell'!T87</f>
        <v>9.2426411680227527E-2</v>
      </c>
      <c r="F82" s="84">
        <f>'DIY Grundmodell'!U87</f>
        <v>9.1069916725427622E-2</v>
      </c>
      <c r="G82" s="84">
        <f>'DIY Grundmodell'!V87</f>
        <v>8.9713421770627716E-2</v>
      </c>
      <c r="H82" s="84">
        <f>'DIY Grundmodell'!W87</f>
        <v>8.8356926815827824E-2</v>
      </c>
      <c r="I82" s="84">
        <f>'DIY Grundmodell'!X87</f>
        <v>8.7000431861027919E-2</v>
      </c>
      <c r="J82" s="84">
        <f>'DIY Grundmodell'!Y87</f>
        <v>8.5643936906228013E-2</v>
      </c>
      <c r="K82" s="84">
        <f>'DIY Grundmodell'!Z87</f>
        <v>8.4287441951428121E-2</v>
      </c>
      <c r="L82" s="84">
        <f>'DIY Grundmodell'!AA87</f>
        <v>8.2930946996628216E-2</v>
      </c>
      <c r="M82" s="84">
        <f>'DIY Grundmodell'!AB87</f>
        <v>8.2561386573167916E-2</v>
      </c>
      <c r="N82" s="84">
        <f>'DIY Grundmodell'!AC87</f>
        <v>8.2953038675466398E-2</v>
      </c>
      <c r="O82" s="196">
        <f>'DIY Grundmodell'!AD87</f>
        <v>8.2953038675466398E-2</v>
      </c>
      <c r="AF82" s="988">
        <f>'DIY Grundmodell'!R169</f>
        <v>45111</v>
      </c>
      <c r="AG82" s="89" t="e">
        <f>'DIY Grundmodell'!S169</f>
        <v>#N/A</v>
      </c>
      <c r="AH82" s="54" t="e">
        <f>'DIY Grundmodell'!T169</f>
        <v>#N/A</v>
      </c>
      <c r="AI82" s="89">
        <f>'DIY Grundmodell'!U169</f>
        <v>286.02</v>
      </c>
      <c r="AJ82" s="89">
        <f>'DIY Grundmodell'!V169</f>
        <v>0</v>
      </c>
      <c r="AK82" s="989"/>
      <c r="AL82" s="33">
        <f>'DIY Grundmodell'!X169</f>
        <v>4455.5938800000004</v>
      </c>
    </row>
    <row r="83" spans="2:38" ht="14.1" customHeight="1" x14ac:dyDescent="0.45">
      <c r="B83" s="144" t="str">
        <f>'DIY Grundmodell'!Q88</f>
        <v>Kontrollzeile</v>
      </c>
      <c r="C83" s="6">
        <f>'DIY Grundmodell'!R88</f>
        <v>0</v>
      </c>
      <c r="D83" s="145">
        <f>'DIY Grundmodell'!S88</f>
        <v>0</v>
      </c>
      <c r="E83" s="145">
        <f>'DIY Grundmodell'!T88</f>
        <v>0</v>
      </c>
      <c r="F83" s="145">
        <f>'DIY Grundmodell'!U88</f>
        <v>0</v>
      </c>
      <c r="G83" s="145">
        <f>'DIY Grundmodell'!V88</f>
        <v>0</v>
      </c>
      <c r="H83" s="145">
        <f>'DIY Grundmodell'!W88</f>
        <v>0</v>
      </c>
      <c r="I83" s="145">
        <f>'DIY Grundmodell'!X88</f>
        <v>0</v>
      </c>
      <c r="J83" s="145">
        <f>'DIY Grundmodell'!Y88</f>
        <v>0</v>
      </c>
      <c r="K83" s="145">
        <f>'DIY Grundmodell'!Z88</f>
        <v>0</v>
      </c>
      <c r="L83" s="145">
        <f>'DIY Grundmodell'!AA88</f>
        <v>0</v>
      </c>
      <c r="M83" s="145">
        <f>'DIY Grundmodell'!AB88</f>
        <v>0</v>
      </c>
      <c r="N83" s="145">
        <f>'DIY Grundmodell'!AC88</f>
        <v>0</v>
      </c>
      <c r="O83" s="6">
        <f>'DIY Grundmodell'!AD88</f>
        <v>0</v>
      </c>
      <c r="AF83" s="988">
        <f>'DIY Grundmodell'!R170</f>
        <v>45112</v>
      </c>
      <c r="AG83" s="89">
        <f>'DIY Grundmodell'!S170</f>
        <v>294.37</v>
      </c>
      <c r="AH83" s="54">
        <f>'DIY Grundmodell'!T170</f>
        <v>9968.9745800000001</v>
      </c>
      <c r="AI83" s="89">
        <f>'DIY Grundmodell'!U170</f>
        <v>294.37</v>
      </c>
      <c r="AJ83" s="89">
        <f>'DIY Grundmodell'!V170</f>
        <v>9968.9745800000001</v>
      </c>
      <c r="AK83" s="989"/>
      <c r="AL83" s="33">
        <f>'DIY Grundmodell'!X170</f>
        <v>4446.8247700000002</v>
      </c>
    </row>
    <row r="84" spans="2:38" ht="14.1" customHeight="1" x14ac:dyDescent="0.45">
      <c r="B84" s="770" t="str">
        <f>B13</f>
        <v>Historie</v>
      </c>
      <c r="C84" s="771">
        <f>C13</f>
        <v>2016</v>
      </c>
      <c r="D84" s="771">
        <f t="shared" ref="D84:L84" si="3">D13</f>
        <v>2017</v>
      </c>
      <c r="E84" s="771">
        <f t="shared" si="3"/>
        <v>2018</v>
      </c>
      <c r="F84" s="771">
        <f t="shared" si="3"/>
        <v>2019</v>
      </c>
      <c r="G84" s="771">
        <f t="shared" si="3"/>
        <v>2020</v>
      </c>
      <c r="H84" s="771">
        <f t="shared" si="3"/>
        <v>2021</v>
      </c>
      <c r="I84" s="771">
        <f t="shared" si="3"/>
        <v>2022</v>
      </c>
      <c r="J84" s="771">
        <f t="shared" si="3"/>
        <v>2023</v>
      </c>
      <c r="K84" s="771">
        <f t="shared" si="3"/>
        <v>2024</v>
      </c>
      <c r="L84" s="771">
        <f t="shared" si="3"/>
        <v>2025</v>
      </c>
      <c r="M84" s="145">
        <f>'DIY Grundmodell'!AB89</f>
        <v>0</v>
      </c>
      <c r="N84" s="145">
        <f>'DIY Grundmodell'!AC89</f>
        <v>0</v>
      </c>
      <c r="O84" s="145">
        <f>'DIY Grundmodell'!AD89</f>
        <v>0</v>
      </c>
      <c r="AF84" s="988">
        <f>'DIY Grundmodell'!R171</f>
        <v>45113</v>
      </c>
      <c r="AG84" s="89">
        <f>'DIY Grundmodell'!S171</f>
        <v>291.99</v>
      </c>
      <c r="AH84" s="54">
        <f>'DIY Grundmodell'!T171</f>
        <v>13937.800730000001</v>
      </c>
      <c r="AI84" s="89">
        <f>'DIY Grundmodell'!U171</f>
        <v>291.99</v>
      </c>
      <c r="AJ84" s="89">
        <f>'DIY Grundmodell'!V171</f>
        <v>13937.800730000001</v>
      </c>
      <c r="AK84" s="989"/>
      <c r="AL84" s="33">
        <f>'DIY Grundmodell'!X171</f>
        <v>4411.5907299999999</v>
      </c>
    </row>
    <row r="85" spans="2:38" ht="14.1" customHeight="1" x14ac:dyDescent="0.45">
      <c r="B85" s="769" t="str">
        <f>B14</f>
        <v>Umsatz</v>
      </c>
      <c r="C85" s="29">
        <f t="shared" ref="C85:L85" si="4">C14</f>
        <v>27638</v>
      </c>
      <c r="D85" s="29">
        <f t="shared" si="4"/>
        <v>40653</v>
      </c>
      <c r="E85" s="29">
        <f t="shared" si="4"/>
        <v>55838</v>
      </c>
      <c r="F85" s="29">
        <f t="shared" si="4"/>
        <v>70697</v>
      </c>
      <c r="G85" s="29">
        <f t="shared" si="4"/>
        <v>85965</v>
      </c>
      <c r="H85" s="29">
        <f t="shared" si="4"/>
        <v>117929</v>
      </c>
      <c r="I85" s="29">
        <f t="shared" si="4"/>
        <v>116609</v>
      </c>
      <c r="J85" s="29">
        <f t="shared" si="4"/>
        <v>134902</v>
      </c>
      <c r="K85" s="29">
        <f t="shared" si="4"/>
        <v>164501</v>
      </c>
      <c r="L85" s="29">
        <f t="shared" si="4"/>
        <v>200966</v>
      </c>
      <c r="AF85" s="988">
        <f>'DIY Grundmodell'!R172</f>
        <v>45114</v>
      </c>
      <c r="AG85" s="89">
        <f>'DIY Grundmodell'!S172</f>
        <v>290.52999999999997</v>
      </c>
      <c r="AH85" s="54">
        <f>'DIY Grundmodell'!T172</f>
        <v>7433.4933199999996</v>
      </c>
      <c r="AI85" s="89">
        <f>'DIY Grundmodell'!U172</f>
        <v>290.52999999999997</v>
      </c>
      <c r="AJ85" s="89">
        <f>'DIY Grundmodell'!V172</f>
        <v>7433.4933199999996</v>
      </c>
      <c r="AK85" s="989"/>
      <c r="AL85" s="33">
        <f>'DIY Grundmodell'!X172</f>
        <v>4398.9526599999999</v>
      </c>
    </row>
    <row r="86" spans="2:38" ht="14.1" customHeight="1" x14ac:dyDescent="0.45">
      <c r="B86" s="772" t="s">
        <v>141</v>
      </c>
      <c r="C86" s="74">
        <f>C17</f>
        <v>0.44963456111151312</v>
      </c>
      <c r="D86" s="74">
        <f t="shared" ref="D86:L86" si="5">D17</f>
        <v>0.49696209381841439</v>
      </c>
      <c r="E86" s="74">
        <f t="shared" si="5"/>
        <v>0.44616569361366809</v>
      </c>
      <c r="F86" s="74">
        <f t="shared" si="5"/>
        <v>0.41000325332050863</v>
      </c>
      <c r="G86" s="74">
        <f t="shared" si="5"/>
        <v>0.3800500203571221</v>
      </c>
      <c r="H86" s="74">
        <f t="shared" si="5"/>
        <v>0.39645040660058173</v>
      </c>
      <c r="I86" s="74">
        <f t="shared" si="5"/>
        <v>0.28775651965114185</v>
      </c>
      <c r="J86" s="74">
        <f t="shared" si="5"/>
        <v>0.34655527716416362</v>
      </c>
      <c r="K86" s="74">
        <f t="shared" si="5"/>
        <v>0.42176035404040096</v>
      </c>
      <c r="L86" s="74">
        <f t="shared" si="5"/>
        <v>0.41437855159579234</v>
      </c>
      <c r="AF86" s="988">
        <f>'DIY Grundmodell'!R173</f>
        <v>45115</v>
      </c>
      <c r="AG86" s="89" t="e">
        <f>'DIY Grundmodell'!S173</f>
        <v>#N/A</v>
      </c>
      <c r="AH86" s="54" t="e">
        <f>'DIY Grundmodell'!T173</f>
        <v>#N/A</v>
      </c>
      <c r="AI86" s="89">
        <f>'DIY Grundmodell'!U173</f>
        <v>290.52999999999997</v>
      </c>
      <c r="AJ86" s="89">
        <f>'DIY Grundmodell'!V173</f>
        <v>0</v>
      </c>
      <c r="AK86" s="989"/>
      <c r="AL86" s="33">
        <f>'DIY Grundmodell'!X173</f>
        <v>4398.9526599999999</v>
      </c>
    </row>
    <row r="87" spans="2:38" ht="14.1" customHeight="1" x14ac:dyDescent="0.45">
      <c r="AF87" s="988">
        <f>'DIY Grundmodell'!R174</f>
        <v>45116</v>
      </c>
      <c r="AG87" s="89" t="e">
        <f>'DIY Grundmodell'!S174</f>
        <v>#N/A</v>
      </c>
      <c r="AH87" s="54" t="e">
        <f>'DIY Grundmodell'!T174</f>
        <v>#N/A</v>
      </c>
      <c r="AI87" s="89">
        <f>'DIY Grundmodell'!U174</f>
        <v>290.52999999999997</v>
      </c>
      <c r="AJ87" s="89">
        <f>'DIY Grundmodell'!V174</f>
        <v>0</v>
      </c>
      <c r="AK87" s="989"/>
      <c r="AL87" s="33">
        <f>'DIY Grundmodell'!X174</f>
        <v>4398.9526599999999</v>
      </c>
    </row>
    <row r="88" spans="2:38" ht="25.25" customHeight="1" x14ac:dyDescent="0.45">
      <c r="B88" s="835" t="str">
        <f>'DIY Grundmodell'!A60</f>
        <v>Herleitung Risikoprämie</v>
      </c>
      <c r="C88" s="431"/>
      <c r="D88" s="838" t="str">
        <f>'DIY Grundmodell'!C60</f>
        <v>Rating AAA</v>
      </c>
      <c r="E88" s="844" t="str">
        <f>'DIY Grundmodell'!D60</f>
        <v>United States</v>
      </c>
      <c r="F88" s="844" t="str">
        <f>'DIY Grundmodell'!E60</f>
        <v>Canada</v>
      </c>
      <c r="G88" s="844" t="str">
        <f>'DIY Grundmodell'!F60</f>
        <v>Europe</v>
      </c>
      <c r="H88" s="844" t="str">
        <f>'DIY Grundmodell'!G60</f>
        <v>Asia-Pacific</v>
      </c>
      <c r="I88" s="844" t="str">
        <f>'DIY Grundmodell'!H60</f>
        <v>Rest of The World</v>
      </c>
      <c r="J88" s="844">
        <f>'DIY Grundmodell'!I60</f>
        <v>0</v>
      </c>
      <c r="K88" s="844">
        <f>'DIY Grundmodell'!J60</f>
        <v>0</v>
      </c>
      <c r="L88" s="844">
        <f>'DIY Grundmodell'!K60</f>
        <v>0</v>
      </c>
      <c r="M88" s="844">
        <f>'DIY Grundmodell'!L60</f>
        <v>0</v>
      </c>
      <c r="N88" s="844">
        <f>'DIY Grundmodell'!M60</f>
        <v>0</v>
      </c>
      <c r="O88" s="843" t="str">
        <f>'DIY Grundmodell'!N60</f>
        <v>Rest</v>
      </c>
      <c r="AF88" s="988">
        <f>'DIY Grundmodell'!R175</f>
        <v>45117</v>
      </c>
      <c r="AG88" s="89">
        <f>'DIY Grundmodell'!S175</f>
        <v>294.10000000000002</v>
      </c>
      <c r="AH88" s="54">
        <f>'DIY Grundmodell'!T175</f>
        <v>10898.8478</v>
      </c>
      <c r="AI88" s="89">
        <f>'DIY Grundmodell'!U175</f>
        <v>294.10000000000002</v>
      </c>
      <c r="AJ88" s="89">
        <f>'DIY Grundmodell'!V175</f>
        <v>10898.8478</v>
      </c>
      <c r="AK88" s="989"/>
      <c r="AL88" s="33">
        <f>'DIY Grundmodell'!X175</f>
        <v>4409.5258000000003</v>
      </c>
    </row>
    <row r="89" spans="2:38" ht="14.1" customHeight="1" x14ac:dyDescent="0.45">
      <c r="B89" s="836" t="str">
        <f>'DIY Grundmodell'!A61</f>
        <v>Umsatzanteil</v>
      </c>
      <c r="C89" s="115"/>
      <c r="D89" s="88"/>
      <c r="E89" s="839">
        <f>'DIY Grundmodell'!D61</f>
        <v>0.37210274374769864</v>
      </c>
      <c r="F89" s="839">
        <f>'DIY Grundmodell'!E61</f>
        <v>2.0331797418468796E-2</v>
      </c>
      <c r="G89" s="839">
        <f>'DIY Grundmodell'!F61</f>
        <v>0.23172576455718877</v>
      </c>
      <c r="H89" s="839">
        <f>'DIY Grundmodell'!G61</f>
        <v>0.26779156673268117</v>
      </c>
      <c r="I89" s="839">
        <f>'DIY Grundmodell'!H61</f>
        <v>0.10804812754396266</v>
      </c>
      <c r="J89" s="839">
        <f>'DIY Grundmodell'!I61</f>
        <v>0</v>
      </c>
      <c r="K89" s="839">
        <f>'DIY Grundmodell'!J61</f>
        <v>0</v>
      </c>
      <c r="L89" s="839">
        <f>'DIY Grundmodell'!K61</f>
        <v>0</v>
      </c>
      <c r="M89" s="839">
        <f>'DIY Grundmodell'!L61</f>
        <v>0</v>
      </c>
      <c r="N89" s="839">
        <f>'DIY Grundmodell'!M61</f>
        <v>0</v>
      </c>
      <c r="O89" s="839">
        <f>'DIY Grundmodell'!N61</f>
        <v>0</v>
      </c>
      <c r="AF89" s="988">
        <f>'DIY Grundmodell'!R176</f>
        <v>45118</v>
      </c>
      <c r="AG89" s="89">
        <f>'DIY Grundmodell'!S176</f>
        <v>298.29000000000002</v>
      </c>
      <c r="AH89" s="54">
        <f>'DIY Grundmodell'!T176</f>
        <v>8228.6034799999998</v>
      </c>
      <c r="AI89" s="89">
        <f>'DIY Grundmodell'!U176</f>
        <v>298.29000000000002</v>
      </c>
      <c r="AJ89" s="89">
        <f>'DIY Grundmodell'!V176</f>
        <v>8228.6034799999998</v>
      </c>
      <c r="AK89" s="989"/>
      <c r="AL89" s="33">
        <f>'DIY Grundmodell'!X176</f>
        <v>4439.2563300000002</v>
      </c>
    </row>
    <row r="90" spans="2:38" ht="14.1" customHeight="1" x14ac:dyDescent="0.45">
      <c r="B90" s="836" t="str">
        <f>'DIY Grundmodell'!A62</f>
        <v>CDS</v>
      </c>
      <c r="C90" s="115"/>
      <c r="D90" s="840">
        <f>'DIY Grundmodell'!C62</f>
        <v>6.3700000000000007E-3</v>
      </c>
      <c r="E90" s="839">
        <f>'DIY Grundmodell'!D62</f>
        <v>4.8621300000000001E-3</v>
      </c>
      <c r="F90" s="839">
        <f>'DIY Grundmodell'!E62</f>
        <v>2.30554E-3</v>
      </c>
      <c r="G90" s="839">
        <f>'DIY Grundmodell'!F62</f>
        <v>4.5324573763307428E-3</v>
      </c>
      <c r="H90" s="839">
        <f>'DIY Grundmodell'!G62</f>
        <v>1.6473654006483679E-2</v>
      </c>
      <c r="I90" s="839">
        <f>'DIY Grundmodell'!H62</f>
        <v>1.0712521755483326E-2</v>
      </c>
      <c r="J90" s="839">
        <f>'DIY Grundmodell'!I62</f>
        <v>0</v>
      </c>
      <c r="K90" s="839">
        <f>'DIY Grundmodell'!J62</f>
        <v>0</v>
      </c>
      <c r="L90" s="839">
        <f>'DIY Grundmodell'!K62</f>
        <v>0</v>
      </c>
      <c r="M90" s="839">
        <f>'DIY Grundmodell'!L62</f>
        <v>0</v>
      </c>
      <c r="N90" s="839">
        <f>'DIY Grundmodell'!M62</f>
        <v>0</v>
      </c>
      <c r="O90" s="839">
        <f>'DIY Grundmodell'!N62</f>
        <v>4.8621300000000001E-3</v>
      </c>
      <c r="AF90" s="988">
        <f>'DIY Grundmodell'!R177</f>
        <v>45119</v>
      </c>
      <c r="AG90" s="89">
        <f>'DIY Grundmodell'!S177</f>
        <v>309.33999999999997</v>
      </c>
      <c r="AH90" s="54">
        <f>'DIY Grundmodell'!T177</f>
        <v>11345.70247</v>
      </c>
      <c r="AI90" s="89">
        <f>'DIY Grundmodell'!U177</f>
        <v>309.33999999999997</v>
      </c>
      <c r="AJ90" s="89">
        <f>'DIY Grundmodell'!V177</f>
        <v>11345.70247</v>
      </c>
      <c r="AK90" s="989"/>
      <c r="AL90" s="33">
        <f>'DIY Grundmodell'!X177</f>
        <v>4472.1603299999997</v>
      </c>
    </row>
    <row r="91" spans="2:38" ht="14.1" customHeight="1" x14ac:dyDescent="0.45">
      <c r="B91" s="836" t="str">
        <f>'DIY Grundmodell'!A63</f>
        <v>Risikoprämie</v>
      </c>
      <c r="C91" s="841">
        <f>'DIY Grundmodell'!B63</f>
        <v>6.6912423369693594E-2</v>
      </c>
      <c r="D91" s="840">
        <f>'DIY Grundmodell'!C63</f>
        <v>0.06</v>
      </c>
      <c r="E91" s="839">
        <f>'DIY Grundmodell'!D63</f>
        <v>6.3299204999999997E-2</v>
      </c>
      <c r="F91" s="839">
        <f>'DIY Grundmodell'!E63</f>
        <v>6.0742615E-2</v>
      </c>
      <c r="G91" s="839">
        <f>'DIY Grundmodell'!F63</f>
        <v>6.2969532376330739E-2</v>
      </c>
      <c r="H91" s="839">
        <f>'DIY Grundmodell'!G63</f>
        <v>7.4910729006483684E-2</v>
      </c>
      <c r="I91" s="839">
        <f>'DIY Grundmodell'!H63</f>
        <v>6.9149596755483322E-2</v>
      </c>
      <c r="J91" s="839">
        <f>'DIY Grundmodell'!I63</f>
        <v>0</v>
      </c>
      <c r="K91" s="839">
        <f>'DIY Grundmodell'!J63</f>
        <v>0</v>
      </c>
      <c r="L91" s="839">
        <f>'DIY Grundmodell'!K63</f>
        <v>0</v>
      </c>
      <c r="M91" s="839">
        <f>'DIY Grundmodell'!L63</f>
        <v>0</v>
      </c>
      <c r="N91" s="839">
        <f>'DIY Grundmodell'!M63</f>
        <v>0</v>
      </c>
      <c r="O91" s="839">
        <f>'DIY Grundmodell'!N63</f>
        <v>0</v>
      </c>
      <c r="AF91" s="988">
        <f>'DIY Grundmodell'!R178</f>
        <v>45120</v>
      </c>
      <c r="AG91" s="89">
        <f>'DIY Grundmodell'!S178</f>
        <v>313.41000000000003</v>
      </c>
      <c r="AH91" s="54">
        <f>'DIY Grundmodell'!T178</f>
        <v>9490.3594400000002</v>
      </c>
      <c r="AI91" s="89">
        <f>'DIY Grundmodell'!U178</f>
        <v>313.41000000000003</v>
      </c>
      <c r="AJ91" s="89">
        <f>'DIY Grundmodell'!V178</f>
        <v>9490.3594400000002</v>
      </c>
      <c r="AK91" s="989"/>
      <c r="AL91" s="33">
        <f>'DIY Grundmodell'!X178</f>
        <v>4510.0418</v>
      </c>
    </row>
    <row r="92" spans="2:38" ht="14.1" customHeight="1" x14ac:dyDescent="0.45">
      <c r="B92" s="837"/>
      <c r="E92" s="842"/>
      <c r="F92" s="842"/>
      <c r="G92" s="842"/>
      <c r="H92" s="842"/>
      <c r="I92" s="842"/>
      <c r="J92" s="842"/>
      <c r="K92" s="842"/>
      <c r="L92" s="842"/>
      <c r="M92" s="842"/>
      <c r="N92" s="842"/>
      <c r="O92" s="842"/>
      <c r="AF92" s="988">
        <f>'DIY Grundmodell'!R179</f>
        <v>45121</v>
      </c>
      <c r="AG92" s="89">
        <f>'DIY Grundmodell'!S179</f>
        <v>308.87</v>
      </c>
      <c r="AH92" s="54">
        <f>'DIY Grundmodell'!T179</f>
        <v>7120.7223400000003</v>
      </c>
      <c r="AI92" s="89">
        <f>'DIY Grundmodell'!U179</f>
        <v>308.87</v>
      </c>
      <c r="AJ92" s="89">
        <f>'DIY Grundmodell'!V179</f>
        <v>7120.7223400000003</v>
      </c>
      <c r="AK92" s="989"/>
      <c r="AL92" s="33">
        <f>'DIY Grundmodell'!X179</f>
        <v>4505.4203399999997</v>
      </c>
    </row>
    <row r="93" spans="2:38" ht="14.1" customHeight="1" x14ac:dyDescent="0.45">
      <c r="AF93" s="988">
        <f>'DIY Grundmodell'!R180</f>
        <v>45122</v>
      </c>
      <c r="AG93" s="89" t="e">
        <f>'DIY Grundmodell'!S180</f>
        <v>#N/A</v>
      </c>
      <c r="AH93" s="54" t="e">
        <f>'DIY Grundmodell'!T180</f>
        <v>#N/A</v>
      </c>
      <c r="AI93" s="89">
        <f>'DIY Grundmodell'!U180</f>
        <v>308.87</v>
      </c>
      <c r="AJ93" s="89">
        <f>'DIY Grundmodell'!V180</f>
        <v>0</v>
      </c>
      <c r="AK93" s="989"/>
      <c r="AL93" s="33">
        <f>'DIY Grundmodell'!X180</f>
        <v>4505.4203399999997</v>
      </c>
    </row>
    <row r="94" spans="2:38" ht="14.1" customHeight="1" x14ac:dyDescent="0.45">
      <c r="AF94" s="988">
        <f>'DIY Grundmodell'!R181</f>
        <v>45123</v>
      </c>
      <c r="AG94" s="89" t="e">
        <f>'DIY Grundmodell'!S181</f>
        <v>#N/A</v>
      </c>
      <c r="AH94" s="54" t="e">
        <f>'DIY Grundmodell'!T181</f>
        <v>#N/A</v>
      </c>
      <c r="AI94" s="89">
        <f>'DIY Grundmodell'!U181</f>
        <v>308.87</v>
      </c>
      <c r="AJ94" s="89">
        <f>'DIY Grundmodell'!V181</f>
        <v>0</v>
      </c>
      <c r="AK94" s="989"/>
      <c r="AL94" s="33">
        <f>'DIY Grundmodell'!X181</f>
        <v>4505.4203399999997</v>
      </c>
    </row>
    <row r="95" spans="2:38" ht="14.1" customHeight="1" x14ac:dyDescent="0.45">
      <c r="AF95" s="988">
        <f>'DIY Grundmodell'!R182</f>
        <v>45124</v>
      </c>
      <c r="AG95" s="89">
        <f>'DIY Grundmodell'!S182</f>
        <v>310.62</v>
      </c>
      <c r="AH95" s="54">
        <f>'DIY Grundmodell'!T182</f>
        <v>7865.8693999999996</v>
      </c>
      <c r="AI95" s="89">
        <f>'DIY Grundmodell'!U182</f>
        <v>310.62</v>
      </c>
      <c r="AJ95" s="89">
        <f>'DIY Grundmodell'!V182</f>
        <v>7865.8693999999996</v>
      </c>
      <c r="AK95" s="989"/>
      <c r="AL95" s="33">
        <f>'DIY Grundmodell'!X182</f>
        <v>4522.7930999999999</v>
      </c>
    </row>
    <row r="96" spans="2:38" ht="14.1" customHeight="1" x14ac:dyDescent="0.45">
      <c r="AF96" s="988">
        <f>'DIY Grundmodell'!R183</f>
        <v>45125</v>
      </c>
      <c r="AG96" s="89">
        <f>'DIY Grundmodell'!S183</f>
        <v>312.05</v>
      </c>
      <c r="AH96" s="54">
        <f>'DIY Grundmodell'!T183</f>
        <v>6479.5871900000002</v>
      </c>
      <c r="AI96" s="89">
        <f>'DIY Grundmodell'!U183</f>
        <v>312.05</v>
      </c>
      <c r="AJ96" s="89">
        <f>'DIY Grundmodell'!V183</f>
        <v>6479.5871900000002</v>
      </c>
      <c r="AK96" s="989"/>
      <c r="AL96" s="33">
        <f>'DIY Grundmodell'!X183</f>
        <v>4554.9769500000002</v>
      </c>
    </row>
    <row r="97" spans="32:38" ht="14.1" customHeight="1" x14ac:dyDescent="0.45">
      <c r="AF97" s="988">
        <f>'DIY Grundmodell'!R184</f>
        <v>45126</v>
      </c>
      <c r="AG97" s="89">
        <f>'DIY Grundmodell'!S184</f>
        <v>316.01</v>
      </c>
      <c r="AH97" s="54">
        <f>'DIY Grundmodell'!T184</f>
        <v>6877.5430500000002</v>
      </c>
      <c r="AI97" s="89">
        <f>'DIY Grundmodell'!U184</f>
        <v>316.01</v>
      </c>
      <c r="AJ97" s="89">
        <f>'DIY Grundmodell'!V184</f>
        <v>6877.5430500000002</v>
      </c>
      <c r="AK97" s="989"/>
      <c r="AL97" s="33">
        <f>'DIY Grundmodell'!X184</f>
        <v>4565.7167099999997</v>
      </c>
    </row>
    <row r="98" spans="32:38" ht="14.1" customHeight="1" x14ac:dyDescent="0.45">
      <c r="AF98" s="988">
        <f>'DIY Grundmodell'!R185</f>
        <v>45127</v>
      </c>
      <c r="AG98" s="89">
        <f>'DIY Grundmodell'!S185</f>
        <v>302.52</v>
      </c>
      <c r="AH98" s="54">
        <f>'DIY Grundmodell'!T185</f>
        <v>7211.1317300000001</v>
      </c>
      <c r="AI98" s="89">
        <f>'DIY Grundmodell'!U185</f>
        <v>302.52</v>
      </c>
      <c r="AJ98" s="89">
        <f>'DIY Grundmodell'!V185</f>
        <v>7211.1317300000001</v>
      </c>
      <c r="AK98" s="989"/>
      <c r="AL98" s="33">
        <f>'DIY Grundmodell'!X185</f>
        <v>4534.8675499999999</v>
      </c>
    </row>
    <row r="99" spans="32:38" ht="14.1" customHeight="1" x14ac:dyDescent="0.45">
      <c r="AF99" s="988">
        <f>'DIY Grundmodell'!R186</f>
        <v>45128</v>
      </c>
      <c r="AG99" s="89">
        <f>'DIY Grundmodell'!S186</f>
        <v>294.26</v>
      </c>
      <c r="AH99" s="54">
        <f>'DIY Grundmodell'!T186</f>
        <v>12399.898349999999</v>
      </c>
      <c r="AI99" s="89">
        <f>'DIY Grundmodell'!U186</f>
        <v>294.26</v>
      </c>
      <c r="AJ99" s="89">
        <f>'DIY Grundmodell'!V186</f>
        <v>12399.898349999999</v>
      </c>
      <c r="AK99" s="989"/>
      <c r="AL99" s="33">
        <f>'DIY Grundmodell'!X186</f>
        <v>4536.3385399999997</v>
      </c>
    </row>
    <row r="100" spans="32:38" ht="14.1" customHeight="1" x14ac:dyDescent="0.45">
      <c r="AF100" s="988">
        <f>'DIY Grundmodell'!R187</f>
        <v>45129</v>
      </c>
      <c r="AG100" s="89" t="e">
        <f>'DIY Grundmodell'!S187</f>
        <v>#N/A</v>
      </c>
      <c r="AH100" s="54" t="e">
        <f>'DIY Grundmodell'!T187</f>
        <v>#N/A</v>
      </c>
      <c r="AI100" s="89">
        <f>'DIY Grundmodell'!U187</f>
        <v>294.26</v>
      </c>
      <c r="AJ100" s="89">
        <f>'DIY Grundmodell'!V187</f>
        <v>0</v>
      </c>
      <c r="AK100" s="989"/>
      <c r="AL100" s="33">
        <f>'DIY Grundmodell'!X187</f>
        <v>4536.3385399999997</v>
      </c>
    </row>
    <row r="101" spans="32:38" ht="14.1" customHeight="1" x14ac:dyDescent="0.45">
      <c r="AF101" s="988">
        <f>'DIY Grundmodell'!R188</f>
        <v>45130</v>
      </c>
      <c r="AG101" s="89" t="e">
        <f>'DIY Grundmodell'!S188</f>
        <v>#N/A</v>
      </c>
      <c r="AH101" s="54" t="e">
        <f>'DIY Grundmodell'!T188</f>
        <v>#N/A</v>
      </c>
      <c r="AI101" s="89">
        <f>'DIY Grundmodell'!U188</f>
        <v>294.26</v>
      </c>
      <c r="AJ101" s="89">
        <f>'DIY Grundmodell'!V188</f>
        <v>0</v>
      </c>
      <c r="AK101" s="989"/>
      <c r="AL101" s="33">
        <f>'DIY Grundmodell'!X188</f>
        <v>4536.3385399999997</v>
      </c>
    </row>
    <row r="102" spans="32:38" ht="14.1" customHeight="1" x14ac:dyDescent="0.45">
      <c r="AF102" s="988">
        <f>'DIY Grundmodell'!R189</f>
        <v>45131</v>
      </c>
      <c r="AG102" s="89">
        <f>'DIY Grundmodell'!S189</f>
        <v>291.61</v>
      </c>
      <c r="AH102" s="54">
        <f>'DIY Grundmodell'!T189</f>
        <v>7275.4959900000003</v>
      </c>
      <c r="AI102" s="89">
        <f>'DIY Grundmodell'!U189</f>
        <v>291.61</v>
      </c>
      <c r="AJ102" s="89">
        <f>'DIY Grundmodell'!V189</f>
        <v>7275.4959900000003</v>
      </c>
      <c r="AK102" s="989"/>
      <c r="AL102" s="33">
        <f>'DIY Grundmodell'!X189</f>
        <v>4554.6424399999996</v>
      </c>
    </row>
    <row r="103" spans="32:38" ht="14.1" customHeight="1" x14ac:dyDescent="0.45">
      <c r="AF103" s="988">
        <f>'DIY Grundmodell'!R190</f>
        <v>45132</v>
      </c>
      <c r="AG103" s="89">
        <f>'DIY Grundmodell'!S190</f>
        <v>294.47000000000003</v>
      </c>
      <c r="AH103" s="54">
        <f>'DIY Grundmodell'!T190</f>
        <v>5767.3669200000004</v>
      </c>
      <c r="AI103" s="89">
        <f>'DIY Grundmodell'!U190</f>
        <v>294.47000000000003</v>
      </c>
      <c r="AJ103" s="89">
        <f>'DIY Grundmodell'!V190</f>
        <v>5767.3669200000004</v>
      </c>
      <c r="AK103" s="989"/>
      <c r="AL103" s="33">
        <f>'DIY Grundmodell'!X190</f>
        <v>4567.4637000000002</v>
      </c>
    </row>
    <row r="104" spans="32:38" ht="14.1" customHeight="1" x14ac:dyDescent="0.45">
      <c r="AF104" s="988">
        <f>'DIY Grundmodell'!R191</f>
        <v>45133</v>
      </c>
      <c r="AG104" s="89">
        <f>'DIY Grundmodell'!S191</f>
        <v>298.57</v>
      </c>
      <c r="AH104" s="54">
        <f>'DIY Grundmodell'!T191</f>
        <v>14109.50159</v>
      </c>
      <c r="AI104" s="89">
        <f>'DIY Grundmodell'!U191</f>
        <v>298.57</v>
      </c>
      <c r="AJ104" s="89">
        <f>'DIY Grundmodell'!V191</f>
        <v>14109.50159</v>
      </c>
      <c r="AK104" s="989"/>
      <c r="AL104" s="33">
        <f>'DIY Grundmodell'!X191</f>
        <v>4566.7517200000002</v>
      </c>
    </row>
    <row r="105" spans="32:38" ht="14.1" customHeight="1" x14ac:dyDescent="0.45">
      <c r="AF105" s="988">
        <f>'DIY Grundmodell'!R192</f>
        <v>45134</v>
      </c>
      <c r="AG105" s="89">
        <f>'DIY Grundmodell'!S192</f>
        <v>311.70999999999998</v>
      </c>
      <c r="AH105" s="54">
        <f>'DIY Grundmodell'!T192</f>
        <v>20020.875520000001</v>
      </c>
      <c r="AI105" s="89">
        <f>'DIY Grundmodell'!U192</f>
        <v>311.70999999999998</v>
      </c>
      <c r="AJ105" s="89">
        <f>'DIY Grundmodell'!V192</f>
        <v>20020.875520000001</v>
      </c>
      <c r="AK105" s="989"/>
      <c r="AL105" s="33">
        <f>'DIY Grundmodell'!X192</f>
        <v>4537.4118600000002</v>
      </c>
    </row>
    <row r="106" spans="32:38" ht="14.1" customHeight="1" x14ac:dyDescent="0.45">
      <c r="AF106" s="988">
        <f>'DIY Grundmodell'!R193</f>
        <v>45135</v>
      </c>
      <c r="AG106" s="89">
        <f>'DIY Grundmodell'!S193</f>
        <v>325.48</v>
      </c>
      <c r="AH106" s="54">
        <f>'DIY Grundmodell'!T193</f>
        <v>12765.413479999999</v>
      </c>
      <c r="AI106" s="89">
        <f>'DIY Grundmodell'!U193</f>
        <v>325.48</v>
      </c>
      <c r="AJ106" s="89">
        <f>'DIY Grundmodell'!V193</f>
        <v>12765.413479999999</v>
      </c>
      <c r="AK106" s="989"/>
      <c r="AL106" s="33">
        <f>'DIY Grundmodell'!X193</f>
        <v>4582.2313299999996</v>
      </c>
    </row>
    <row r="107" spans="32:38" ht="14.1" customHeight="1" x14ac:dyDescent="0.45">
      <c r="AF107" s="988">
        <f>'DIY Grundmodell'!R194</f>
        <v>45136</v>
      </c>
      <c r="AG107" s="89" t="e">
        <f>'DIY Grundmodell'!S194</f>
        <v>#N/A</v>
      </c>
      <c r="AH107" s="54" t="e">
        <f>'DIY Grundmodell'!T194</f>
        <v>#N/A</v>
      </c>
      <c r="AI107" s="89">
        <f>'DIY Grundmodell'!U194</f>
        <v>325.48</v>
      </c>
      <c r="AJ107" s="89">
        <f>'DIY Grundmodell'!V194</f>
        <v>0</v>
      </c>
      <c r="AK107" s="989"/>
      <c r="AL107" s="33">
        <f>'DIY Grundmodell'!X194</f>
        <v>4582.2313299999996</v>
      </c>
    </row>
    <row r="108" spans="32:38" ht="14.1" customHeight="1" x14ac:dyDescent="0.45">
      <c r="AF108" s="988">
        <f>'DIY Grundmodell'!R195</f>
        <v>45137</v>
      </c>
      <c r="AG108" s="89" t="e">
        <f>'DIY Grundmodell'!S195</f>
        <v>#N/A</v>
      </c>
      <c r="AH108" s="54" t="e">
        <f>'DIY Grundmodell'!T195</f>
        <v>#N/A</v>
      </c>
      <c r="AI108" s="89">
        <f>'DIY Grundmodell'!U195</f>
        <v>325.48</v>
      </c>
      <c r="AJ108" s="89">
        <f>'DIY Grundmodell'!V195</f>
        <v>0</v>
      </c>
      <c r="AK108" s="989"/>
      <c r="AL108" s="33">
        <f>'DIY Grundmodell'!X195</f>
        <v>4582.2313299999996</v>
      </c>
    </row>
    <row r="109" spans="32:38" ht="14.1" customHeight="1" x14ac:dyDescent="0.45">
      <c r="AF109" s="988">
        <f>'DIY Grundmodell'!R196</f>
        <v>45138</v>
      </c>
      <c r="AG109" s="89">
        <f>'DIY Grundmodell'!S196</f>
        <v>318.60000000000002</v>
      </c>
      <c r="AH109" s="54">
        <f>'DIY Grundmodell'!T196</f>
        <v>8219.7535200000002</v>
      </c>
      <c r="AI109" s="89">
        <f>'DIY Grundmodell'!U196</f>
        <v>318.60000000000002</v>
      </c>
      <c r="AJ109" s="89">
        <f>'DIY Grundmodell'!V196</f>
        <v>8219.7535200000002</v>
      </c>
      <c r="AK109" s="989"/>
      <c r="AL109" s="33">
        <f>'DIY Grundmodell'!X196</f>
        <v>4588.9611400000003</v>
      </c>
    </row>
    <row r="110" spans="32:38" ht="14.1" customHeight="1" x14ac:dyDescent="0.45">
      <c r="AF110" s="988">
        <f>'DIY Grundmodell'!R197</f>
        <v>45139</v>
      </c>
      <c r="AG110" s="89">
        <f>'DIY Grundmodell'!S197</f>
        <v>322.70999999999998</v>
      </c>
      <c r="AH110" s="54">
        <f>'DIY Grundmodell'!T197</f>
        <v>7386.7899500000003</v>
      </c>
      <c r="AI110" s="89">
        <f>'DIY Grundmodell'!U197</f>
        <v>322.70999999999998</v>
      </c>
      <c r="AJ110" s="89">
        <f>'DIY Grundmodell'!V197</f>
        <v>7386.7899500000003</v>
      </c>
      <c r="AK110" s="989"/>
      <c r="AL110" s="33">
        <f>'DIY Grundmodell'!X197</f>
        <v>4576.7291500000001</v>
      </c>
    </row>
    <row r="111" spans="32:38" ht="14.1" customHeight="1" x14ac:dyDescent="0.45">
      <c r="AF111" s="988">
        <f>'DIY Grundmodell'!R198</f>
        <v>45140</v>
      </c>
      <c r="AG111" s="89">
        <f>'DIY Grundmodell'!S198</f>
        <v>314.31</v>
      </c>
      <c r="AH111" s="54">
        <f>'DIY Grundmodell'!T198</f>
        <v>6431.1264600000004</v>
      </c>
      <c r="AI111" s="89">
        <f>'DIY Grundmodell'!U198</f>
        <v>314.31</v>
      </c>
      <c r="AJ111" s="89">
        <f>'DIY Grundmodell'!V198</f>
        <v>6431.1264600000004</v>
      </c>
      <c r="AK111" s="989"/>
      <c r="AL111" s="33">
        <f>'DIY Grundmodell'!X198</f>
        <v>4513.3938600000001</v>
      </c>
    </row>
    <row r="112" spans="32:38" ht="14.1" customHeight="1" x14ac:dyDescent="0.45">
      <c r="AF112" s="988">
        <f>'DIY Grundmodell'!R199</f>
        <v>45141</v>
      </c>
      <c r="AG112" s="89">
        <f>'DIY Grundmodell'!S199</f>
        <v>313.19</v>
      </c>
      <c r="AH112" s="54">
        <f>'DIY Grundmodell'!T199</f>
        <v>4765.3180199999997</v>
      </c>
      <c r="AI112" s="89">
        <f>'DIY Grundmodell'!U199</f>
        <v>313.19</v>
      </c>
      <c r="AJ112" s="89">
        <f>'DIY Grundmodell'!V199</f>
        <v>4765.3180199999997</v>
      </c>
      <c r="AK112" s="989"/>
      <c r="AL112" s="33">
        <f>'DIY Grundmodell'!X199</f>
        <v>4501.8856699999997</v>
      </c>
    </row>
    <row r="113" spans="32:38" ht="14.1" customHeight="1" x14ac:dyDescent="0.45">
      <c r="AF113" s="988">
        <f>'DIY Grundmodell'!R200</f>
        <v>45142</v>
      </c>
      <c r="AG113" s="89">
        <f>'DIY Grundmodell'!S200</f>
        <v>310.73</v>
      </c>
      <c r="AH113" s="54">
        <f>'DIY Grundmodell'!T200</f>
        <v>5472.8135400000001</v>
      </c>
      <c r="AI113" s="89">
        <f>'DIY Grundmodell'!U200</f>
        <v>310.73</v>
      </c>
      <c r="AJ113" s="89">
        <f>'DIY Grundmodell'!V200</f>
        <v>5472.8135400000001</v>
      </c>
      <c r="AK113" s="989"/>
      <c r="AL113" s="33">
        <f>'DIY Grundmodell'!X200</f>
        <v>4478.0338400000001</v>
      </c>
    </row>
    <row r="114" spans="32:38" ht="14.1" customHeight="1" x14ac:dyDescent="0.45">
      <c r="AF114" s="988">
        <f>'DIY Grundmodell'!R201</f>
        <v>45143</v>
      </c>
      <c r="AG114" s="89" t="e">
        <f>'DIY Grundmodell'!S201</f>
        <v>#N/A</v>
      </c>
      <c r="AH114" s="54" t="e">
        <f>'DIY Grundmodell'!T201</f>
        <v>#N/A</v>
      </c>
      <c r="AI114" s="89">
        <f>'DIY Grundmodell'!U201</f>
        <v>310.73</v>
      </c>
      <c r="AJ114" s="89">
        <f>'DIY Grundmodell'!V201</f>
        <v>0</v>
      </c>
      <c r="AK114" s="989"/>
      <c r="AL114" s="33">
        <f>'DIY Grundmodell'!X201</f>
        <v>4478.0338400000001</v>
      </c>
    </row>
    <row r="115" spans="32:38" ht="14.1" customHeight="1" x14ac:dyDescent="0.45">
      <c r="AF115" s="988">
        <f>'DIY Grundmodell'!R202</f>
        <v>45144</v>
      </c>
      <c r="AG115" s="89" t="e">
        <f>'DIY Grundmodell'!S202</f>
        <v>#N/A</v>
      </c>
      <c r="AH115" s="54" t="e">
        <f>'DIY Grundmodell'!T202</f>
        <v>#N/A</v>
      </c>
      <c r="AI115" s="89">
        <f>'DIY Grundmodell'!U202</f>
        <v>310.73</v>
      </c>
      <c r="AJ115" s="89">
        <f>'DIY Grundmodell'!V202</f>
        <v>0</v>
      </c>
      <c r="AK115" s="989"/>
      <c r="AL115" s="33">
        <f>'DIY Grundmodell'!X202</f>
        <v>4478.0338400000001</v>
      </c>
    </row>
    <row r="116" spans="32:38" ht="14.1" customHeight="1" x14ac:dyDescent="0.45">
      <c r="AF116" s="988">
        <f>'DIY Grundmodell'!R203</f>
        <v>45145</v>
      </c>
      <c r="AG116" s="89">
        <f>'DIY Grundmodell'!S203</f>
        <v>316.56</v>
      </c>
      <c r="AH116" s="54">
        <f>'DIY Grundmodell'!T203</f>
        <v>5139.8277099999996</v>
      </c>
      <c r="AI116" s="89">
        <f>'DIY Grundmodell'!U203</f>
        <v>316.56</v>
      </c>
      <c r="AJ116" s="89">
        <f>'DIY Grundmodell'!V203</f>
        <v>5139.8277099999996</v>
      </c>
      <c r="AK116" s="989"/>
      <c r="AL116" s="33">
        <f>'DIY Grundmodell'!X203</f>
        <v>4518.4433600000002</v>
      </c>
    </row>
    <row r="117" spans="32:38" ht="14.1" customHeight="1" x14ac:dyDescent="0.45">
      <c r="AF117" s="988">
        <f>'DIY Grundmodell'!R204</f>
        <v>45146</v>
      </c>
      <c r="AG117" s="89">
        <f>'DIY Grundmodell'!S204</f>
        <v>312.64</v>
      </c>
      <c r="AH117" s="54">
        <f>'DIY Grundmodell'!T204</f>
        <v>4746.9794400000001</v>
      </c>
      <c r="AI117" s="89">
        <f>'DIY Grundmodell'!U204</f>
        <v>312.64</v>
      </c>
      <c r="AJ117" s="89">
        <f>'DIY Grundmodell'!V204</f>
        <v>4746.9794400000001</v>
      </c>
      <c r="AK117" s="989"/>
      <c r="AL117" s="33">
        <f>'DIY Grundmodell'!X204</f>
        <v>4499.3772600000002</v>
      </c>
    </row>
    <row r="118" spans="32:38" ht="14.1" customHeight="1" x14ac:dyDescent="0.45">
      <c r="AF118" s="988">
        <f>'DIY Grundmodell'!R205</f>
        <v>45147</v>
      </c>
      <c r="AG118" s="89">
        <f>'DIY Grundmodell'!S205</f>
        <v>305.20999999999998</v>
      </c>
      <c r="AH118" s="54">
        <f>'DIY Grundmodell'!T205</f>
        <v>6090.70453</v>
      </c>
      <c r="AI118" s="89">
        <f>'DIY Grundmodell'!U205</f>
        <v>305.20999999999998</v>
      </c>
      <c r="AJ118" s="89">
        <f>'DIY Grundmodell'!V205</f>
        <v>6090.70453</v>
      </c>
      <c r="AK118" s="989"/>
      <c r="AL118" s="33">
        <f>'DIY Grundmodell'!X205</f>
        <v>4467.7140900000004</v>
      </c>
    </row>
    <row r="119" spans="32:38" ht="14.1" customHeight="1" x14ac:dyDescent="0.45">
      <c r="AF119" s="988">
        <f>'DIY Grundmodell'!R206</f>
        <v>45148</v>
      </c>
      <c r="AG119" s="89">
        <f>'DIY Grundmodell'!S206</f>
        <v>305.74</v>
      </c>
      <c r="AH119" s="54">
        <f>'DIY Grundmodell'!T206</f>
        <v>4390.0891700000002</v>
      </c>
      <c r="AI119" s="89">
        <f>'DIY Grundmodell'!U206</f>
        <v>305.74</v>
      </c>
      <c r="AJ119" s="89">
        <f>'DIY Grundmodell'!V206</f>
        <v>4390.0891700000002</v>
      </c>
      <c r="AK119" s="989"/>
      <c r="AL119" s="33">
        <f>'DIY Grundmodell'!X206</f>
        <v>4468.8347700000004</v>
      </c>
    </row>
    <row r="120" spans="32:38" ht="14.1" customHeight="1" x14ac:dyDescent="0.45">
      <c r="AF120" s="988">
        <f>'DIY Grundmodell'!R207</f>
        <v>45149</v>
      </c>
      <c r="AG120" s="89">
        <f>'DIY Grundmodell'!S207</f>
        <v>301.64</v>
      </c>
      <c r="AH120" s="54">
        <f>'DIY Grundmodell'!T207</f>
        <v>4236.9108500000002</v>
      </c>
      <c r="AI120" s="89">
        <f>'DIY Grundmodell'!U207</f>
        <v>301.64</v>
      </c>
      <c r="AJ120" s="89">
        <f>'DIY Grundmodell'!V207</f>
        <v>4236.9108500000002</v>
      </c>
      <c r="AK120" s="989"/>
      <c r="AL120" s="33">
        <f>'DIY Grundmodell'!X207</f>
        <v>4464.0545599999996</v>
      </c>
    </row>
    <row r="121" spans="32:38" ht="14.1" customHeight="1" x14ac:dyDescent="0.45">
      <c r="AF121" s="988">
        <f>'DIY Grundmodell'!R208</f>
        <v>45150</v>
      </c>
      <c r="AG121" s="89" t="e">
        <f>'DIY Grundmodell'!S208</f>
        <v>#N/A</v>
      </c>
      <c r="AH121" s="54" t="e">
        <f>'DIY Grundmodell'!T208</f>
        <v>#N/A</v>
      </c>
      <c r="AI121" s="89">
        <f>'DIY Grundmodell'!U208</f>
        <v>301.64</v>
      </c>
      <c r="AJ121" s="89">
        <f>'DIY Grundmodell'!V208</f>
        <v>0</v>
      </c>
      <c r="AK121" s="989"/>
      <c r="AL121" s="33">
        <f>'DIY Grundmodell'!X208</f>
        <v>4464.0545599999996</v>
      </c>
    </row>
    <row r="122" spans="32:38" ht="14.1" customHeight="1" x14ac:dyDescent="0.45">
      <c r="AF122" s="988">
        <f>'DIY Grundmodell'!R209</f>
        <v>45151</v>
      </c>
      <c r="AG122" s="89" t="e">
        <f>'DIY Grundmodell'!S209</f>
        <v>#N/A</v>
      </c>
      <c r="AH122" s="54" t="e">
        <f>'DIY Grundmodell'!T209</f>
        <v>#N/A</v>
      </c>
      <c r="AI122" s="89">
        <f>'DIY Grundmodell'!U209</f>
        <v>301.64</v>
      </c>
      <c r="AJ122" s="89">
        <f>'DIY Grundmodell'!V209</f>
        <v>0</v>
      </c>
      <c r="AK122" s="989"/>
      <c r="AL122" s="33">
        <f>'DIY Grundmodell'!X209</f>
        <v>4464.0545599999996</v>
      </c>
    </row>
    <row r="123" spans="32:38" ht="14.1" customHeight="1" x14ac:dyDescent="0.45">
      <c r="AF123" s="988">
        <f>'DIY Grundmodell'!R210</f>
        <v>45152</v>
      </c>
      <c r="AG123" s="89">
        <f>'DIY Grundmodell'!S210</f>
        <v>306.19</v>
      </c>
      <c r="AH123" s="54">
        <f>'DIY Grundmodell'!T210</f>
        <v>4789.3997900000004</v>
      </c>
      <c r="AI123" s="89">
        <f>'DIY Grundmodell'!U210</f>
        <v>306.19</v>
      </c>
      <c r="AJ123" s="89">
        <f>'DIY Grundmodell'!V210</f>
        <v>4789.3997900000004</v>
      </c>
      <c r="AK123" s="989"/>
      <c r="AL123" s="33">
        <f>'DIY Grundmodell'!X210</f>
        <v>4489.7183299999997</v>
      </c>
    </row>
    <row r="124" spans="32:38" ht="14.1" customHeight="1" x14ac:dyDescent="0.45">
      <c r="AF124" s="988">
        <f>'DIY Grundmodell'!R211</f>
        <v>45153</v>
      </c>
      <c r="AG124" s="89">
        <f>'DIY Grundmodell'!S211</f>
        <v>301.95</v>
      </c>
      <c r="AH124" s="54">
        <f>'DIY Grundmodell'!T211</f>
        <v>3509.7499499999999</v>
      </c>
      <c r="AI124" s="89">
        <f>'DIY Grundmodell'!U211</f>
        <v>301.95</v>
      </c>
      <c r="AJ124" s="89">
        <f>'DIY Grundmodell'!V211</f>
        <v>3509.7499499999999</v>
      </c>
      <c r="AK124" s="989"/>
      <c r="AL124" s="33">
        <f>'DIY Grundmodell'!X211</f>
        <v>4437.85905</v>
      </c>
    </row>
    <row r="125" spans="32:38" ht="14.1" customHeight="1" x14ac:dyDescent="0.45">
      <c r="AF125" s="988">
        <f>'DIY Grundmodell'!R212</f>
        <v>45154</v>
      </c>
      <c r="AG125" s="89">
        <f>'DIY Grundmodell'!S212</f>
        <v>294.29000000000002</v>
      </c>
      <c r="AH125" s="54">
        <f>'DIY Grundmodell'!T212</f>
        <v>5458.4147000000003</v>
      </c>
      <c r="AI125" s="89">
        <f>'DIY Grundmodell'!U212</f>
        <v>294.29000000000002</v>
      </c>
      <c r="AJ125" s="89">
        <f>'DIY Grundmodell'!V212</f>
        <v>5458.4147000000003</v>
      </c>
      <c r="AK125" s="989"/>
      <c r="AL125" s="33">
        <f>'DIY Grundmodell'!X212</f>
        <v>4404.3334699999996</v>
      </c>
    </row>
    <row r="126" spans="32:38" ht="14.1" customHeight="1" x14ac:dyDescent="0.45">
      <c r="AF126" s="988">
        <f>'DIY Grundmodell'!R213</f>
        <v>45155</v>
      </c>
      <c r="AG126" s="89">
        <f>'DIY Grundmodell'!S213</f>
        <v>285.08999999999997</v>
      </c>
      <c r="AH126" s="54">
        <f>'DIY Grundmodell'!T213</f>
        <v>6827.9308700000001</v>
      </c>
      <c r="AI126" s="89">
        <f>'DIY Grundmodell'!U213</f>
        <v>285.08999999999997</v>
      </c>
      <c r="AJ126" s="89">
        <f>'DIY Grundmodell'!V213</f>
        <v>6827.9308700000001</v>
      </c>
      <c r="AK126" s="989"/>
      <c r="AL126" s="33">
        <f>'DIY Grundmodell'!X213</f>
        <v>4370.36006</v>
      </c>
    </row>
    <row r="127" spans="32:38" ht="14.1" customHeight="1" x14ac:dyDescent="0.45">
      <c r="AF127" s="988">
        <f>'DIY Grundmodell'!R214</f>
        <v>45156</v>
      </c>
      <c r="AG127" s="89">
        <f>'DIY Grundmodell'!S214</f>
        <v>283.25</v>
      </c>
      <c r="AH127" s="54">
        <f>'DIY Grundmodell'!T214</f>
        <v>10012.29976</v>
      </c>
      <c r="AI127" s="89">
        <f>'DIY Grundmodell'!U214</f>
        <v>283.25</v>
      </c>
      <c r="AJ127" s="89">
        <f>'DIY Grundmodell'!V214</f>
        <v>10012.29976</v>
      </c>
      <c r="AK127" s="989"/>
      <c r="AL127" s="33">
        <f>'DIY Grundmodell'!X214</f>
        <v>4369.7115000000003</v>
      </c>
    </row>
    <row r="128" spans="32:38" ht="14.1" customHeight="1" x14ac:dyDescent="0.45">
      <c r="AF128" s="988">
        <f>'DIY Grundmodell'!R215</f>
        <v>45157</v>
      </c>
      <c r="AG128" s="89" t="e">
        <f>'DIY Grundmodell'!S215</f>
        <v>#N/A</v>
      </c>
      <c r="AH128" s="54" t="e">
        <f>'DIY Grundmodell'!T215</f>
        <v>#N/A</v>
      </c>
      <c r="AI128" s="89">
        <f>'DIY Grundmodell'!U215</f>
        <v>283.25</v>
      </c>
      <c r="AJ128" s="89">
        <f>'DIY Grundmodell'!V215</f>
        <v>0</v>
      </c>
      <c r="AK128" s="989"/>
      <c r="AL128" s="33">
        <f>'DIY Grundmodell'!X215</f>
        <v>4369.7115000000003</v>
      </c>
    </row>
    <row r="129" spans="32:38" ht="14.1" customHeight="1" x14ac:dyDescent="0.45">
      <c r="AF129" s="988">
        <f>'DIY Grundmodell'!R216</f>
        <v>45158</v>
      </c>
      <c r="AG129" s="89" t="e">
        <f>'DIY Grundmodell'!S216</f>
        <v>#N/A</v>
      </c>
      <c r="AH129" s="54" t="e">
        <f>'DIY Grundmodell'!T216</f>
        <v>#N/A</v>
      </c>
      <c r="AI129" s="89">
        <f>'DIY Grundmodell'!U216</f>
        <v>283.25</v>
      </c>
      <c r="AJ129" s="89">
        <f>'DIY Grundmodell'!V216</f>
        <v>0</v>
      </c>
      <c r="AK129" s="989"/>
      <c r="AL129" s="33">
        <f>'DIY Grundmodell'!X216</f>
        <v>4369.7115000000003</v>
      </c>
    </row>
    <row r="130" spans="32:38" ht="14.1" customHeight="1" x14ac:dyDescent="0.45">
      <c r="AF130" s="988">
        <f>'DIY Grundmodell'!R217</f>
        <v>45159</v>
      </c>
      <c r="AG130" s="89">
        <f>'DIY Grundmodell'!S217</f>
        <v>289.89999999999998</v>
      </c>
      <c r="AH130" s="54">
        <f>'DIY Grundmodell'!T217</f>
        <v>5850.6095999999998</v>
      </c>
      <c r="AI130" s="89">
        <f>'DIY Grundmodell'!U217</f>
        <v>289.89999999999998</v>
      </c>
      <c r="AJ130" s="89">
        <f>'DIY Grundmodell'!V217</f>
        <v>5850.6095999999998</v>
      </c>
      <c r="AK130" s="989"/>
      <c r="AL130" s="33">
        <f>'DIY Grundmodell'!X217</f>
        <v>4399.7691000000004</v>
      </c>
    </row>
    <row r="131" spans="32:38" ht="14.1" customHeight="1" x14ac:dyDescent="0.45">
      <c r="AF131" s="988">
        <f>'DIY Grundmodell'!R218</f>
        <v>45160</v>
      </c>
      <c r="AG131" s="89">
        <f>'DIY Grundmodell'!S218</f>
        <v>287.60000000000002</v>
      </c>
      <c r="AH131" s="54">
        <f>'DIY Grundmodell'!T218</f>
        <v>3738.7749800000001</v>
      </c>
      <c r="AI131" s="89">
        <f>'DIY Grundmodell'!U218</f>
        <v>287.60000000000002</v>
      </c>
      <c r="AJ131" s="89">
        <f>'DIY Grundmodell'!V218</f>
        <v>3738.7749800000001</v>
      </c>
      <c r="AK131" s="989"/>
      <c r="AL131" s="33">
        <f>'DIY Grundmodell'!X218</f>
        <v>4387.5487000000003</v>
      </c>
    </row>
    <row r="132" spans="32:38" ht="14.1" customHeight="1" x14ac:dyDescent="0.45">
      <c r="AF132" s="988">
        <f>'DIY Grundmodell'!R219</f>
        <v>45161</v>
      </c>
      <c r="AG132" s="89">
        <f>'DIY Grundmodell'!S219</f>
        <v>294.24</v>
      </c>
      <c r="AH132" s="54">
        <f>'DIY Grundmodell'!T219</f>
        <v>5380.7671700000001</v>
      </c>
      <c r="AI132" s="89">
        <f>'DIY Grundmodell'!U219</f>
        <v>294.24</v>
      </c>
      <c r="AJ132" s="89">
        <f>'DIY Grundmodell'!V219</f>
        <v>5380.7671700000001</v>
      </c>
      <c r="AK132" s="989"/>
      <c r="AL132" s="33">
        <f>'DIY Grundmodell'!X219</f>
        <v>4436.0117399999999</v>
      </c>
    </row>
    <row r="133" spans="32:38" ht="14.1" customHeight="1" x14ac:dyDescent="0.45">
      <c r="AF133" s="988">
        <f>'DIY Grundmodell'!R220</f>
        <v>45162</v>
      </c>
      <c r="AG133" s="89">
        <f>'DIY Grundmodell'!S220</f>
        <v>286.75</v>
      </c>
      <c r="AH133" s="54">
        <f>'DIY Grundmodell'!T220</f>
        <v>5264.9829099999997</v>
      </c>
      <c r="AI133" s="89">
        <f>'DIY Grundmodell'!U220</f>
        <v>286.75</v>
      </c>
      <c r="AJ133" s="89">
        <f>'DIY Grundmodell'!V220</f>
        <v>5264.9829099999997</v>
      </c>
      <c r="AK133" s="989"/>
      <c r="AL133" s="33">
        <f>'DIY Grundmodell'!X220</f>
        <v>4376.31495</v>
      </c>
    </row>
    <row r="134" spans="32:38" ht="14.1" customHeight="1" x14ac:dyDescent="0.45">
      <c r="AF134" s="988">
        <f>'DIY Grundmodell'!R221</f>
        <v>45163</v>
      </c>
      <c r="AG134" s="89">
        <f>'DIY Grundmodell'!S221</f>
        <v>285.5</v>
      </c>
      <c r="AH134" s="54">
        <f>'DIY Grundmodell'!T221</f>
        <v>6766.7619800000002</v>
      </c>
      <c r="AI134" s="89">
        <f>'DIY Grundmodell'!U221</f>
        <v>285.5</v>
      </c>
      <c r="AJ134" s="89">
        <f>'DIY Grundmodell'!V221</f>
        <v>6766.7619800000002</v>
      </c>
      <c r="AK134" s="989"/>
      <c r="AL134" s="33">
        <f>'DIY Grundmodell'!X221</f>
        <v>4405.7057299999997</v>
      </c>
    </row>
    <row r="135" spans="32:38" ht="14.1" customHeight="1" x14ac:dyDescent="0.45">
      <c r="AF135" s="988">
        <f>'DIY Grundmodell'!R222</f>
        <v>45164</v>
      </c>
      <c r="AG135" s="89" t="e">
        <f>'DIY Grundmodell'!S222</f>
        <v>#N/A</v>
      </c>
      <c r="AH135" s="54" t="e">
        <f>'DIY Grundmodell'!T222</f>
        <v>#N/A</v>
      </c>
      <c r="AI135" s="89">
        <f>'DIY Grundmodell'!U222</f>
        <v>285.5</v>
      </c>
      <c r="AJ135" s="89">
        <f>'DIY Grundmodell'!V222</f>
        <v>0</v>
      </c>
      <c r="AK135" s="989"/>
      <c r="AL135" s="33">
        <f>'DIY Grundmodell'!X222</f>
        <v>4405.7057299999997</v>
      </c>
    </row>
    <row r="136" spans="32:38" ht="14.1" customHeight="1" x14ac:dyDescent="0.45">
      <c r="AF136" s="988">
        <f>'DIY Grundmodell'!R223</f>
        <v>45165</v>
      </c>
      <c r="AG136" s="89" t="e">
        <f>'DIY Grundmodell'!S223</f>
        <v>#N/A</v>
      </c>
      <c r="AH136" s="54" t="e">
        <f>'DIY Grundmodell'!T223</f>
        <v>#N/A</v>
      </c>
      <c r="AI136" s="89">
        <f>'DIY Grundmodell'!U223</f>
        <v>285.5</v>
      </c>
      <c r="AJ136" s="89">
        <f>'DIY Grundmodell'!V223</f>
        <v>0</v>
      </c>
      <c r="AK136" s="989"/>
      <c r="AL136" s="33">
        <f>'DIY Grundmodell'!X223</f>
        <v>4405.7057299999997</v>
      </c>
    </row>
    <row r="137" spans="32:38" ht="14.1" customHeight="1" x14ac:dyDescent="0.45">
      <c r="AF137" s="988">
        <f>'DIY Grundmodell'!R224</f>
        <v>45166</v>
      </c>
      <c r="AG137" s="89">
        <f>'DIY Grundmodell'!S224</f>
        <v>290.26</v>
      </c>
      <c r="AH137" s="54">
        <f>'DIY Grundmodell'!T224</f>
        <v>4133.0948600000002</v>
      </c>
      <c r="AI137" s="89">
        <f>'DIY Grundmodell'!U224</f>
        <v>290.26</v>
      </c>
      <c r="AJ137" s="89">
        <f>'DIY Grundmodell'!V224</f>
        <v>4133.0948600000002</v>
      </c>
      <c r="AK137" s="989"/>
      <c r="AL137" s="33">
        <f>'DIY Grundmodell'!X224</f>
        <v>4433.3056500000002</v>
      </c>
    </row>
    <row r="138" spans="32:38" ht="14.1" customHeight="1" x14ac:dyDescent="0.45">
      <c r="AF138" s="988">
        <f>'DIY Grundmodell'!R225</f>
        <v>45167</v>
      </c>
      <c r="AG138" s="89">
        <f>'DIY Grundmodell'!S225</f>
        <v>297.99</v>
      </c>
      <c r="AH138" s="54">
        <f>'DIY Grundmodell'!T225</f>
        <v>6211.4591099999998</v>
      </c>
      <c r="AI138" s="89">
        <f>'DIY Grundmodell'!U225</f>
        <v>297.99</v>
      </c>
      <c r="AJ138" s="89">
        <f>'DIY Grundmodell'!V225</f>
        <v>6211.4591099999998</v>
      </c>
      <c r="AK138" s="989"/>
      <c r="AL138" s="33">
        <f>'DIY Grundmodell'!X225</f>
        <v>4497.6316699999998</v>
      </c>
    </row>
    <row r="139" spans="32:38" ht="14.1" customHeight="1" x14ac:dyDescent="0.45">
      <c r="AF139" s="988">
        <f>'DIY Grundmodell'!R226</f>
        <v>45168</v>
      </c>
      <c r="AG139" s="89">
        <f>'DIY Grundmodell'!S226</f>
        <v>295.10000000000002</v>
      </c>
      <c r="AH139" s="54">
        <f>'DIY Grundmodell'!T226</f>
        <v>5228.29378</v>
      </c>
      <c r="AI139" s="89">
        <f>'DIY Grundmodell'!U226</f>
        <v>295.10000000000002</v>
      </c>
      <c r="AJ139" s="89">
        <f>'DIY Grundmodell'!V226</f>
        <v>5228.29378</v>
      </c>
      <c r="AK139" s="989"/>
      <c r="AL139" s="33">
        <f>'DIY Grundmodell'!X226</f>
        <v>4514.8652599999996</v>
      </c>
    </row>
    <row r="140" spans="32:38" ht="14.1" customHeight="1" x14ac:dyDescent="0.45">
      <c r="AF140" s="988">
        <f>'DIY Grundmodell'!R227</f>
        <v>45169</v>
      </c>
      <c r="AG140" s="89">
        <f>'DIY Grundmodell'!S227</f>
        <v>295.89</v>
      </c>
      <c r="AH140" s="54">
        <f>'DIY Grundmodell'!T227</f>
        <v>5098.1447600000001</v>
      </c>
      <c r="AI140" s="89">
        <f>'DIY Grundmodell'!U227</f>
        <v>295.89</v>
      </c>
      <c r="AJ140" s="89">
        <f>'DIY Grundmodell'!V227</f>
        <v>5098.1447600000001</v>
      </c>
      <c r="AK140" s="989"/>
      <c r="AL140" s="33">
        <f>'DIY Grundmodell'!X227</f>
        <v>4507.6617900000001</v>
      </c>
    </row>
    <row r="141" spans="32:38" ht="14.1" customHeight="1" x14ac:dyDescent="0.45">
      <c r="AF141" s="988">
        <f>'DIY Grundmodell'!R228</f>
        <v>45170</v>
      </c>
      <c r="AG141" s="89">
        <f>'DIY Grundmodell'!S228</f>
        <v>296.38</v>
      </c>
      <c r="AH141" s="54">
        <f>'DIY Grundmodell'!T228</f>
        <v>3806.18813</v>
      </c>
      <c r="AI141" s="89">
        <f>'DIY Grundmodell'!U228</f>
        <v>296.38</v>
      </c>
      <c r="AJ141" s="89">
        <f>'DIY Grundmodell'!V228</f>
        <v>3806.18813</v>
      </c>
      <c r="AK141" s="989"/>
      <c r="AL141" s="33">
        <f>'DIY Grundmodell'!X228</f>
        <v>4515.7673999999997</v>
      </c>
    </row>
    <row r="142" spans="32:38" ht="14.1" customHeight="1" x14ac:dyDescent="0.45">
      <c r="AF142" s="988">
        <f>'DIY Grundmodell'!R229</f>
        <v>45171</v>
      </c>
      <c r="AG142" s="89" t="e">
        <f>'DIY Grundmodell'!S229</f>
        <v>#N/A</v>
      </c>
      <c r="AH142" s="54" t="e">
        <f>'DIY Grundmodell'!T229</f>
        <v>#N/A</v>
      </c>
      <c r="AI142" s="89">
        <f>'DIY Grundmodell'!U229</f>
        <v>296.38</v>
      </c>
      <c r="AJ142" s="89">
        <f>'DIY Grundmodell'!V229</f>
        <v>0</v>
      </c>
      <c r="AK142" s="989"/>
      <c r="AL142" s="33">
        <f>'DIY Grundmodell'!X229</f>
        <v>4515.7673999999997</v>
      </c>
    </row>
    <row r="143" spans="32:38" ht="14.1" customHeight="1" x14ac:dyDescent="0.45">
      <c r="AF143" s="988">
        <f>'DIY Grundmodell'!R230</f>
        <v>45172</v>
      </c>
      <c r="AG143" s="89" t="e">
        <f>'DIY Grundmodell'!S230</f>
        <v>#N/A</v>
      </c>
      <c r="AH143" s="54" t="e">
        <f>'DIY Grundmodell'!T230</f>
        <v>#N/A</v>
      </c>
      <c r="AI143" s="89">
        <f>'DIY Grundmodell'!U230</f>
        <v>296.38</v>
      </c>
      <c r="AJ143" s="89">
        <f>'DIY Grundmodell'!V230</f>
        <v>0</v>
      </c>
      <c r="AK143" s="989"/>
      <c r="AL143" s="33">
        <f>'DIY Grundmodell'!X230</f>
        <v>4515.7673999999997</v>
      </c>
    </row>
    <row r="144" spans="32:38" ht="14.1" customHeight="1" x14ac:dyDescent="0.45">
      <c r="AF144" s="988">
        <f>'DIY Grundmodell'!R231</f>
        <v>45173</v>
      </c>
      <c r="AG144" s="89" t="e">
        <f>'DIY Grundmodell'!S231</f>
        <v>#N/A</v>
      </c>
      <c r="AH144" s="54" t="e">
        <f>'DIY Grundmodell'!T231</f>
        <v>#N/A</v>
      </c>
      <c r="AI144" s="89">
        <f>'DIY Grundmodell'!U231</f>
        <v>296.38</v>
      </c>
      <c r="AJ144" s="89">
        <f>'DIY Grundmodell'!V231</f>
        <v>0</v>
      </c>
      <c r="AK144" s="989"/>
      <c r="AL144" s="33">
        <f>'DIY Grundmodell'!X231</f>
        <v>4515.7673999999997</v>
      </c>
    </row>
    <row r="145" spans="32:38" ht="14.1" customHeight="1" x14ac:dyDescent="0.45">
      <c r="AF145" s="988">
        <f>'DIY Grundmodell'!R232</f>
        <v>45174</v>
      </c>
      <c r="AG145" s="89">
        <f>'DIY Grundmodell'!S232</f>
        <v>300.14999999999998</v>
      </c>
      <c r="AH145" s="54">
        <f>'DIY Grundmodell'!T232</f>
        <v>4489.0401000000002</v>
      </c>
      <c r="AI145" s="89">
        <f>'DIY Grundmodell'!U232</f>
        <v>300.14999999999998</v>
      </c>
      <c r="AJ145" s="89">
        <f>'DIY Grundmodell'!V232</f>
        <v>4489.0401000000002</v>
      </c>
      <c r="AK145" s="989"/>
      <c r="AL145" s="33">
        <f>'DIY Grundmodell'!X232</f>
        <v>4496.8272800000004</v>
      </c>
    </row>
    <row r="146" spans="32:38" ht="14.1" customHeight="1" x14ac:dyDescent="0.45">
      <c r="AF146" s="988">
        <f>'DIY Grundmodell'!R233</f>
        <v>45175</v>
      </c>
      <c r="AG146" s="89">
        <f>'DIY Grundmodell'!S233</f>
        <v>299.17</v>
      </c>
      <c r="AH146" s="54">
        <f>'DIY Grundmodell'!T233</f>
        <v>4612.63058</v>
      </c>
      <c r="AI146" s="89">
        <f>'DIY Grundmodell'!U233</f>
        <v>299.17</v>
      </c>
      <c r="AJ146" s="89">
        <f>'DIY Grundmodell'!V233</f>
        <v>4612.63058</v>
      </c>
      <c r="AK146" s="989"/>
      <c r="AL146" s="33">
        <f>'DIY Grundmodell'!X233</f>
        <v>4465.4847600000003</v>
      </c>
    </row>
    <row r="147" spans="32:38" ht="14.1" customHeight="1" x14ac:dyDescent="0.45">
      <c r="AF147" s="988">
        <f>'DIY Grundmodell'!R234</f>
        <v>45176</v>
      </c>
      <c r="AG147" s="89">
        <f>'DIY Grundmodell'!S234</f>
        <v>298.67</v>
      </c>
      <c r="AH147" s="54">
        <f>'DIY Grundmodell'!T234</f>
        <v>10079.735280000001</v>
      </c>
      <c r="AI147" s="89">
        <f>'DIY Grundmodell'!U234</f>
        <v>298.67</v>
      </c>
      <c r="AJ147" s="89">
        <f>'DIY Grundmodell'!V234</f>
        <v>10079.735280000001</v>
      </c>
      <c r="AK147" s="989"/>
      <c r="AL147" s="33">
        <f>'DIY Grundmodell'!X234</f>
        <v>4451.1379800000004</v>
      </c>
    </row>
    <row r="148" spans="32:38" ht="14.1" customHeight="1" x14ac:dyDescent="0.45">
      <c r="AF148" s="988">
        <f>'DIY Grundmodell'!R235</f>
        <v>45177</v>
      </c>
      <c r="AG148" s="89">
        <f>'DIY Grundmodell'!S235</f>
        <v>297.89</v>
      </c>
      <c r="AH148" s="54">
        <f>'DIY Grundmodell'!T235</f>
        <v>5234.5835500000003</v>
      </c>
      <c r="AI148" s="89">
        <f>'DIY Grundmodell'!U235</f>
        <v>297.89</v>
      </c>
      <c r="AJ148" s="89">
        <f>'DIY Grundmodell'!V235</f>
        <v>5234.5835500000003</v>
      </c>
      <c r="AK148" s="989"/>
      <c r="AL148" s="33">
        <f>'DIY Grundmodell'!X235</f>
        <v>4457.4893099999999</v>
      </c>
    </row>
    <row r="149" spans="32:38" ht="14.1" customHeight="1" x14ac:dyDescent="0.45">
      <c r="AF149" s="988">
        <f>'DIY Grundmodell'!R236</f>
        <v>45178</v>
      </c>
      <c r="AG149" s="89" t="e">
        <f>'DIY Grundmodell'!S236</f>
        <v>#N/A</v>
      </c>
      <c r="AH149" s="54" t="e">
        <f>'DIY Grundmodell'!T236</f>
        <v>#N/A</v>
      </c>
      <c r="AI149" s="89">
        <f>'DIY Grundmodell'!U236</f>
        <v>297.89</v>
      </c>
      <c r="AJ149" s="89">
        <f>'DIY Grundmodell'!V236</f>
        <v>0</v>
      </c>
      <c r="AK149" s="989"/>
      <c r="AL149" s="33">
        <f>'DIY Grundmodell'!X236</f>
        <v>4457.4893099999999</v>
      </c>
    </row>
    <row r="150" spans="32:38" ht="14.1" customHeight="1" x14ac:dyDescent="0.45">
      <c r="AF150" s="988">
        <f>'DIY Grundmodell'!R237</f>
        <v>45179</v>
      </c>
      <c r="AG150" s="89" t="e">
        <f>'DIY Grundmodell'!S237</f>
        <v>#N/A</v>
      </c>
      <c r="AH150" s="54" t="e">
        <f>'DIY Grundmodell'!T237</f>
        <v>#N/A</v>
      </c>
      <c r="AI150" s="89">
        <f>'DIY Grundmodell'!U237</f>
        <v>297.89</v>
      </c>
      <c r="AJ150" s="89">
        <f>'DIY Grundmodell'!V237</f>
        <v>0</v>
      </c>
      <c r="AK150" s="989"/>
      <c r="AL150" s="33">
        <f>'DIY Grundmodell'!X237</f>
        <v>4457.4893099999999</v>
      </c>
    </row>
    <row r="151" spans="32:38" ht="14.1" customHeight="1" x14ac:dyDescent="0.45">
      <c r="AF151" s="988">
        <f>'DIY Grundmodell'!R238</f>
        <v>45180</v>
      </c>
      <c r="AG151" s="89">
        <f>'DIY Grundmodell'!S238</f>
        <v>307.56</v>
      </c>
      <c r="AH151" s="54">
        <f>'DIY Grundmodell'!T238</f>
        <v>5994.1383400000004</v>
      </c>
      <c r="AI151" s="89">
        <f>'DIY Grundmodell'!U238</f>
        <v>307.56</v>
      </c>
      <c r="AJ151" s="89">
        <f>'DIY Grundmodell'!V238</f>
        <v>5994.1383400000004</v>
      </c>
      <c r="AK151" s="989"/>
      <c r="AL151" s="33">
        <f>'DIY Grundmodell'!X238</f>
        <v>4487.4638599999998</v>
      </c>
    </row>
    <row r="152" spans="32:38" ht="14.1" customHeight="1" x14ac:dyDescent="0.45">
      <c r="AF152" s="988">
        <f>'DIY Grundmodell'!R239</f>
        <v>45181</v>
      </c>
      <c r="AG152" s="89">
        <f>'DIY Grundmodell'!S239</f>
        <v>301.66000000000003</v>
      </c>
      <c r="AH152" s="54">
        <f>'DIY Grundmodell'!T239</f>
        <v>4066.49746</v>
      </c>
      <c r="AI152" s="89">
        <f>'DIY Grundmodell'!U239</f>
        <v>301.66000000000003</v>
      </c>
      <c r="AJ152" s="89">
        <f>'DIY Grundmodell'!V239</f>
        <v>4066.49746</v>
      </c>
      <c r="AK152" s="989"/>
      <c r="AL152" s="33">
        <f>'DIY Grundmodell'!X239</f>
        <v>4461.9049199999999</v>
      </c>
    </row>
    <row r="153" spans="32:38" ht="14.1" customHeight="1" x14ac:dyDescent="0.45">
      <c r="AF153" s="988">
        <f>'DIY Grundmodell'!R240</f>
        <v>45182</v>
      </c>
      <c r="AG153" s="89">
        <f>'DIY Grundmodell'!S240</f>
        <v>305.06</v>
      </c>
      <c r="AH153" s="54">
        <f>'DIY Grundmodell'!T240</f>
        <v>4030.1217299999998</v>
      </c>
      <c r="AI153" s="89">
        <f>'DIY Grundmodell'!U240</f>
        <v>305.06</v>
      </c>
      <c r="AJ153" s="89">
        <f>'DIY Grundmodell'!V240</f>
        <v>4030.1217299999998</v>
      </c>
      <c r="AK153" s="989"/>
      <c r="AL153" s="33">
        <f>'DIY Grundmodell'!X240</f>
        <v>4467.44193</v>
      </c>
    </row>
    <row r="154" spans="32:38" ht="14.1" customHeight="1" x14ac:dyDescent="0.45">
      <c r="AF154" s="988">
        <f>'DIY Grundmodell'!R241</f>
        <v>45183</v>
      </c>
      <c r="AG154" s="89">
        <f>'DIY Grundmodell'!S241</f>
        <v>311.72000000000003</v>
      </c>
      <c r="AH154" s="54">
        <f>'DIY Grundmodell'!T241</f>
        <v>6029.6317600000002</v>
      </c>
      <c r="AI154" s="89">
        <f>'DIY Grundmodell'!U241</f>
        <v>311.72000000000003</v>
      </c>
      <c r="AJ154" s="89">
        <f>'DIY Grundmodell'!V241</f>
        <v>6029.6317600000002</v>
      </c>
      <c r="AK154" s="989"/>
      <c r="AL154" s="33">
        <f>'DIY Grundmodell'!X241</f>
        <v>4505.0962799999998</v>
      </c>
    </row>
    <row r="155" spans="32:38" ht="14.1" customHeight="1" x14ac:dyDescent="0.45">
      <c r="AF155" s="988">
        <f>'DIY Grundmodell'!R242</f>
        <v>45184</v>
      </c>
      <c r="AG155" s="89">
        <f>'DIY Grundmodell'!S242</f>
        <v>300.31</v>
      </c>
      <c r="AH155" s="54">
        <f>'DIY Grundmodell'!T242</f>
        <v>8448.0626499999998</v>
      </c>
      <c r="AI155" s="89">
        <f>'DIY Grundmodell'!U242</f>
        <v>300.31</v>
      </c>
      <c r="AJ155" s="89">
        <f>'DIY Grundmodell'!V242</f>
        <v>8448.0626499999998</v>
      </c>
      <c r="AK155" s="989"/>
      <c r="AL155" s="33">
        <f>'DIY Grundmodell'!X242</f>
        <v>4450.31628</v>
      </c>
    </row>
    <row r="156" spans="32:38" ht="14.1" customHeight="1" x14ac:dyDescent="0.45">
      <c r="AF156" s="988">
        <f>'DIY Grundmodell'!R243</f>
        <v>45185</v>
      </c>
      <c r="AG156" s="89" t="e">
        <f>'DIY Grundmodell'!S243</f>
        <v>#N/A</v>
      </c>
      <c r="AH156" s="54" t="e">
        <f>'DIY Grundmodell'!T243</f>
        <v>#N/A</v>
      </c>
      <c r="AI156" s="89">
        <f>'DIY Grundmodell'!U243</f>
        <v>300.31</v>
      </c>
      <c r="AJ156" s="89">
        <f>'DIY Grundmodell'!V243</f>
        <v>0</v>
      </c>
      <c r="AK156" s="989"/>
      <c r="AL156" s="33">
        <f>'DIY Grundmodell'!X243</f>
        <v>4450.31628</v>
      </c>
    </row>
    <row r="157" spans="32:38" ht="14.1" customHeight="1" x14ac:dyDescent="0.45">
      <c r="AF157" s="988">
        <f>'DIY Grundmodell'!R244</f>
        <v>45186</v>
      </c>
      <c r="AG157" s="89" t="e">
        <f>'DIY Grundmodell'!S244</f>
        <v>#N/A</v>
      </c>
      <c r="AH157" s="54" t="e">
        <f>'DIY Grundmodell'!T244</f>
        <v>#N/A</v>
      </c>
      <c r="AI157" s="89">
        <f>'DIY Grundmodell'!U244</f>
        <v>300.31</v>
      </c>
      <c r="AJ157" s="89">
        <f>'DIY Grundmodell'!V244</f>
        <v>0</v>
      </c>
      <c r="AK157" s="989"/>
      <c r="AL157" s="33">
        <f>'DIY Grundmodell'!X244</f>
        <v>4450.31628</v>
      </c>
    </row>
    <row r="158" spans="32:38" ht="14.1" customHeight="1" x14ac:dyDescent="0.45">
      <c r="AF158" s="988">
        <f>'DIY Grundmodell'!R245</f>
        <v>45187</v>
      </c>
      <c r="AG158" s="89">
        <f>'DIY Grundmodell'!S245</f>
        <v>302.55</v>
      </c>
      <c r="AH158" s="54">
        <f>'DIY Grundmodell'!T245</f>
        <v>4306.5445</v>
      </c>
      <c r="AI158" s="89">
        <f>'DIY Grundmodell'!U245</f>
        <v>302.55</v>
      </c>
      <c r="AJ158" s="89">
        <f>'DIY Grundmodell'!V245</f>
        <v>4306.5445</v>
      </c>
      <c r="AK158" s="989"/>
      <c r="AL158" s="33">
        <f>'DIY Grundmodell'!X245</f>
        <v>4453.5338000000002</v>
      </c>
    </row>
    <row r="159" spans="32:38" ht="14.1" customHeight="1" x14ac:dyDescent="0.45">
      <c r="AF159" s="988">
        <f>'DIY Grundmodell'!R246</f>
        <v>45188</v>
      </c>
      <c r="AG159" s="89">
        <f>'DIY Grundmodell'!S246</f>
        <v>305.07</v>
      </c>
      <c r="AH159" s="54">
        <f>'DIY Grundmodell'!T246</f>
        <v>4860.2587000000003</v>
      </c>
      <c r="AI159" s="89">
        <f>'DIY Grundmodell'!U246</f>
        <v>305.07</v>
      </c>
      <c r="AJ159" s="89">
        <f>'DIY Grundmodell'!V246</f>
        <v>4860.2587000000003</v>
      </c>
      <c r="AK159" s="989"/>
      <c r="AL159" s="33">
        <f>'DIY Grundmodell'!X246</f>
        <v>4443.9475000000002</v>
      </c>
    </row>
    <row r="160" spans="32:38" ht="14.1" customHeight="1" x14ac:dyDescent="0.45">
      <c r="AF160" s="988">
        <f>'DIY Grundmodell'!R247</f>
        <v>45189</v>
      </c>
      <c r="AG160" s="89">
        <f>'DIY Grundmodell'!S247</f>
        <v>299.67</v>
      </c>
      <c r="AH160" s="54">
        <f>'DIY Grundmodell'!T247</f>
        <v>5807.4592599999996</v>
      </c>
      <c r="AI160" s="89">
        <f>'DIY Grundmodell'!U247</f>
        <v>299.67</v>
      </c>
      <c r="AJ160" s="89">
        <f>'DIY Grundmodell'!V247</f>
        <v>5807.4592599999996</v>
      </c>
      <c r="AK160" s="989"/>
      <c r="AL160" s="33">
        <f>'DIY Grundmodell'!X247</f>
        <v>4402.2035400000004</v>
      </c>
    </row>
    <row r="161" spans="32:38" ht="14.1" customHeight="1" x14ac:dyDescent="0.45">
      <c r="AF161" s="988">
        <f>'DIY Grundmodell'!R248</f>
        <v>45190</v>
      </c>
      <c r="AG161" s="89">
        <f>'DIY Grundmodell'!S248</f>
        <v>295.73</v>
      </c>
      <c r="AH161" s="54">
        <f>'DIY Grundmodell'!T248</f>
        <v>6304.8399900000004</v>
      </c>
      <c r="AI161" s="89">
        <f>'DIY Grundmodell'!U248</f>
        <v>295.73</v>
      </c>
      <c r="AJ161" s="89">
        <f>'DIY Grundmodell'!V248</f>
        <v>6304.8399900000004</v>
      </c>
      <c r="AK161" s="989"/>
      <c r="AL161" s="33">
        <f>'DIY Grundmodell'!X248</f>
        <v>4330.0048500000003</v>
      </c>
    </row>
    <row r="162" spans="32:38" ht="14.1" customHeight="1" x14ac:dyDescent="0.45">
      <c r="AF162" s="988">
        <f>'DIY Grundmodell'!R249</f>
        <v>45191</v>
      </c>
      <c r="AG162" s="89">
        <f>'DIY Grundmodell'!S249</f>
        <v>299.08</v>
      </c>
      <c r="AH162" s="54">
        <f>'DIY Grundmodell'!T249</f>
        <v>7587.5375800000002</v>
      </c>
      <c r="AI162" s="89">
        <f>'DIY Grundmodell'!U249</f>
        <v>299.08</v>
      </c>
      <c r="AJ162" s="89">
        <f>'DIY Grundmodell'!V249</f>
        <v>7587.5375800000002</v>
      </c>
      <c r="AK162" s="989"/>
      <c r="AL162" s="33">
        <f>'DIY Grundmodell'!X249</f>
        <v>4320.0571300000001</v>
      </c>
    </row>
    <row r="163" spans="32:38" ht="14.1" customHeight="1" x14ac:dyDescent="0.45">
      <c r="AF163" s="988">
        <f>'DIY Grundmodell'!R250</f>
        <v>45192</v>
      </c>
      <c r="AG163" s="89" t="e">
        <f>'DIY Grundmodell'!S250</f>
        <v>#N/A</v>
      </c>
      <c r="AH163" s="54" t="e">
        <f>'DIY Grundmodell'!T250</f>
        <v>#N/A</v>
      </c>
      <c r="AI163" s="89">
        <f>'DIY Grundmodell'!U250</f>
        <v>299.08</v>
      </c>
      <c r="AJ163" s="89">
        <f>'DIY Grundmodell'!V250</f>
        <v>0</v>
      </c>
      <c r="AK163" s="989"/>
      <c r="AL163" s="33">
        <f>'DIY Grundmodell'!X250</f>
        <v>4320.0571300000001</v>
      </c>
    </row>
    <row r="164" spans="32:38" ht="14.1" customHeight="1" x14ac:dyDescent="0.45">
      <c r="AF164" s="988">
        <f>'DIY Grundmodell'!R251</f>
        <v>45193</v>
      </c>
      <c r="AG164" s="89" t="e">
        <f>'DIY Grundmodell'!S251</f>
        <v>#N/A</v>
      </c>
      <c r="AH164" s="54" t="e">
        <f>'DIY Grundmodell'!T251</f>
        <v>#N/A</v>
      </c>
      <c r="AI164" s="89">
        <f>'DIY Grundmodell'!U251</f>
        <v>299.08</v>
      </c>
      <c r="AJ164" s="89">
        <f>'DIY Grundmodell'!V251</f>
        <v>0</v>
      </c>
      <c r="AK164" s="989"/>
      <c r="AL164" s="33">
        <f>'DIY Grundmodell'!X251</f>
        <v>4320.0571300000001</v>
      </c>
    </row>
    <row r="165" spans="32:38" ht="14.1" customHeight="1" x14ac:dyDescent="0.45">
      <c r="AF165" s="988">
        <f>'DIY Grundmodell'!R252</f>
        <v>45194</v>
      </c>
      <c r="AG165" s="89">
        <f>'DIY Grundmodell'!S252</f>
        <v>300.83</v>
      </c>
      <c r="AH165" s="54">
        <f>'DIY Grundmodell'!T252</f>
        <v>5711.8634199999997</v>
      </c>
      <c r="AI165" s="89">
        <f>'DIY Grundmodell'!U252</f>
        <v>300.83</v>
      </c>
      <c r="AJ165" s="89">
        <f>'DIY Grundmodell'!V252</f>
        <v>5711.8634199999997</v>
      </c>
      <c r="AK165" s="989"/>
      <c r="AL165" s="33">
        <f>'DIY Grundmodell'!X252</f>
        <v>4337.4449800000002</v>
      </c>
    </row>
    <row r="166" spans="32:38" ht="14.1" customHeight="1" x14ac:dyDescent="0.45">
      <c r="AF166" s="988">
        <f>'DIY Grundmodell'!R253</f>
        <v>45195</v>
      </c>
      <c r="AG166" s="89">
        <f>'DIY Grundmodell'!S253</f>
        <v>298.95999999999998</v>
      </c>
      <c r="AH166" s="54">
        <f>'DIY Grundmodell'!T253</f>
        <v>5804.9544500000002</v>
      </c>
      <c r="AI166" s="89">
        <f>'DIY Grundmodell'!U253</f>
        <v>298.95999999999998</v>
      </c>
      <c r="AJ166" s="89">
        <f>'DIY Grundmodell'!V253</f>
        <v>5804.9544500000002</v>
      </c>
      <c r="AK166" s="989"/>
      <c r="AL166" s="33">
        <f>'DIY Grundmodell'!X253</f>
        <v>4273.5283099999997</v>
      </c>
    </row>
    <row r="167" spans="32:38" ht="14.1" customHeight="1" x14ac:dyDescent="0.45">
      <c r="AF167" s="988">
        <f>'DIY Grundmodell'!R254</f>
        <v>45196</v>
      </c>
      <c r="AG167" s="89">
        <f>'DIY Grundmodell'!S254</f>
        <v>297.74</v>
      </c>
      <c r="AH167" s="54">
        <f>'DIY Grundmodell'!T254</f>
        <v>10846.619070000001</v>
      </c>
      <c r="AI167" s="89">
        <f>'DIY Grundmodell'!U254</f>
        <v>297.74</v>
      </c>
      <c r="AJ167" s="89">
        <f>'DIY Grundmodell'!V254</f>
        <v>10846.619070000001</v>
      </c>
      <c r="AK167" s="989"/>
      <c r="AL167" s="33">
        <f>'DIY Grundmodell'!X254</f>
        <v>4274.5094099999997</v>
      </c>
    </row>
    <row r="168" spans="32:38" ht="14.1" customHeight="1" x14ac:dyDescent="0.45">
      <c r="AF168" s="988">
        <f>'DIY Grundmodell'!R255</f>
        <v>45197</v>
      </c>
      <c r="AG168" s="89">
        <f>'DIY Grundmodell'!S255</f>
        <v>303.95999999999998</v>
      </c>
      <c r="AH168" s="54">
        <f>'DIY Grundmodell'!T255</f>
        <v>6737.9041200000001</v>
      </c>
      <c r="AI168" s="89">
        <f>'DIY Grundmodell'!U255</f>
        <v>303.95999999999998</v>
      </c>
      <c r="AJ168" s="89">
        <f>'DIY Grundmodell'!V255</f>
        <v>6737.9041200000001</v>
      </c>
      <c r="AK168" s="989"/>
      <c r="AL168" s="33">
        <f>'DIY Grundmodell'!X255</f>
        <v>4299.7019899999996</v>
      </c>
    </row>
    <row r="169" spans="32:38" ht="14.1" customHeight="1" x14ac:dyDescent="0.45">
      <c r="AF169" s="988">
        <f>'DIY Grundmodell'!R256</f>
        <v>45198</v>
      </c>
      <c r="AG169" s="89">
        <f>'DIY Grundmodell'!S256</f>
        <v>300.20999999999998</v>
      </c>
      <c r="AH169" s="54">
        <f>'DIY Grundmodell'!T256</f>
        <v>7617.4369800000004</v>
      </c>
      <c r="AI169" s="89">
        <f>'DIY Grundmodell'!U256</f>
        <v>300.20999999999998</v>
      </c>
      <c r="AJ169" s="89">
        <f>'DIY Grundmodell'!V256</f>
        <v>7617.4369800000004</v>
      </c>
      <c r="AK169" s="989"/>
      <c r="AL169" s="33">
        <f>'DIY Grundmodell'!X256</f>
        <v>4288.0541199999998</v>
      </c>
    </row>
    <row r="170" spans="32:38" ht="14.1" customHeight="1" x14ac:dyDescent="0.45">
      <c r="AF170" s="988">
        <f>'DIY Grundmodell'!R257</f>
        <v>45199</v>
      </c>
      <c r="AG170" s="89" t="e">
        <f>'DIY Grundmodell'!S257</f>
        <v>#N/A</v>
      </c>
      <c r="AH170" s="54" t="e">
        <f>'DIY Grundmodell'!T257</f>
        <v>#N/A</v>
      </c>
      <c r="AI170" s="89">
        <f>'DIY Grundmodell'!U257</f>
        <v>300.20999999999998</v>
      </c>
      <c r="AJ170" s="89">
        <f>'DIY Grundmodell'!V257</f>
        <v>0</v>
      </c>
      <c r="AK170" s="989"/>
      <c r="AL170" s="33">
        <f>'DIY Grundmodell'!X257</f>
        <v>4288.0541199999998</v>
      </c>
    </row>
    <row r="171" spans="32:38" ht="14.1" customHeight="1" x14ac:dyDescent="0.45">
      <c r="AF171" s="988">
        <f>'DIY Grundmodell'!R258</f>
        <v>45200</v>
      </c>
      <c r="AG171" s="89" t="e">
        <f>'DIY Grundmodell'!S258</f>
        <v>#N/A</v>
      </c>
      <c r="AH171" s="54" t="e">
        <f>'DIY Grundmodell'!T258</f>
        <v>#N/A</v>
      </c>
      <c r="AI171" s="89">
        <f>'DIY Grundmodell'!U258</f>
        <v>300.20999999999998</v>
      </c>
      <c r="AJ171" s="89">
        <f>'DIY Grundmodell'!V258</f>
        <v>0</v>
      </c>
      <c r="AK171" s="989"/>
      <c r="AL171" s="33">
        <f>'DIY Grundmodell'!X258</f>
        <v>4288.0541199999998</v>
      </c>
    </row>
    <row r="172" spans="32:38" ht="14.1" customHeight="1" x14ac:dyDescent="0.45">
      <c r="AF172" s="988">
        <f>'DIY Grundmodell'!R259</f>
        <v>45201</v>
      </c>
      <c r="AG172" s="89">
        <f>'DIY Grundmodell'!S259</f>
        <v>306.82</v>
      </c>
      <c r="AH172" s="54">
        <f>'DIY Grundmodell'!T259</f>
        <v>4990.6024900000002</v>
      </c>
      <c r="AI172" s="89">
        <f>'DIY Grundmodell'!U259</f>
        <v>306.82</v>
      </c>
      <c r="AJ172" s="89">
        <f>'DIY Grundmodell'!V259</f>
        <v>4990.6024900000002</v>
      </c>
      <c r="AK172" s="989"/>
      <c r="AL172" s="33">
        <f>'DIY Grundmodell'!X259</f>
        <v>4288.3906999999999</v>
      </c>
    </row>
    <row r="173" spans="32:38" ht="14.1" customHeight="1" x14ac:dyDescent="0.45">
      <c r="AF173" s="988">
        <f>'DIY Grundmodell'!R260</f>
        <v>45202</v>
      </c>
      <c r="AG173" s="89">
        <f>'DIY Grundmodell'!S260</f>
        <v>300.94</v>
      </c>
      <c r="AH173" s="54">
        <f>'DIY Grundmodell'!T260</f>
        <v>5224.9955200000004</v>
      </c>
      <c r="AI173" s="89">
        <f>'DIY Grundmodell'!U260</f>
        <v>300.94</v>
      </c>
      <c r="AJ173" s="89">
        <f>'DIY Grundmodell'!V260</f>
        <v>5224.9955200000004</v>
      </c>
      <c r="AK173" s="989"/>
      <c r="AL173" s="33">
        <f>'DIY Grundmodell'!X260</f>
        <v>4229.4530299999997</v>
      </c>
    </row>
    <row r="174" spans="32:38" ht="14.1" customHeight="1" x14ac:dyDescent="0.45">
      <c r="AF174" s="988">
        <f>'DIY Grundmodell'!R261</f>
        <v>45203</v>
      </c>
      <c r="AG174" s="89">
        <f>'DIY Grundmodell'!S261</f>
        <v>305.58</v>
      </c>
      <c r="AH174" s="54">
        <f>'DIY Grundmodell'!T261</f>
        <v>5158.3383000000003</v>
      </c>
      <c r="AI174" s="89">
        <f>'DIY Grundmodell'!U261</f>
        <v>305.58</v>
      </c>
      <c r="AJ174" s="89">
        <f>'DIY Grundmodell'!V261</f>
        <v>5158.3383000000003</v>
      </c>
      <c r="AK174" s="989"/>
      <c r="AL174" s="33">
        <f>'DIY Grundmodell'!X261</f>
        <v>4263.7511400000003</v>
      </c>
    </row>
    <row r="175" spans="32:38" ht="14.1" customHeight="1" x14ac:dyDescent="0.45">
      <c r="AF175" s="988">
        <f>'DIY Grundmodell'!R262</f>
        <v>45204</v>
      </c>
      <c r="AG175" s="89">
        <f>'DIY Grundmodell'!S262</f>
        <v>304.79000000000002</v>
      </c>
      <c r="AH175" s="54">
        <f>'DIY Grundmodell'!T262</f>
        <v>5830.6195900000002</v>
      </c>
      <c r="AI175" s="89">
        <f>'DIY Grundmodell'!U262</f>
        <v>304.79000000000002</v>
      </c>
      <c r="AJ175" s="89">
        <f>'DIY Grundmodell'!V262</f>
        <v>5830.6195900000002</v>
      </c>
      <c r="AK175" s="989"/>
      <c r="AL175" s="33">
        <f>'DIY Grundmodell'!X262</f>
        <v>4258.1858099999999</v>
      </c>
    </row>
    <row r="176" spans="32:38" ht="14.1" customHeight="1" x14ac:dyDescent="0.45">
      <c r="AF176" s="988">
        <f>'DIY Grundmodell'!R263</f>
        <v>45205</v>
      </c>
      <c r="AG176" s="89">
        <f>'DIY Grundmodell'!S263</f>
        <v>315.43</v>
      </c>
      <c r="AH176" s="54">
        <f>'DIY Grundmodell'!T263</f>
        <v>6877.5902999999998</v>
      </c>
      <c r="AI176" s="89">
        <f>'DIY Grundmodell'!U263</f>
        <v>315.43</v>
      </c>
      <c r="AJ176" s="89">
        <f>'DIY Grundmodell'!V263</f>
        <v>6877.5902999999998</v>
      </c>
      <c r="AK176" s="989"/>
      <c r="AL176" s="33">
        <f>'DIY Grundmodell'!X263</f>
        <v>4308.5022600000002</v>
      </c>
    </row>
    <row r="177" spans="32:38" ht="14.1" customHeight="1" x14ac:dyDescent="0.45">
      <c r="AF177" s="988">
        <f>'DIY Grundmodell'!R264</f>
        <v>45206</v>
      </c>
      <c r="AG177" s="89" t="e">
        <f>'DIY Grundmodell'!S264</f>
        <v>#N/A</v>
      </c>
      <c r="AH177" s="54" t="e">
        <f>'DIY Grundmodell'!T264</f>
        <v>#N/A</v>
      </c>
      <c r="AI177" s="89">
        <f>'DIY Grundmodell'!U264</f>
        <v>315.43</v>
      </c>
      <c r="AJ177" s="89">
        <f>'DIY Grundmodell'!V264</f>
        <v>0</v>
      </c>
      <c r="AK177" s="989"/>
      <c r="AL177" s="33">
        <f>'DIY Grundmodell'!X264</f>
        <v>4308.5022600000002</v>
      </c>
    </row>
    <row r="178" spans="32:38" ht="14.1" customHeight="1" x14ac:dyDescent="0.45">
      <c r="AF178" s="988">
        <f>'DIY Grundmodell'!R265</f>
        <v>45207</v>
      </c>
      <c r="AG178" s="89" t="e">
        <f>'DIY Grundmodell'!S265</f>
        <v>#N/A</v>
      </c>
      <c r="AH178" s="54" t="e">
        <f>'DIY Grundmodell'!T265</f>
        <v>#N/A</v>
      </c>
      <c r="AI178" s="89">
        <f>'DIY Grundmodell'!U265</f>
        <v>315.43</v>
      </c>
      <c r="AJ178" s="89">
        <f>'DIY Grundmodell'!V265</f>
        <v>0</v>
      </c>
      <c r="AK178" s="989"/>
      <c r="AL178" s="33">
        <f>'DIY Grundmodell'!X265</f>
        <v>4308.5022600000002</v>
      </c>
    </row>
    <row r="179" spans="32:38" ht="14.1" customHeight="1" x14ac:dyDescent="0.45">
      <c r="AF179" s="988">
        <f>'DIY Grundmodell'!R266</f>
        <v>45208</v>
      </c>
      <c r="AG179" s="89">
        <f>'DIY Grundmodell'!S266</f>
        <v>318.36</v>
      </c>
      <c r="AH179" s="54">
        <f>'DIY Grundmodell'!T266</f>
        <v>7164.2658300000003</v>
      </c>
      <c r="AI179" s="89">
        <f>'DIY Grundmodell'!U266</f>
        <v>318.36</v>
      </c>
      <c r="AJ179" s="89">
        <f>'DIY Grundmodell'!V266</f>
        <v>7164.2658300000003</v>
      </c>
      <c r="AK179" s="989"/>
      <c r="AL179" s="33">
        <f>'DIY Grundmodell'!X266</f>
        <v>4335.6575199999997</v>
      </c>
    </row>
    <row r="180" spans="32:38" ht="14.1" customHeight="1" x14ac:dyDescent="0.45">
      <c r="AF180" s="988">
        <f>'DIY Grundmodell'!R267</f>
        <v>45209</v>
      </c>
      <c r="AG180" s="89">
        <f>'DIY Grundmodell'!S267</f>
        <v>321.83999999999997</v>
      </c>
      <c r="AH180" s="54">
        <f>'DIY Grundmodell'!T267</f>
        <v>6127.1812300000001</v>
      </c>
      <c r="AI180" s="89">
        <f>'DIY Grundmodell'!U267</f>
        <v>321.83999999999997</v>
      </c>
      <c r="AJ180" s="89">
        <f>'DIY Grundmodell'!V267</f>
        <v>6127.1812300000001</v>
      </c>
      <c r="AK180" s="989"/>
      <c r="AL180" s="33">
        <f>'DIY Grundmodell'!X267</f>
        <v>4358.2378600000002</v>
      </c>
    </row>
    <row r="181" spans="32:38" ht="14.1" customHeight="1" x14ac:dyDescent="0.45">
      <c r="AF181" s="988">
        <f>'DIY Grundmodell'!R268</f>
        <v>45210</v>
      </c>
      <c r="AG181" s="89">
        <f>'DIY Grundmodell'!S268</f>
        <v>327.82</v>
      </c>
      <c r="AH181" s="54">
        <f>'DIY Grundmodell'!T268</f>
        <v>7223.9388799999997</v>
      </c>
      <c r="AI181" s="89">
        <f>'DIY Grundmodell'!U268</f>
        <v>327.82</v>
      </c>
      <c r="AJ181" s="89">
        <f>'DIY Grundmodell'!V268</f>
        <v>7223.9388799999997</v>
      </c>
      <c r="AK181" s="989"/>
      <c r="AL181" s="33">
        <f>'DIY Grundmodell'!X268</f>
        <v>4376.9451799999997</v>
      </c>
    </row>
    <row r="182" spans="32:38" ht="14.1" customHeight="1" x14ac:dyDescent="0.45">
      <c r="AF182" s="988">
        <f>'DIY Grundmodell'!R269</f>
        <v>45211</v>
      </c>
      <c r="AG182" s="89">
        <f>'DIY Grundmodell'!S269</f>
        <v>324.16000000000003</v>
      </c>
      <c r="AH182" s="54">
        <f>'DIY Grundmodell'!T269</f>
        <v>6655.1727199999996</v>
      </c>
      <c r="AI182" s="89">
        <f>'DIY Grundmodell'!U269</f>
        <v>324.16000000000003</v>
      </c>
      <c r="AJ182" s="89">
        <f>'DIY Grundmodell'!V269</f>
        <v>6655.1727199999996</v>
      </c>
      <c r="AK182" s="989"/>
      <c r="AL182" s="33">
        <f>'DIY Grundmodell'!X269</f>
        <v>4349.6057799999999</v>
      </c>
    </row>
    <row r="183" spans="32:38" ht="14.1" customHeight="1" x14ac:dyDescent="0.45">
      <c r="AF183" s="988">
        <f>'DIY Grundmodell'!R270</f>
        <v>45212</v>
      </c>
      <c r="AG183" s="89">
        <f>'DIY Grundmodell'!S270</f>
        <v>314.69</v>
      </c>
      <c r="AH183" s="54">
        <f>'DIY Grundmodell'!T270</f>
        <v>6722.0270099999998</v>
      </c>
      <c r="AI183" s="89">
        <f>'DIY Grundmodell'!U270</f>
        <v>314.69</v>
      </c>
      <c r="AJ183" s="89">
        <f>'DIY Grundmodell'!V270</f>
        <v>6722.0270099999998</v>
      </c>
      <c r="AK183" s="989"/>
      <c r="AL183" s="33">
        <f>'DIY Grundmodell'!X270</f>
        <v>4327.7830299999996</v>
      </c>
    </row>
    <row r="184" spans="32:38" ht="14.1" customHeight="1" x14ac:dyDescent="0.45">
      <c r="AF184" s="988">
        <f>'DIY Grundmodell'!R271</f>
        <v>45213</v>
      </c>
      <c r="AG184" s="89" t="e">
        <f>'DIY Grundmodell'!S271</f>
        <v>#N/A</v>
      </c>
      <c r="AH184" s="54" t="e">
        <f>'DIY Grundmodell'!T271</f>
        <v>#N/A</v>
      </c>
      <c r="AI184" s="89">
        <f>'DIY Grundmodell'!U271</f>
        <v>314.69</v>
      </c>
      <c r="AJ184" s="89">
        <f>'DIY Grundmodell'!V271</f>
        <v>0</v>
      </c>
      <c r="AK184" s="989"/>
      <c r="AL184" s="33">
        <f>'DIY Grundmodell'!X271</f>
        <v>4327.7830299999996</v>
      </c>
    </row>
    <row r="185" spans="32:38" ht="14.1" customHeight="1" x14ac:dyDescent="0.45">
      <c r="AF185" s="988">
        <f>'DIY Grundmodell'!R272</f>
        <v>45214</v>
      </c>
      <c r="AG185" s="89" t="e">
        <f>'DIY Grundmodell'!S272</f>
        <v>#N/A</v>
      </c>
      <c r="AH185" s="54" t="e">
        <f>'DIY Grundmodell'!T272</f>
        <v>#N/A</v>
      </c>
      <c r="AI185" s="89">
        <f>'DIY Grundmodell'!U272</f>
        <v>314.69</v>
      </c>
      <c r="AJ185" s="89">
        <f>'DIY Grundmodell'!V272</f>
        <v>0</v>
      </c>
      <c r="AK185" s="989"/>
      <c r="AL185" s="33">
        <f>'DIY Grundmodell'!X272</f>
        <v>4327.7830299999996</v>
      </c>
    </row>
    <row r="186" spans="32:38" ht="14.1" customHeight="1" x14ac:dyDescent="0.45">
      <c r="AF186" s="988">
        <f>'DIY Grundmodell'!R273</f>
        <v>45215</v>
      </c>
      <c r="AG186" s="89">
        <f>'DIY Grundmodell'!S273</f>
        <v>321.14999999999998</v>
      </c>
      <c r="AH186" s="54">
        <f>'DIY Grundmodell'!T273</f>
        <v>5310.5730100000001</v>
      </c>
      <c r="AI186" s="89">
        <f>'DIY Grundmodell'!U273</f>
        <v>321.14999999999998</v>
      </c>
      <c r="AJ186" s="89">
        <f>'DIY Grundmodell'!V273</f>
        <v>5310.5730100000001</v>
      </c>
      <c r="AK186" s="989"/>
      <c r="AL186" s="33">
        <f>'DIY Grundmodell'!X273</f>
        <v>4373.6348099999996</v>
      </c>
    </row>
    <row r="187" spans="32:38" ht="14.1" customHeight="1" x14ac:dyDescent="0.45">
      <c r="AF187" s="988">
        <f>'DIY Grundmodell'!R274</f>
        <v>45216</v>
      </c>
      <c r="AG187" s="89">
        <f>'DIY Grundmodell'!S274</f>
        <v>324</v>
      </c>
      <c r="AH187" s="54">
        <f>'DIY Grundmodell'!T274</f>
        <v>5309.6468800000002</v>
      </c>
      <c r="AI187" s="89">
        <f>'DIY Grundmodell'!U274</f>
        <v>324</v>
      </c>
      <c r="AJ187" s="89">
        <f>'DIY Grundmodell'!V274</f>
        <v>5309.6468800000002</v>
      </c>
      <c r="AK187" s="989"/>
      <c r="AL187" s="33">
        <f>'DIY Grundmodell'!X274</f>
        <v>4373.1959900000002</v>
      </c>
    </row>
    <row r="188" spans="32:38" ht="14.1" customHeight="1" x14ac:dyDescent="0.45">
      <c r="AF188" s="988">
        <f>'DIY Grundmodell'!R275</f>
        <v>45217</v>
      </c>
      <c r="AG188" s="89">
        <f>'DIY Grundmodell'!S275</f>
        <v>316.97000000000003</v>
      </c>
      <c r="AH188" s="54">
        <f>'DIY Grundmodell'!T275</f>
        <v>5341.26242</v>
      </c>
      <c r="AI188" s="89">
        <f>'DIY Grundmodell'!U275</f>
        <v>316.97000000000003</v>
      </c>
      <c r="AJ188" s="89">
        <f>'DIY Grundmodell'!V275</f>
        <v>5341.26242</v>
      </c>
      <c r="AK188" s="989"/>
      <c r="AL188" s="33">
        <f>'DIY Grundmodell'!X275</f>
        <v>4314.6006500000003</v>
      </c>
    </row>
    <row r="189" spans="32:38" ht="14.1" customHeight="1" x14ac:dyDescent="0.45">
      <c r="AF189" s="988">
        <f>'DIY Grundmodell'!R276</f>
        <v>45218</v>
      </c>
      <c r="AG189" s="89">
        <f>'DIY Grundmodell'!S276</f>
        <v>312.81</v>
      </c>
      <c r="AH189" s="54">
        <f>'DIY Grundmodell'!T276</f>
        <v>5852.4123399999999</v>
      </c>
      <c r="AI189" s="89">
        <f>'DIY Grundmodell'!U276</f>
        <v>312.81</v>
      </c>
      <c r="AJ189" s="89">
        <f>'DIY Grundmodell'!V276</f>
        <v>5852.4123399999999</v>
      </c>
      <c r="AK189" s="989"/>
      <c r="AL189" s="33">
        <f>'DIY Grundmodell'!X276</f>
        <v>4277.9974300000003</v>
      </c>
    </row>
    <row r="190" spans="32:38" ht="14.1" customHeight="1" x14ac:dyDescent="0.45">
      <c r="AF190" s="988">
        <f>'DIY Grundmodell'!R277</f>
        <v>45219</v>
      </c>
      <c r="AG190" s="89">
        <f>'DIY Grundmodell'!S277</f>
        <v>308.64999999999998</v>
      </c>
      <c r="AH190" s="54">
        <f>'DIY Grundmodell'!T277</f>
        <v>6886.6836800000001</v>
      </c>
      <c r="AI190" s="89">
        <f>'DIY Grundmodell'!U277</f>
        <v>308.64999999999998</v>
      </c>
      <c r="AJ190" s="89">
        <f>'DIY Grundmodell'!V277</f>
        <v>6886.6836800000001</v>
      </c>
      <c r="AK190" s="989"/>
      <c r="AL190" s="33">
        <f>'DIY Grundmodell'!X277</f>
        <v>4224.1594800000003</v>
      </c>
    </row>
    <row r="191" spans="32:38" ht="14.1" customHeight="1" x14ac:dyDescent="0.45">
      <c r="AF191" s="988">
        <f>'DIY Grundmodell'!R278</f>
        <v>45220</v>
      </c>
      <c r="AG191" s="89" t="e">
        <f>'DIY Grundmodell'!S278</f>
        <v>#N/A</v>
      </c>
      <c r="AH191" s="54" t="e">
        <f>'DIY Grundmodell'!T278</f>
        <v>#N/A</v>
      </c>
      <c r="AI191" s="89">
        <f>'DIY Grundmodell'!U278</f>
        <v>308.64999999999998</v>
      </c>
      <c r="AJ191" s="89">
        <f>'DIY Grundmodell'!V278</f>
        <v>0</v>
      </c>
      <c r="AK191" s="989"/>
      <c r="AL191" s="33">
        <f>'DIY Grundmodell'!X278</f>
        <v>4224.1594800000003</v>
      </c>
    </row>
    <row r="192" spans="32:38" ht="14.1" customHeight="1" x14ac:dyDescent="0.45">
      <c r="AF192" s="988">
        <f>'DIY Grundmodell'!R279</f>
        <v>45221</v>
      </c>
      <c r="AG192" s="89" t="e">
        <f>'DIY Grundmodell'!S279</f>
        <v>#N/A</v>
      </c>
      <c r="AH192" s="54" t="e">
        <f>'DIY Grundmodell'!T279</f>
        <v>#N/A</v>
      </c>
      <c r="AI192" s="89">
        <f>'DIY Grundmodell'!U279</f>
        <v>308.64999999999998</v>
      </c>
      <c r="AJ192" s="89">
        <f>'DIY Grundmodell'!V279</f>
        <v>0</v>
      </c>
      <c r="AK192" s="989"/>
      <c r="AL192" s="33">
        <f>'DIY Grundmodell'!X279</f>
        <v>4224.1594800000003</v>
      </c>
    </row>
    <row r="193" spans="32:38" ht="14.1" customHeight="1" x14ac:dyDescent="0.45">
      <c r="AF193" s="988">
        <f>'DIY Grundmodell'!R280</f>
        <v>45222</v>
      </c>
      <c r="AG193" s="89">
        <f>'DIY Grundmodell'!S280</f>
        <v>314.01</v>
      </c>
      <c r="AH193" s="54">
        <f>'DIY Grundmodell'!T280</f>
        <v>5588.3684599999997</v>
      </c>
      <c r="AI193" s="89">
        <f>'DIY Grundmodell'!U280</f>
        <v>314.01</v>
      </c>
      <c r="AJ193" s="89">
        <f>'DIY Grundmodell'!V280</f>
        <v>5588.3684599999997</v>
      </c>
      <c r="AK193" s="989"/>
      <c r="AL193" s="33">
        <f>'DIY Grundmodell'!X280</f>
        <v>4217.0433899999998</v>
      </c>
    </row>
    <row r="194" spans="32:38" ht="14.1" customHeight="1" x14ac:dyDescent="0.45">
      <c r="AF194" s="988">
        <f>'DIY Grundmodell'!R281</f>
        <v>45223</v>
      </c>
      <c r="AG194" s="89">
        <f>'DIY Grundmodell'!S281</f>
        <v>312.55</v>
      </c>
      <c r="AH194" s="54">
        <f>'DIY Grundmodell'!T281</f>
        <v>6102.6912700000003</v>
      </c>
      <c r="AI194" s="89">
        <f>'DIY Grundmodell'!U281</f>
        <v>312.55</v>
      </c>
      <c r="AJ194" s="89">
        <f>'DIY Grundmodell'!V281</f>
        <v>6102.6912700000003</v>
      </c>
      <c r="AK194" s="989"/>
      <c r="AL194" s="33">
        <f>'DIY Grundmodell'!X281</f>
        <v>4247.6768400000001</v>
      </c>
    </row>
    <row r="195" spans="32:38" ht="14.1" customHeight="1" x14ac:dyDescent="0.45">
      <c r="AF195" s="988">
        <f>'DIY Grundmodell'!R282</f>
        <v>45224</v>
      </c>
      <c r="AG195" s="89">
        <f>'DIY Grundmodell'!S282</f>
        <v>299.52999999999997</v>
      </c>
      <c r="AH195" s="54">
        <f>'DIY Grundmodell'!T282</f>
        <v>12637.91174</v>
      </c>
      <c r="AI195" s="89">
        <f>'DIY Grundmodell'!U282</f>
        <v>299.52999999999997</v>
      </c>
      <c r="AJ195" s="89">
        <f>'DIY Grundmodell'!V282</f>
        <v>12637.91174</v>
      </c>
      <c r="AK195" s="989"/>
      <c r="AL195" s="33">
        <f>'DIY Grundmodell'!X282</f>
        <v>4186.7652500000004</v>
      </c>
    </row>
    <row r="196" spans="32:38" ht="14.1" customHeight="1" x14ac:dyDescent="0.45">
      <c r="AF196" s="988">
        <f>'DIY Grundmodell'!R283</f>
        <v>45225</v>
      </c>
      <c r="AG196" s="89">
        <f>'DIY Grundmodell'!S283</f>
        <v>288.35000000000002</v>
      </c>
      <c r="AH196" s="54">
        <f>'DIY Grundmodell'!T283</f>
        <v>19228.372060000002</v>
      </c>
      <c r="AI196" s="89">
        <f>'DIY Grundmodell'!U283</f>
        <v>288.35000000000002</v>
      </c>
      <c r="AJ196" s="89">
        <f>'DIY Grundmodell'!V283</f>
        <v>19228.372060000002</v>
      </c>
      <c r="AK196" s="989"/>
      <c r="AL196" s="33">
        <f>'DIY Grundmodell'!X283</f>
        <v>4137.2308400000002</v>
      </c>
    </row>
    <row r="197" spans="32:38" ht="14.1" customHeight="1" x14ac:dyDescent="0.45">
      <c r="AF197" s="988">
        <f>'DIY Grundmodell'!R284</f>
        <v>45226</v>
      </c>
      <c r="AG197" s="89">
        <f>'DIY Grundmodell'!S284</f>
        <v>296.73</v>
      </c>
      <c r="AH197" s="54">
        <f>'DIY Grundmodell'!T284</f>
        <v>8782.0970400000006</v>
      </c>
      <c r="AI197" s="89">
        <f>'DIY Grundmodell'!U284</f>
        <v>296.73</v>
      </c>
      <c r="AJ197" s="89">
        <f>'DIY Grundmodell'!V284</f>
        <v>8782.0970400000006</v>
      </c>
      <c r="AK197" s="989"/>
      <c r="AL197" s="33">
        <f>'DIY Grundmodell'!X284</f>
        <v>4117.3738300000005</v>
      </c>
    </row>
    <row r="198" spans="32:38" ht="14.1" customHeight="1" x14ac:dyDescent="0.45">
      <c r="AF198" s="988">
        <f>'DIY Grundmodell'!R285</f>
        <v>45227</v>
      </c>
      <c r="AG198" s="89" t="e">
        <f>'DIY Grundmodell'!S285</f>
        <v>#N/A</v>
      </c>
      <c r="AH198" s="54" t="e">
        <f>'DIY Grundmodell'!T285</f>
        <v>#N/A</v>
      </c>
      <c r="AI198" s="89">
        <f>'DIY Grundmodell'!U285</f>
        <v>296.73</v>
      </c>
      <c r="AJ198" s="89">
        <f>'DIY Grundmodell'!V285</f>
        <v>0</v>
      </c>
      <c r="AK198" s="989"/>
      <c r="AL198" s="33">
        <f>'DIY Grundmodell'!X285</f>
        <v>4117.3738300000005</v>
      </c>
    </row>
    <row r="199" spans="32:38" ht="14.1" customHeight="1" x14ac:dyDescent="0.45">
      <c r="AF199" s="988">
        <f>'DIY Grundmodell'!R286</f>
        <v>45228</v>
      </c>
      <c r="AG199" s="89" t="e">
        <f>'DIY Grundmodell'!S286</f>
        <v>#N/A</v>
      </c>
      <c r="AH199" s="54" t="e">
        <f>'DIY Grundmodell'!T286</f>
        <v>#N/A</v>
      </c>
      <c r="AI199" s="89">
        <f>'DIY Grundmodell'!U286</f>
        <v>296.73</v>
      </c>
      <c r="AJ199" s="89">
        <f>'DIY Grundmodell'!V286</f>
        <v>0</v>
      </c>
      <c r="AK199" s="989"/>
      <c r="AL199" s="33">
        <f>'DIY Grundmodell'!X286</f>
        <v>4117.3738300000005</v>
      </c>
    </row>
    <row r="200" spans="32:38" ht="14.1" customHeight="1" x14ac:dyDescent="0.45">
      <c r="AF200" s="988">
        <f>'DIY Grundmodell'!R287</f>
        <v>45229</v>
      </c>
      <c r="AG200" s="89">
        <f>'DIY Grundmodell'!S287</f>
        <v>302.66000000000003</v>
      </c>
      <c r="AH200" s="54">
        <f>'DIY Grundmodell'!T287</f>
        <v>8606.1531400000003</v>
      </c>
      <c r="AI200" s="89">
        <f>'DIY Grundmodell'!U287</f>
        <v>302.66000000000003</v>
      </c>
      <c r="AJ200" s="89">
        <f>'DIY Grundmodell'!V287</f>
        <v>8606.1531400000003</v>
      </c>
      <c r="AK200" s="989"/>
      <c r="AL200" s="33">
        <f>'DIY Grundmodell'!X287</f>
        <v>4166.8151399999997</v>
      </c>
    </row>
    <row r="201" spans="32:38" ht="14.1" customHeight="1" x14ac:dyDescent="0.45">
      <c r="AF201" s="988">
        <f>'DIY Grundmodell'!R288</f>
        <v>45230</v>
      </c>
      <c r="AG201" s="89">
        <f>'DIY Grundmodell'!S288</f>
        <v>301.27</v>
      </c>
      <c r="AH201" s="54">
        <f>'DIY Grundmodell'!T288</f>
        <v>5854.9317899999996</v>
      </c>
      <c r="AI201" s="89">
        <f>'DIY Grundmodell'!U288</f>
        <v>301.27</v>
      </c>
      <c r="AJ201" s="89">
        <f>'DIY Grundmodell'!V288</f>
        <v>5854.9317899999996</v>
      </c>
      <c r="AK201" s="989"/>
      <c r="AL201" s="33">
        <f>'DIY Grundmodell'!X288</f>
        <v>4193.8009599999996</v>
      </c>
    </row>
    <row r="202" spans="32:38" ht="14.1" customHeight="1" x14ac:dyDescent="0.45">
      <c r="AF202" s="988">
        <f>'DIY Grundmodell'!R289</f>
        <v>45231</v>
      </c>
      <c r="AG202" s="89">
        <f>'DIY Grundmodell'!S289</f>
        <v>311.85000000000002</v>
      </c>
      <c r="AH202" s="54">
        <f>'DIY Grundmodell'!T289</f>
        <v>6372.5237699999998</v>
      </c>
      <c r="AI202" s="89">
        <f>'DIY Grundmodell'!U289</f>
        <v>311.85000000000002</v>
      </c>
      <c r="AJ202" s="89">
        <f>'DIY Grundmodell'!V289</f>
        <v>6372.5237699999998</v>
      </c>
      <c r="AK202" s="989"/>
      <c r="AL202" s="33">
        <f>'DIY Grundmodell'!X289</f>
        <v>4237.8556500000004</v>
      </c>
    </row>
    <row r="203" spans="32:38" ht="14.1" customHeight="1" x14ac:dyDescent="0.45">
      <c r="AF203" s="988">
        <f>'DIY Grundmodell'!R290</f>
        <v>45232</v>
      </c>
      <c r="AG203" s="89">
        <f>'DIY Grundmodell'!S290</f>
        <v>310.87</v>
      </c>
      <c r="AH203" s="54">
        <f>'DIY Grundmodell'!T290</f>
        <v>6724.6838799999996</v>
      </c>
      <c r="AI203" s="89">
        <f>'DIY Grundmodell'!U290</f>
        <v>310.87</v>
      </c>
      <c r="AJ203" s="89">
        <f>'DIY Grundmodell'!V290</f>
        <v>6724.6838799999996</v>
      </c>
      <c r="AK203" s="989"/>
      <c r="AL203" s="33">
        <f>'DIY Grundmodell'!X290</f>
        <v>4317.7754800000002</v>
      </c>
    </row>
    <row r="204" spans="32:38" ht="14.1" customHeight="1" x14ac:dyDescent="0.45">
      <c r="AF204" s="988">
        <f>'DIY Grundmodell'!R291</f>
        <v>45233</v>
      </c>
      <c r="AG204" s="89">
        <f>'DIY Grundmodell'!S291</f>
        <v>314.60000000000002</v>
      </c>
      <c r="AH204" s="54">
        <f>'DIY Grundmodell'!T291</f>
        <v>5274.0535</v>
      </c>
      <c r="AI204" s="89">
        <f>'DIY Grundmodell'!U291</f>
        <v>314.60000000000002</v>
      </c>
      <c r="AJ204" s="89">
        <f>'DIY Grundmodell'!V291</f>
        <v>5274.0535</v>
      </c>
      <c r="AK204" s="989"/>
      <c r="AL204" s="33">
        <f>'DIY Grundmodell'!X291</f>
        <v>4358.33518</v>
      </c>
    </row>
    <row r="205" spans="32:38" ht="14.1" customHeight="1" x14ac:dyDescent="0.45">
      <c r="AF205" s="988">
        <f>'DIY Grundmodell'!R292</f>
        <v>45234</v>
      </c>
      <c r="AG205" s="89" t="e">
        <f>'DIY Grundmodell'!S292</f>
        <v>#N/A</v>
      </c>
      <c r="AH205" s="54" t="e">
        <f>'DIY Grundmodell'!T292</f>
        <v>#N/A</v>
      </c>
      <c r="AI205" s="89">
        <f>'DIY Grundmodell'!U292</f>
        <v>314.60000000000002</v>
      </c>
      <c r="AJ205" s="89">
        <f>'DIY Grundmodell'!V292</f>
        <v>0</v>
      </c>
      <c r="AK205" s="989"/>
      <c r="AL205" s="33">
        <f>'DIY Grundmodell'!X292</f>
        <v>4358.33518</v>
      </c>
    </row>
    <row r="206" spans="32:38" ht="14.1" customHeight="1" x14ac:dyDescent="0.45">
      <c r="AF206" s="988">
        <f>'DIY Grundmodell'!R293</f>
        <v>45235</v>
      </c>
      <c r="AG206" s="89" t="e">
        <f>'DIY Grundmodell'!S293</f>
        <v>#N/A</v>
      </c>
      <c r="AH206" s="54" t="e">
        <f>'DIY Grundmodell'!T293</f>
        <v>#N/A</v>
      </c>
      <c r="AI206" s="89">
        <f>'DIY Grundmodell'!U293</f>
        <v>314.60000000000002</v>
      </c>
      <c r="AJ206" s="89">
        <f>'DIY Grundmodell'!V293</f>
        <v>0</v>
      </c>
      <c r="AK206" s="989"/>
      <c r="AL206" s="33">
        <f>'DIY Grundmodell'!X293</f>
        <v>4358.33518</v>
      </c>
    </row>
    <row r="207" spans="32:38" ht="14.1" customHeight="1" x14ac:dyDescent="0.45">
      <c r="AF207" s="988">
        <f>'DIY Grundmodell'!R294</f>
        <v>45236</v>
      </c>
      <c r="AG207" s="89">
        <f>'DIY Grundmodell'!S294</f>
        <v>315.8</v>
      </c>
      <c r="AH207" s="54">
        <f>'DIY Grundmodell'!T294</f>
        <v>4069.93534</v>
      </c>
      <c r="AI207" s="89">
        <f>'DIY Grundmodell'!U294</f>
        <v>315.8</v>
      </c>
      <c r="AJ207" s="89">
        <f>'DIY Grundmodell'!V294</f>
        <v>4069.93534</v>
      </c>
      <c r="AK207" s="989"/>
      <c r="AL207" s="33">
        <f>'DIY Grundmodell'!X294</f>
        <v>4365.9780199999996</v>
      </c>
    </row>
    <row r="208" spans="32:38" ht="14.1" customHeight="1" x14ac:dyDescent="0.45">
      <c r="AF208" s="988">
        <f>'DIY Grundmodell'!R295</f>
        <v>45237</v>
      </c>
      <c r="AG208" s="89">
        <f>'DIY Grundmodell'!S295</f>
        <v>318.82</v>
      </c>
      <c r="AH208" s="54">
        <f>'DIY Grundmodell'!T295</f>
        <v>4481.2108600000001</v>
      </c>
      <c r="AI208" s="89">
        <f>'DIY Grundmodell'!U295</f>
        <v>318.82</v>
      </c>
      <c r="AJ208" s="89">
        <f>'DIY Grundmodell'!V295</f>
        <v>4481.2108600000001</v>
      </c>
      <c r="AK208" s="989"/>
      <c r="AL208" s="33">
        <f>'DIY Grundmodell'!X295</f>
        <v>4378.37914</v>
      </c>
    </row>
    <row r="209" spans="32:38" ht="14.1" customHeight="1" x14ac:dyDescent="0.45">
      <c r="AF209" s="988">
        <f>'DIY Grundmodell'!R296</f>
        <v>45238</v>
      </c>
      <c r="AG209" s="89">
        <f>'DIY Grundmodell'!S296</f>
        <v>319.77999999999997</v>
      </c>
      <c r="AH209" s="54">
        <f>'DIY Grundmodell'!T296</f>
        <v>4352.1111499999997</v>
      </c>
      <c r="AI209" s="89">
        <f>'DIY Grundmodell'!U296</f>
        <v>319.77999999999997</v>
      </c>
      <c r="AJ209" s="89">
        <f>'DIY Grundmodell'!V296</f>
        <v>4352.1111499999997</v>
      </c>
      <c r="AK209" s="989"/>
      <c r="AL209" s="33">
        <f>'DIY Grundmodell'!X296</f>
        <v>4382.7837799999998</v>
      </c>
    </row>
    <row r="210" spans="32:38" ht="14.1" customHeight="1" x14ac:dyDescent="0.45">
      <c r="AF210" s="988">
        <f>'DIY Grundmodell'!R297</f>
        <v>45239</v>
      </c>
      <c r="AG210" s="89">
        <f>'DIY Grundmodell'!S297</f>
        <v>320.55</v>
      </c>
      <c r="AH210" s="54">
        <f>'DIY Grundmodell'!T297</f>
        <v>5161.8394099999996</v>
      </c>
      <c r="AI210" s="89">
        <f>'DIY Grundmodell'!U297</f>
        <v>320.55</v>
      </c>
      <c r="AJ210" s="89">
        <f>'DIY Grundmodell'!V297</f>
        <v>5161.8394099999996</v>
      </c>
      <c r="AK210" s="989"/>
      <c r="AL210" s="33">
        <f>'DIY Grundmodell'!X297</f>
        <v>4347.3493200000003</v>
      </c>
    </row>
    <row r="211" spans="32:38" ht="14.1" customHeight="1" x14ac:dyDescent="0.45">
      <c r="AF211" s="988">
        <f>'DIY Grundmodell'!R298</f>
        <v>45240</v>
      </c>
      <c r="AG211" s="89">
        <f>'DIY Grundmodell'!S298</f>
        <v>328.77</v>
      </c>
      <c r="AH211" s="54">
        <f>'DIY Grundmodell'!T298</f>
        <v>6285.0701200000003</v>
      </c>
      <c r="AI211" s="89">
        <f>'DIY Grundmodell'!U298</f>
        <v>328.77</v>
      </c>
      <c r="AJ211" s="89">
        <f>'DIY Grundmodell'!V298</f>
        <v>6285.0701200000003</v>
      </c>
      <c r="AK211" s="989"/>
      <c r="AL211" s="33">
        <f>'DIY Grundmodell'!X298</f>
        <v>4415.2446900000004</v>
      </c>
    </row>
    <row r="212" spans="32:38" ht="14.1" customHeight="1" x14ac:dyDescent="0.45">
      <c r="AF212" s="988">
        <f>'DIY Grundmodell'!R299</f>
        <v>45241</v>
      </c>
      <c r="AG212" s="89" t="e">
        <f>'DIY Grundmodell'!S299</f>
        <v>#N/A</v>
      </c>
      <c r="AH212" s="54" t="e">
        <f>'DIY Grundmodell'!T299</f>
        <v>#N/A</v>
      </c>
      <c r="AI212" s="89">
        <f>'DIY Grundmodell'!U299</f>
        <v>328.77</v>
      </c>
      <c r="AJ212" s="89">
        <f>'DIY Grundmodell'!V299</f>
        <v>0</v>
      </c>
      <c r="AK212" s="989"/>
      <c r="AL212" s="33">
        <f>'DIY Grundmodell'!X299</f>
        <v>4415.2446900000004</v>
      </c>
    </row>
    <row r="213" spans="32:38" ht="14.1" customHeight="1" x14ac:dyDescent="0.45">
      <c r="AF213" s="988">
        <f>'DIY Grundmodell'!R300</f>
        <v>45242</v>
      </c>
      <c r="AG213" s="89" t="e">
        <f>'DIY Grundmodell'!S300</f>
        <v>#N/A</v>
      </c>
      <c r="AH213" s="54" t="e">
        <f>'DIY Grundmodell'!T300</f>
        <v>#N/A</v>
      </c>
      <c r="AI213" s="89">
        <f>'DIY Grundmodell'!U300</f>
        <v>328.77</v>
      </c>
      <c r="AJ213" s="89">
        <f>'DIY Grundmodell'!V300</f>
        <v>0</v>
      </c>
      <c r="AK213" s="989"/>
      <c r="AL213" s="33">
        <f>'DIY Grundmodell'!X300</f>
        <v>4415.2446900000004</v>
      </c>
    </row>
    <row r="214" spans="32:38" ht="14.1" customHeight="1" x14ac:dyDescent="0.45">
      <c r="AF214" s="988">
        <f>'DIY Grundmodell'!R301</f>
        <v>45243</v>
      </c>
      <c r="AG214" s="89">
        <f>'DIY Grundmodell'!S301</f>
        <v>329.19</v>
      </c>
      <c r="AH214" s="54">
        <f>'DIY Grundmodell'!T301</f>
        <v>5566.25659</v>
      </c>
      <c r="AI214" s="89">
        <f>'DIY Grundmodell'!U301</f>
        <v>329.19</v>
      </c>
      <c r="AJ214" s="89">
        <f>'DIY Grundmodell'!V301</f>
        <v>5566.25659</v>
      </c>
      <c r="AK214" s="989"/>
      <c r="AL214" s="33">
        <f>'DIY Grundmodell'!X301</f>
        <v>4411.5548900000003</v>
      </c>
    </row>
    <row r="215" spans="32:38" ht="14.1" customHeight="1" x14ac:dyDescent="0.45">
      <c r="AF215" s="988">
        <f>'DIY Grundmodell'!R302</f>
        <v>45244</v>
      </c>
      <c r="AG215" s="89">
        <f>'DIY Grundmodell'!S302</f>
        <v>336.31</v>
      </c>
      <c r="AH215" s="54">
        <f>'DIY Grundmodell'!T302</f>
        <v>5777.60502</v>
      </c>
      <c r="AI215" s="89">
        <f>'DIY Grundmodell'!U302</f>
        <v>336.31</v>
      </c>
      <c r="AJ215" s="89">
        <f>'DIY Grundmodell'!V302</f>
        <v>5777.60502</v>
      </c>
      <c r="AK215" s="989"/>
      <c r="AL215" s="33">
        <f>'DIY Grundmodell'!X302</f>
        <v>4495.7015899999997</v>
      </c>
    </row>
    <row r="216" spans="32:38" ht="14.1" customHeight="1" x14ac:dyDescent="0.45">
      <c r="AF216" s="988">
        <f>'DIY Grundmodell'!R303</f>
        <v>45245</v>
      </c>
      <c r="AG216" s="89">
        <f>'DIY Grundmodell'!S303</f>
        <v>332.71</v>
      </c>
      <c r="AH216" s="54">
        <f>'DIY Grundmodell'!T303</f>
        <v>4834.6688999999997</v>
      </c>
      <c r="AI216" s="89">
        <f>'DIY Grundmodell'!U303</f>
        <v>332.71</v>
      </c>
      <c r="AJ216" s="89">
        <f>'DIY Grundmodell'!V303</f>
        <v>4834.6688999999997</v>
      </c>
      <c r="AK216" s="989"/>
      <c r="AL216" s="33">
        <f>'DIY Grundmodell'!X303</f>
        <v>4502.8788299999997</v>
      </c>
    </row>
    <row r="217" spans="32:38" ht="14.1" customHeight="1" x14ac:dyDescent="0.45">
      <c r="AF217" s="988">
        <f>'DIY Grundmodell'!R304</f>
        <v>45246</v>
      </c>
      <c r="AG217" s="89">
        <f>'DIY Grundmodell'!S304</f>
        <v>334.19</v>
      </c>
      <c r="AH217" s="54">
        <f>'DIY Grundmodell'!T304</f>
        <v>6327.0762400000003</v>
      </c>
      <c r="AI217" s="89">
        <f>'DIY Grundmodell'!U304</f>
        <v>334.19</v>
      </c>
      <c r="AJ217" s="89">
        <f>'DIY Grundmodell'!V304</f>
        <v>6327.0762400000003</v>
      </c>
      <c r="AK217" s="989"/>
      <c r="AL217" s="33">
        <f>'DIY Grundmodell'!X304</f>
        <v>4508.2434999999996</v>
      </c>
    </row>
    <row r="218" spans="32:38" ht="14.1" customHeight="1" x14ac:dyDescent="0.45">
      <c r="AF218" s="988">
        <f>'DIY Grundmodell'!R305</f>
        <v>45247</v>
      </c>
      <c r="AG218" s="89">
        <f>'DIY Grundmodell'!S305</f>
        <v>335.04</v>
      </c>
      <c r="AH218" s="54">
        <f>'DIY Grundmodell'!T305</f>
        <v>4864.5171200000004</v>
      </c>
      <c r="AI218" s="89">
        <f>'DIY Grundmodell'!U305</f>
        <v>335.04</v>
      </c>
      <c r="AJ218" s="89">
        <f>'DIY Grundmodell'!V305</f>
        <v>4864.5171200000004</v>
      </c>
      <c r="AK218" s="989"/>
      <c r="AL218" s="33">
        <f>'DIY Grundmodell'!X305</f>
        <v>4514.0178599999999</v>
      </c>
    </row>
    <row r="219" spans="32:38" ht="14.1" customHeight="1" x14ac:dyDescent="0.45">
      <c r="AF219" s="988">
        <f>'DIY Grundmodell'!R306</f>
        <v>45248</v>
      </c>
      <c r="AG219" s="89" t="e">
        <f>'DIY Grundmodell'!S306</f>
        <v>#N/A</v>
      </c>
      <c r="AH219" s="54" t="e">
        <f>'DIY Grundmodell'!T306</f>
        <v>#N/A</v>
      </c>
      <c r="AI219" s="89">
        <f>'DIY Grundmodell'!U306</f>
        <v>335.04</v>
      </c>
      <c r="AJ219" s="89">
        <f>'DIY Grundmodell'!V306</f>
        <v>0</v>
      </c>
      <c r="AK219" s="989"/>
      <c r="AL219" s="33">
        <f>'DIY Grundmodell'!X306</f>
        <v>4514.0178599999999</v>
      </c>
    </row>
    <row r="220" spans="32:38" ht="14.1" customHeight="1" x14ac:dyDescent="0.45">
      <c r="AF220" s="988">
        <f>'DIY Grundmodell'!R307</f>
        <v>45249</v>
      </c>
      <c r="AG220" s="89" t="e">
        <f>'DIY Grundmodell'!S307</f>
        <v>#N/A</v>
      </c>
      <c r="AH220" s="54" t="e">
        <f>'DIY Grundmodell'!T307</f>
        <v>#N/A</v>
      </c>
      <c r="AI220" s="89">
        <f>'DIY Grundmodell'!U307</f>
        <v>335.04</v>
      </c>
      <c r="AJ220" s="89">
        <f>'DIY Grundmodell'!V307</f>
        <v>0</v>
      </c>
      <c r="AK220" s="989"/>
      <c r="AL220" s="33">
        <f>'DIY Grundmodell'!X307</f>
        <v>4514.0178599999999</v>
      </c>
    </row>
    <row r="221" spans="32:38" ht="14.1" customHeight="1" x14ac:dyDescent="0.45">
      <c r="AF221" s="988">
        <f>'DIY Grundmodell'!R308</f>
        <v>45250</v>
      </c>
      <c r="AG221" s="89">
        <f>'DIY Grundmodell'!S308</f>
        <v>339.97</v>
      </c>
      <c r="AH221" s="54">
        <f>'DIY Grundmodell'!T308</f>
        <v>5771.3745799999997</v>
      </c>
      <c r="AI221" s="89">
        <f>'DIY Grundmodell'!U308</f>
        <v>339.97</v>
      </c>
      <c r="AJ221" s="89">
        <f>'DIY Grundmodell'!V308</f>
        <v>5771.3745799999997</v>
      </c>
      <c r="AK221" s="989"/>
      <c r="AL221" s="33">
        <f>'DIY Grundmodell'!X308</f>
        <v>4547.3774899999999</v>
      </c>
    </row>
    <row r="222" spans="32:38" ht="14.1" customHeight="1" x14ac:dyDescent="0.45">
      <c r="AF222" s="988">
        <f>'DIY Grundmodell'!R309</f>
        <v>45251</v>
      </c>
      <c r="AG222" s="89">
        <f>'DIY Grundmodell'!S309</f>
        <v>336.98</v>
      </c>
      <c r="AH222" s="54">
        <f>'DIY Grundmodell'!T309</f>
        <v>4053.1492699999999</v>
      </c>
      <c r="AI222" s="89">
        <f>'DIY Grundmodell'!U309</f>
        <v>336.98</v>
      </c>
      <c r="AJ222" s="89">
        <f>'DIY Grundmodell'!V309</f>
        <v>4053.1492699999999</v>
      </c>
      <c r="AK222" s="989"/>
      <c r="AL222" s="33">
        <f>'DIY Grundmodell'!X309</f>
        <v>4538.1916600000004</v>
      </c>
    </row>
    <row r="223" spans="32:38" ht="14.1" customHeight="1" x14ac:dyDescent="0.45">
      <c r="AF223" s="988">
        <f>'DIY Grundmodell'!R310</f>
        <v>45252</v>
      </c>
      <c r="AG223" s="89">
        <f>'DIY Grundmodell'!S310</f>
        <v>341.49</v>
      </c>
      <c r="AH223" s="54">
        <f>'DIY Grundmodell'!T310</f>
        <v>3659.1257900000001</v>
      </c>
      <c r="AI223" s="89">
        <f>'DIY Grundmodell'!U310</f>
        <v>341.49</v>
      </c>
      <c r="AJ223" s="89">
        <f>'DIY Grundmodell'!V310</f>
        <v>3659.1257900000001</v>
      </c>
      <c r="AK223" s="989"/>
      <c r="AL223" s="33">
        <f>'DIY Grundmodell'!X310</f>
        <v>4556.6192199999996</v>
      </c>
    </row>
    <row r="224" spans="32:38" ht="14.1" customHeight="1" x14ac:dyDescent="0.45">
      <c r="AF224" s="988">
        <f>'DIY Grundmodell'!R311</f>
        <v>45253</v>
      </c>
      <c r="AG224" s="89" t="e">
        <f>'DIY Grundmodell'!S311</f>
        <v>#N/A</v>
      </c>
      <c r="AH224" s="54" t="e">
        <f>'DIY Grundmodell'!T311</f>
        <v>#N/A</v>
      </c>
      <c r="AI224" s="89">
        <f>'DIY Grundmodell'!U311</f>
        <v>341.49</v>
      </c>
      <c r="AJ224" s="89">
        <f>'DIY Grundmodell'!V311</f>
        <v>0</v>
      </c>
      <c r="AK224" s="989"/>
      <c r="AL224" s="33">
        <f>'DIY Grundmodell'!X311</f>
        <v>4556.6192199999996</v>
      </c>
    </row>
    <row r="225" spans="32:38" ht="14.1" customHeight="1" x14ac:dyDescent="0.45">
      <c r="AF225" s="988">
        <f>'DIY Grundmodell'!R312</f>
        <v>45254</v>
      </c>
      <c r="AG225" s="89">
        <f>'DIY Grundmodell'!S312</f>
        <v>338.23</v>
      </c>
      <c r="AH225" s="54">
        <f>'DIY Grundmodell'!T312</f>
        <v>1849.26847</v>
      </c>
      <c r="AI225" s="89">
        <f>'DIY Grundmodell'!U312</f>
        <v>338.23</v>
      </c>
      <c r="AJ225" s="89">
        <f>'DIY Grundmodell'!V312</f>
        <v>1849.26847</v>
      </c>
      <c r="AK225" s="989"/>
      <c r="AL225" s="33">
        <f>'DIY Grundmodell'!X312</f>
        <v>4559.3352100000002</v>
      </c>
    </row>
    <row r="226" spans="32:38" ht="14.1" customHeight="1" x14ac:dyDescent="0.45">
      <c r="AF226" s="988">
        <f>'DIY Grundmodell'!R313</f>
        <v>45255</v>
      </c>
      <c r="AG226" s="89" t="e">
        <f>'DIY Grundmodell'!S313</f>
        <v>#N/A</v>
      </c>
      <c r="AH226" s="54" t="e">
        <f>'DIY Grundmodell'!T313</f>
        <v>#N/A</v>
      </c>
      <c r="AI226" s="89">
        <f>'DIY Grundmodell'!U313</f>
        <v>338.23</v>
      </c>
      <c r="AJ226" s="89">
        <f>'DIY Grundmodell'!V313</f>
        <v>0</v>
      </c>
      <c r="AK226" s="989"/>
      <c r="AL226" s="33">
        <f>'DIY Grundmodell'!X313</f>
        <v>4559.3352100000002</v>
      </c>
    </row>
    <row r="227" spans="32:38" ht="14.1" customHeight="1" x14ac:dyDescent="0.45">
      <c r="AF227" s="988">
        <f>'DIY Grundmodell'!R314</f>
        <v>45256</v>
      </c>
      <c r="AG227" s="89" t="e">
        <f>'DIY Grundmodell'!S314</f>
        <v>#N/A</v>
      </c>
      <c r="AH227" s="54" t="e">
        <f>'DIY Grundmodell'!T314</f>
        <v>#N/A</v>
      </c>
      <c r="AI227" s="89">
        <f>'DIY Grundmodell'!U314</f>
        <v>338.23</v>
      </c>
      <c r="AJ227" s="89">
        <f>'DIY Grundmodell'!V314</f>
        <v>0</v>
      </c>
      <c r="AK227" s="989"/>
      <c r="AL227" s="33">
        <f>'DIY Grundmodell'!X314</f>
        <v>4559.3352100000002</v>
      </c>
    </row>
    <row r="228" spans="32:38" ht="14.1" customHeight="1" x14ac:dyDescent="0.45">
      <c r="AF228" s="988">
        <f>'DIY Grundmodell'!R315</f>
        <v>45257</v>
      </c>
      <c r="AG228" s="89">
        <f>'DIY Grundmodell'!S315</f>
        <v>334.7</v>
      </c>
      <c r="AH228" s="54">
        <f>'DIY Grundmodell'!T315</f>
        <v>5249.5867500000004</v>
      </c>
      <c r="AI228" s="89">
        <f>'DIY Grundmodell'!U315</f>
        <v>334.7</v>
      </c>
      <c r="AJ228" s="89">
        <f>'DIY Grundmodell'!V315</f>
        <v>5249.5867500000004</v>
      </c>
      <c r="AK228" s="989"/>
      <c r="AL228" s="33">
        <f>'DIY Grundmodell'!X315</f>
        <v>4550.4280500000004</v>
      </c>
    </row>
    <row r="229" spans="32:38" ht="14.1" customHeight="1" x14ac:dyDescent="0.45">
      <c r="AF229" s="988">
        <f>'DIY Grundmodell'!R316</f>
        <v>45258</v>
      </c>
      <c r="AG229" s="89">
        <f>'DIY Grundmodell'!S316</f>
        <v>338.99</v>
      </c>
      <c r="AH229" s="54">
        <f>'DIY Grundmodell'!T316</f>
        <v>4283.8996800000004</v>
      </c>
      <c r="AI229" s="89">
        <f>'DIY Grundmodell'!U316</f>
        <v>338.99</v>
      </c>
      <c r="AJ229" s="89">
        <f>'DIY Grundmodell'!V316</f>
        <v>4283.8996800000004</v>
      </c>
      <c r="AK229" s="989"/>
      <c r="AL229" s="33">
        <f>'DIY Grundmodell'!X316</f>
        <v>4554.8905599999998</v>
      </c>
    </row>
    <row r="230" spans="32:38" ht="14.1" customHeight="1" x14ac:dyDescent="0.45">
      <c r="AF230" s="988">
        <f>'DIY Grundmodell'!R317</f>
        <v>45259</v>
      </c>
      <c r="AG230" s="89">
        <f>'DIY Grundmodell'!S317</f>
        <v>332.2</v>
      </c>
      <c r="AH230" s="54">
        <f>'DIY Grundmodell'!T317</f>
        <v>5323.3379000000004</v>
      </c>
      <c r="AI230" s="89">
        <f>'DIY Grundmodell'!U317</f>
        <v>332.2</v>
      </c>
      <c r="AJ230" s="89">
        <f>'DIY Grundmodell'!V317</f>
        <v>5323.3379000000004</v>
      </c>
      <c r="AK230" s="989"/>
      <c r="AL230" s="33">
        <f>'DIY Grundmodell'!X317</f>
        <v>4550.5823200000004</v>
      </c>
    </row>
    <row r="231" spans="32:38" ht="14.1" customHeight="1" x14ac:dyDescent="0.45">
      <c r="AF231" s="988">
        <f>'DIY Grundmodell'!R318</f>
        <v>45260</v>
      </c>
      <c r="AG231" s="89">
        <f>'DIY Grundmodell'!S318</f>
        <v>327.14999999999998</v>
      </c>
      <c r="AH231" s="54">
        <f>'DIY Grundmodell'!T318</f>
        <v>7572.34051</v>
      </c>
      <c r="AI231" s="89">
        <f>'DIY Grundmodell'!U318</f>
        <v>327.14999999999998</v>
      </c>
      <c r="AJ231" s="89">
        <f>'DIY Grundmodell'!V318</f>
        <v>7572.34051</v>
      </c>
      <c r="AK231" s="989"/>
      <c r="AL231" s="33">
        <f>'DIY Grundmodell'!X318</f>
        <v>4567.79864</v>
      </c>
    </row>
    <row r="232" spans="32:38" ht="14.1" customHeight="1" x14ac:dyDescent="0.45">
      <c r="AF232" s="988">
        <f>'DIY Grundmodell'!R319</f>
        <v>45261</v>
      </c>
      <c r="AG232" s="89">
        <f>'DIY Grundmodell'!S319</f>
        <v>324.82</v>
      </c>
      <c r="AH232" s="54">
        <f>'DIY Grundmodell'!T319</f>
        <v>4962.0721299999996</v>
      </c>
      <c r="AI232" s="89">
        <f>'DIY Grundmodell'!U319</f>
        <v>324.82</v>
      </c>
      <c r="AJ232" s="89">
        <f>'DIY Grundmodell'!V319</f>
        <v>4962.0721299999996</v>
      </c>
      <c r="AK232" s="989"/>
      <c r="AL232" s="33">
        <f>'DIY Grundmodell'!X319</f>
        <v>4594.6315800000002</v>
      </c>
    </row>
    <row r="233" spans="32:38" ht="14.1" customHeight="1" x14ac:dyDescent="0.45">
      <c r="AF233" s="988">
        <f>'DIY Grundmodell'!R320</f>
        <v>45262</v>
      </c>
      <c r="AG233" s="89" t="e">
        <f>'DIY Grundmodell'!S320</f>
        <v>#N/A</v>
      </c>
      <c r="AH233" s="54" t="e">
        <f>'DIY Grundmodell'!T320</f>
        <v>#N/A</v>
      </c>
      <c r="AI233" s="89">
        <f>'DIY Grundmodell'!U320</f>
        <v>324.82</v>
      </c>
      <c r="AJ233" s="89">
        <f>'DIY Grundmodell'!V320</f>
        <v>0</v>
      </c>
      <c r="AK233" s="989"/>
      <c r="AL233" s="33">
        <f>'DIY Grundmodell'!X320</f>
        <v>4594.6315800000002</v>
      </c>
    </row>
    <row r="234" spans="32:38" ht="14.1" customHeight="1" x14ac:dyDescent="0.45">
      <c r="AF234" s="988">
        <f>'DIY Grundmodell'!R321</f>
        <v>45263</v>
      </c>
      <c r="AG234" s="89" t="e">
        <f>'DIY Grundmodell'!S321</f>
        <v>#N/A</v>
      </c>
      <c r="AH234" s="54" t="e">
        <f>'DIY Grundmodell'!T321</f>
        <v>#N/A</v>
      </c>
      <c r="AI234" s="89">
        <f>'DIY Grundmodell'!U321</f>
        <v>324.82</v>
      </c>
      <c r="AJ234" s="89">
        <f>'DIY Grundmodell'!V321</f>
        <v>0</v>
      </c>
      <c r="AK234" s="989"/>
      <c r="AL234" s="33">
        <f>'DIY Grundmodell'!X321</f>
        <v>4594.6315800000002</v>
      </c>
    </row>
    <row r="235" spans="32:38" ht="14.1" customHeight="1" x14ac:dyDescent="0.45">
      <c r="AF235" s="988">
        <f>'DIY Grundmodell'!R322</f>
        <v>45264</v>
      </c>
      <c r="AG235" s="89">
        <f>'DIY Grundmodell'!S322</f>
        <v>320.02</v>
      </c>
      <c r="AH235" s="54">
        <f>'DIY Grundmodell'!T322</f>
        <v>6092.2463399999997</v>
      </c>
      <c r="AI235" s="89">
        <f>'DIY Grundmodell'!U322</f>
        <v>320.02</v>
      </c>
      <c r="AJ235" s="89">
        <f>'DIY Grundmodell'!V322</f>
        <v>6092.2463399999997</v>
      </c>
      <c r="AK235" s="989"/>
      <c r="AL235" s="33">
        <f>'DIY Grundmodell'!X322</f>
        <v>4569.7815600000004</v>
      </c>
    </row>
    <row r="236" spans="32:38" ht="14.1" customHeight="1" x14ac:dyDescent="0.45">
      <c r="AF236" s="988">
        <f>'DIY Grundmodell'!R323</f>
        <v>45265</v>
      </c>
      <c r="AG236" s="89">
        <f>'DIY Grundmodell'!S323</f>
        <v>318.29000000000002</v>
      </c>
      <c r="AH236" s="54">
        <f>'DIY Grundmodell'!T323</f>
        <v>5395.6928200000002</v>
      </c>
      <c r="AI236" s="89">
        <f>'DIY Grundmodell'!U323</f>
        <v>318.29000000000002</v>
      </c>
      <c r="AJ236" s="89">
        <f>'DIY Grundmodell'!V323</f>
        <v>5395.6928200000002</v>
      </c>
      <c r="AK236" s="989"/>
      <c r="AL236" s="33">
        <f>'DIY Grundmodell'!X323</f>
        <v>4567.1829699999998</v>
      </c>
    </row>
    <row r="237" spans="32:38" ht="14.1" customHeight="1" x14ac:dyDescent="0.45">
      <c r="AF237" s="988">
        <f>'DIY Grundmodell'!R324</f>
        <v>45266</v>
      </c>
      <c r="AG237" s="89">
        <f>'DIY Grundmodell'!S324</f>
        <v>317.45</v>
      </c>
      <c r="AH237" s="54">
        <f>'DIY Grundmodell'!T324</f>
        <v>3585.3872799999999</v>
      </c>
      <c r="AI237" s="89">
        <f>'DIY Grundmodell'!U324</f>
        <v>317.45</v>
      </c>
      <c r="AJ237" s="89">
        <f>'DIY Grundmodell'!V324</f>
        <v>3585.3872799999999</v>
      </c>
      <c r="AK237" s="989"/>
      <c r="AL237" s="33">
        <f>'DIY Grundmodell'!X324</f>
        <v>4549.3373799999999</v>
      </c>
    </row>
    <row r="238" spans="32:38" ht="14.1" customHeight="1" x14ac:dyDescent="0.45">
      <c r="AF238" s="988">
        <f>'DIY Grundmodell'!R325</f>
        <v>45267</v>
      </c>
      <c r="AG238" s="89">
        <f>'DIY Grundmodell'!S325</f>
        <v>326.58999999999997</v>
      </c>
      <c r="AH238" s="54">
        <f>'DIY Grundmodell'!T325</f>
        <v>5194.4397499999995</v>
      </c>
      <c r="AI238" s="89">
        <f>'DIY Grundmodell'!U325</f>
        <v>326.58999999999997</v>
      </c>
      <c r="AJ238" s="89">
        <f>'DIY Grundmodell'!V325</f>
        <v>5194.4397499999995</v>
      </c>
      <c r="AK238" s="989"/>
      <c r="AL238" s="33">
        <f>'DIY Grundmodell'!X325</f>
        <v>4585.58619</v>
      </c>
    </row>
    <row r="239" spans="32:38" ht="14.1" customHeight="1" x14ac:dyDescent="0.45">
      <c r="AF239" s="988">
        <f>'DIY Grundmodell'!R326</f>
        <v>45268</v>
      </c>
      <c r="AG239" s="89">
        <f>'DIY Grundmodell'!S326</f>
        <v>332.75</v>
      </c>
      <c r="AH239" s="54">
        <f>'DIY Grundmodell'!T326</f>
        <v>4687.5660500000004</v>
      </c>
      <c r="AI239" s="89">
        <f>'DIY Grundmodell'!U326</f>
        <v>332.75</v>
      </c>
      <c r="AJ239" s="89">
        <f>'DIY Grundmodell'!V326</f>
        <v>4687.5660500000004</v>
      </c>
      <c r="AK239" s="989"/>
      <c r="AL239" s="33">
        <f>'DIY Grundmodell'!X326</f>
        <v>4604.3722500000003</v>
      </c>
    </row>
    <row r="240" spans="32:38" ht="14.1" customHeight="1" x14ac:dyDescent="0.45">
      <c r="AF240" s="988">
        <f>'DIY Grundmodell'!R327</f>
        <v>45269</v>
      </c>
      <c r="AG240" s="89" t="e">
        <f>'DIY Grundmodell'!S327</f>
        <v>#N/A</v>
      </c>
      <c r="AH240" s="54" t="e">
        <f>'DIY Grundmodell'!T327</f>
        <v>#N/A</v>
      </c>
      <c r="AI240" s="89">
        <f>'DIY Grundmodell'!U327</f>
        <v>332.75</v>
      </c>
      <c r="AJ240" s="89">
        <f>'DIY Grundmodell'!V327</f>
        <v>0</v>
      </c>
      <c r="AK240" s="989"/>
      <c r="AL240" s="33">
        <f>'DIY Grundmodell'!X327</f>
        <v>4604.3722500000003</v>
      </c>
    </row>
    <row r="241" spans="32:38" ht="14.1" customHeight="1" x14ac:dyDescent="0.45">
      <c r="AF241" s="988">
        <f>'DIY Grundmodell'!R328</f>
        <v>45270</v>
      </c>
      <c r="AG241" s="89" t="e">
        <f>'DIY Grundmodell'!S328</f>
        <v>#N/A</v>
      </c>
      <c r="AH241" s="54" t="e">
        <f>'DIY Grundmodell'!T328</f>
        <v>#N/A</v>
      </c>
      <c r="AI241" s="89">
        <f>'DIY Grundmodell'!U328</f>
        <v>332.75</v>
      </c>
      <c r="AJ241" s="89">
        <f>'DIY Grundmodell'!V328</f>
        <v>0</v>
      </c>
      <c r="AK241" s="989"/>
      <c r="AL241" s="33">
        <f>'DIY Grundmodell'!X328</f>
        <v>4604.3722500000003</v>
      </c>
    </row>
    <row r="242" spans="32:38" ht="14.1" customHeight="1" x14ac:dyDescent="0.45">
      <c r="AF242" s="988">
        <f>'DIY Grundmodell'!R329</f>
        <v>45271</v>
      </c>
      <c r="AG242" s="89">
        <f>'DIY Grundmodell'!S329</f>
        <v>325.27999999999997</v>
      </c>
      <c r="AH242" s="54">
        <f>'DIY Grundmodell'!T329</f>
        <v>8393.02484</v>
      </c>
      <c r="AI242" s="89">
        <f>'DIY Grundmodell'!U329</f>
        <v>325.27999999999997</v>
      </c>
      <c r="AJ242" s="89">
        <f>'DIY Grundmodell'!V329</f>
        <v>8393.02484</v>
      </c>
      <c r="AK242" s="989"/>
      <c r="AL242" s="33">
        <f>'DIY Grundmodell'!X329</f>
        <v>4622.4407700000002</v>
      </c>
    </row>
    <row r="243" spans="32:38" ht="14.1" customHeight="1" x14ac:dyDescent="0.45">
      <c r="AF243" s="988">
        <f>'DIY Grundmodell'!R330</f>
        <v>45272</v>
      </c>
      <c r="AG243" s="89">
        <f>'DIY Grundmodell'!S330</f>
        <v>334.22</v>
      </c>
      <c r="AH243" s="54">
        <f>'DIY Grundmodell'!T330</f>
        <v>6178.2107800000003</v>
      </c>
      <c r="AI243" s="89">
        <f>'DIY Grundmodell'!U330</f>
        <v>334.22</v>
      </c>
      <c r="AJ243" s="89">
        <f>'DIY Grundmodell'!V330</f>
        <v>6178.2107800000003</v>
      </c>
      <c r="AK243" s="989"/>
      <c r="AL243" s="33">
        <f>'DIY Grundmodell'!X330</f>
        <v>4643.7017699999997</v>
      </c>
    </row>
    <row r="244" spans="32:38" ht="14.1" customHeight="1" x14ac:dyDescent="0.45">
      <c r="AF244" s="988">
        <f>'DIY Grundmodell'!R331</f>
        <v>45273</v>
      </c>
      <c r="AG244" s="89">
        <f>'DIY Grundmodell'!S331</f>
        <v>334.74</v>
      </c>
      <c r="AH244" s="54">
        <f>'DIY Grundmodell'!T331</f>
        <v>5474.11067</v>
      </c>
      <c r="AI244" s="89">
        <f>'DIY Grundmodell'!U331</f>
        <v>334.74</v>
      </c>
      <c r="AJ244" s="89">
        <f>'DIY Grundmodell'!V331</f>
        <v>5474.11067</v>
      </c>
      <c r="AK244" s="989"/>
      <c r="AL244" s="33">
        <f>'DIY Grundmodell'!X331</f>
        <v>4707.0913600000003</v>
      </c>
    </row>
    <row r="245" spans="32:38" ht="14.1" customHeight="1" x14ac:dyDescent="0.45">
      <c r="AF245" s="988">
        <f>'DIY Grundmodell'!R332</f>
        <v>45274</v>
      </c>
      <c r="AG245" s="89">
        <f>'DIY Grundmodell'!S332</f>
        <v>333.17</v>
      </c>
      <c r="AH245" s="54">
        <f>'DIY Grundmodell'!T332</f>
        <v>6532.5757999999996</v>
      </c>
      <c r="AI245" s="89">
        <f>'DIY Grundmodell'!U332</f>
        <v>333.17</v>
      </c>
      <c r="AJ245" s="89">
        <f>'DIY Grundmodell'!V332</f>
        <v>6532.5757999999996</v>
      </c>
      <c r="AK245" s="989"/>
      <c r="AL245" s="33">
        <f>'DIY Grundmodell'!X332</f>
        <v>4719.5519199999999</v>
      </c>
    </row>
    <row r="246" spans="32:38" ht="14.1" customHeight="1" x14ac:dyDescent="0.45">
      <c r="AF246" s="988">
        <f>'DIY Grundmodell'!R333</f>
        <v>45275</v>
      </c>
      <c r="AG246" s="89">
        <f>'DIY Grundmodell'!S333</f>
        <v>334.92</v>
      </c>
      <c r="AH246" s="54">
        <f>'DIY Grundmodell'!T333</f>
        <v>10642.70327</v>
      </c>
      <c r="AI246" s="89">
        <f>'DIY Grundmodell'!U333</f>
        <v>334.92</v>
      </c>
      <c r="AJ246" s="89">
        <f>'DIY Grundmodell'!V333</f>
        <v>10642.70327</v>
      </c>
      <c r="AK246" s="989"/>
      <c r="AL246" s="33">
        <f>'DIY Grundmodell'!X333</f>
        <v>4719.1906499999996</v>
      </c>
    </row>
    <row r="247" spans="32:38" ht="14.1" customHeight="1" x14ac:dyDescent="0.45">
      <c r="AF247" s="988">
        <f>'DIY Grundmodell'!R334</f>
        <v>45276</v>
      </c>
      <c r="AG247" s="89" t="e">
        <f>'DIY Grundmodell'!S334</f>
        <v>#N/A</v>
      </c>
      <c r="AH247" s="54" t="e">
        <f>'DIY Grundmodell'!T334</f>
        <v>#N/A</v>
      </c>
      <c r="AI247" s="89">
        <f>'DIY Grundmodell'!U334</f>
        <v>334.92</v>
      </c>
      <c r="AJ247" s="89">
        <f>'DIY Grundmodell'!V334</f>
        <v>0</v>
      </c>
      <c r="AK247" s="989"/>
      <c r="AL247" s="33">
        <f>'DIY Grundmodell'!X334</f>
        <v>4719.1906499999996</v>
      </c>
    </row>
    <row r="248" spans="32:38" ht="14.1" customHeight="1" x14ac:dyDescent="0.45">
      <c r="AF248" s="988">
        <f>'DIY Grundmodell'!R335</f>
        <v>45277</v>
      </c>
      <c r="AG248" s="89" t="e">
        <f>'DIY Grundmodell'!S335</f>
        <v>#N/A</v>
      </c>
      <c r="AH248" s="54" t="e">
        <f>'DIY Grundmodell'!T335</f>
        <v>#N/A</v>
      </c>
      <c r="AI248" s="89">
        <f>'DIY Grundmodell'!U335</f>
        <v>334.92</v>
      </c>
      <c r="AJ248" s="89">
        <f>'DIY Grundmodell'!V335</f>
        <v>0</v>
      </c>
      <c r="AK248" s="989"/>
      <c r="AL248" s="33">
        <f>'DIY Grundmodell'!X335</f>
        <v>4719.1906499999996</v>
      </c>
    </row>
    <row r="249" spans="32:38" ht="14.1" customHeight="1" x14ac:dyDescent="0.45">
      <c r="AF249" s="988">
        <f>'DIY Grundmodell'!R336</f>
        <v>45278</v>
      </c>
      <c r="AG249" s="89">
        <f>'DIY Grundmodell'!S336</f>
        <v>344.62</v>
      </c>
      <c r="AH249" s="54">
        <f>'DIY Grundmodell'!T336</f>
        <v>6545.6612800000003</v>
      </c>
      <c r="AI249" s="89">
        <f>'DIY Grundmodell'!U336</f>
        <v>344.62</v>
      </c>
      <c r="AJ249" s="89">
        <f>'DIY Grundmodell'!V336</f>
        <v>6545.6612800000003</v>
      </c>
      <c r="AK249" s="989"/>
      <c r="AL249" s="33">
        <f>'DIY Grundmodell'!X336</f>
        <v>4740.5560100000002</v>
      </c>
    </row>
    <row r="250" spans="32:38" ht="14.1" customHeight="1" x14ac:dyDescent="0.45">
      <c r="AF250" s="988">
        <f>'DIY Grundmodell'!R337</f>
        <v>45279</v>
      </c>
      <c r="AG250" s="89">
        <f>'DIY Grundmodell'!S337</f>
        <v>350.36</v>
      </c>
      <c r="AH250" s="54">
        <f>'DIY Grundmodell'!T337</f>
        <v>6211.6592700000001</v>
      </c>
      <c r="AI250" s="89">
        <f>'DIY Grundmodell'!U337</f>
        <v>350.36</v>
      </c>
      <c r="AJ250" s="89">
        <f>'DIY Grundmodell'!V337</f>
        <v>6211.6592700000001</v>
      </c>
      <c r="AK250" s="989"/>
      <c r="AL250" s="33">
        <f>'DIY Grundmodell'!X337</f>
        <v>4768.3653700000004</v>
      </c>
    </row>
    <row r="251" spans="32:38" ht="14.1" customHeight="1" x14ac:dyDescent="0.45">
      <c r="AF251" s="988">
        <f>'DIY Grundmodell'!R338</f>
        <v>45280</v>
      </c>
      <c r="AG251" s="89">
        <f>'DIY Grundmodell'!S338</f>
        <v>349.28</v>
      </c>
      <c r="AH251" s="54">
        <f>'DIY Grundmodell'!T338</f>
        <v>5717.6612100000002</v>
      </c>
      <c r="AI251" s="89">
        <f>'DIY Grundmodell'!U338</f>
        <v>349.28</v>
      </c>
      <c r="AJ251" s="89">
        <f>'DIY Grundmodell'!V338</f>
        <v>5717.6612100000002</v>
      </c>
      <c r="AK251" s="989"/>
      <c r="AL251" s="33">
        <f>'DIY Grundmodell'!X338</f>
        <v>4698.3519500000002</v>
      </c>
    </row>
    <row r="252" spans="32:38" ht="14.1" customHeight="1" x14ac:dyDescent="0.45">
      <c r="AF252" s="988">
        <f>'DIY Grundmodell'!R339</f>
        <v>45281</v>
      </c>
      <c r="AG252" s="89">
        <f>'DIY Grundmodell'!S339</f>
        <v>354.09</v>
      </c>
      <c r="AH252" s="54">
        <f>'DIY Grundmodell'!T339</f>
        <v>5413.8788800000002</v>
      </c>
      <c r="AI252" s="89">
        <f>'DIY Grundmodell'!U339</f>
        <v>354.09</v>
      </c>
      <c r="AJ252" s="89">
        <f>'DIY Grundmodell'!V339</f>
        <v>5413.8788800000002</v>
      </c>
      <c r="AK252" s="989"/>
      <c r="AL252" s="33">
        <f>'DIY Grundmodell'!X339</f>
        <v>4746.7456400000001</v>
      </c>
    </row>
    <row r="253" spans="32:38" ht="14.1" customHeight="1" x14ac:dyDescent="0.45">
      <c r="AF253" s="988">
        <f>'DIY Grundmodell'!R340</f>
        <v>45282</v>
      </c>
      <c r="AG253" s="89">
        <f>'DIY Grundmodell'!S340</f>
        <v>353.39</v>
      </c>
      <c r="AH253" s="54">
        <f>'DIY Grundmodell'!T340</f>
        <v>4160.3823700000003</v>
      </c>
      <c r="AI253" s="89">
        <f>'DIY Grundmodell'!U340</f>
        <v>353.39</v>
      </c>
      <c r="AJ253" s="89">
        <f>'DIY Grundmodell'!V340</f>
        <v>4160.3823700000003</v>
      </c>
      <c r="AK253" s="989"/>
      <c r="AL253" s="33">
        <f>'DIY Grundmodell'!X340</f>
        <v>4754.6314499999999</v>
      </c>
    </row>
    <row r="254" spans="32:38" ht="14.1" customHeight="1" x14ac:dyDescent="0.45">
      <c r="AF254" s="988">
        <f>'DIY Grundmodell'!R341</f>
        <v>45283</v>
      </c>
      <c r="AG254" s="89" t="e">
        <f>'DIY Grundmodell'!S341</f>
        <v>#N/A</v>
      </c>
      <c r="AH254" s="54" t="e">
        <f>'DIY Grundmodell'!T341</f>
        <v>#N/A</v>
      </c>
      <c r="AI254" s="89">
        <f>'DIY Grundmodell'!U341</f>
        <v>353.39</v>
      </c>
      <c r="AJ254" s="89">
        <f>'DIY Grundmodell'!V341</f>
        <v>0</v>
      </c>
      <c r="AK254" s="989"/>
      <c r="AL254" s="33">
        <f>'DIY Grundmodell'!X341</f>
        <v>4754.6314499999999</v>
      </c>
    </row>
    <row r="255" spans="32:38" ht="14.1" customHeight="1" x14ac:dyDescent="0.45">
      <c r="AF255" s="988">
        <f>'DIY Grundmodell'!R342</f>
        <v>45284</v>
      </c>
      <c r="AG255" s="89" t="e">
        <f>'DIY Grundmodell'!S342</f>
        <v>#N/A</v>
      </c>
      <c r="AH255" s="54" t="e">
        <f>'DIY Grundmodell'!T342</f>
        <v>#N/A</v>
      </c>
      <c r="AI255" s="89">
        <f>'DIY Grundmodell'!U342</f>
        <v>353.39</v>
      </c>
      <c r="AJ255" s="89">
        <f>'DIY Grundmodell'!V342</f>
        <v>0</v>
      </c>
      <c r="AK255" s="989"/>
      <c r="AL255" s="33">
        <f>'DIY Grundmodell'!X342</f>
        <v>4754.6314499999999</v>
      </c>
    </row>
    <row r="256" spans="32:38" ht="14.1" customHeight="1" x14ac:dyDescent="0.45">
      <c r="AF256" s="988">
        <f>'DIY Grundmodell'!R343</f>
        <v>45285</v>
      </c>
      <c r="AG256" s="89" t="e">
        <f>'DIY Grundmodell'!S343</f>
        <v>#N/A</v>
      </c>
      <c r="AH256" s="54" t="e">
        <f>'DIY Grundmodell'!T343</f>
        <v>#N/A</v>
      </c>
      <c r="AI256" s="89">
        <f>'DIY Grundmodell'!U343</f>
        <v>353.39</v>
      </c>
      <c r="AJ256" s="89">
        <f>'DIY Grundmodell'!V343</f>
        <v>0</v>
      </c>
      <c r="AK256" s="989"/>
      <c r="AL256" s="33">
        <f>'DIY Grundmodell'!X343</f>
        <v>4754.6314499999999</v>
      </c>
    </row>
    <row r="257" spans="32:38" ht="14.1" customHeight="1" x14ac:dyDescent="0.45">
      <c r="AF257" s="988">
        <f>'DIY Grundmodell'!R344</f>
        <v>45286</v>
      </c>
      <c r="AG257" s="89">
        <f>'DIY Grundmodell'!S344</f>
        <v>354.83</v>
      </c>
      <c r="AH257" s="54">
        <f>'DIY Grundmodell'!T344</f>
        <v>3512.32521</v>
      </c>
      <c r="AI257" s="89">
        <f>'DIY Grundmodell'!U344</f>
        <v>354.83</v>
      </c>
      <c r="AJ257" s="89">
        <f>'DIY Grundmodell'!V344</f>
        <v>3512.32521</v>
      </c>
      <c r="AK257" s="989"/>
      <c r="AL257" s="33">
        <f>'DIY Grundmodell'!X344</f>
        <v>4774.7506000000003</v>
      </c>
    </row>
    <row r="258" spans="32:38" ht="14.1" customHeight="1" x14ac:dyDescent="0.45">
      <c r="AF258" s="988">
        <f>'DIY Grundmodell'!R345</f>
        <v>45287</v>
      </c>
      <c r="AG258" s="89">
        <f>'DIY Grundmodell'!S345</f>
        <v>357.83</v>
      </c>
      <c r="AH258" s="54">
        <f>'DIY Grundmodell'!T345</f>
        <v>4726.1928799999996</v>
      </c>
      <c r="AI258" s="89">
        <f>'DIY Grundmodell'!U345</f>
        <v>357.83</v>
      </c>
      <c r="AJ258" s="89">
        <f>'DIY Grundmodell'!V345</f>
        <v>4726.1928799999996</v>
      </c>
      <c r="AK258" s="989"/>
      <c r="AL258" s="33">
        <f>'DIY Grundmodell'!X345</f>
        <v>4781.5788000000002</v>
      </c>
    </row>
    <row r="259" spans="32:38" ht="14.1" customHeight="1" x14ac:dyDescent="0.45">
      <c r="AF259" s="988">
        <f>'DIY Grundmodell'!R346</f>
        <v>45288</v>
      </c>
      <c r="AG259" s="89">
        <f>'DIY Grundmodell'!S346</f>
        <v>358.32</v>
      </c>
      <c r="AH259" s="54">
        <f>'DIY Grundmodell'!T346</f>
        <v>4227.7485200000001</v>
      </c>
      <c r="AI259" s="89">
        <f>'DIY Grundmodell'!U346</f>
        <v>358.32</v>
      </c>
      <c r="AJ259" s="89">
        <f>'DIY Grundmodell'!V346</f>
        <v>4227.7485200000001</v>
      </c>
      <c r="AK259" s="989"/>
      <c r="AL259" s="33">
        <f>'DIY Grundmodell'!X346</f>
        <v>4783.3473800000002</v>
      </c>
    </row>
    <row r="260" spans="32:38" ht="14.1" customHeight="1" x14ac:dyDescent="0.45">
      <c r="AF260" s="988">
        <f>'DIY Grundmodell'!R347</f>
        <v>45289</v>
      </c>
      <c r="AG260" s="89">
        <f>'DIY Grundmodell'!S347</f>
        <v>353.96</v>
      </c>
      <c r="AH260" s="54">
        <f>'DIY Grundmodell'!T347</f>
        <v>5304.8310799999999</v>
      </c>
      <c r="AI260" s="89">
        <f>'DIY Grundmodell'!U347</f>
        <v>353.96</v>
      </c>
      <c r="AJ260" s="89">
        <f>'DIY Grundmodell'!V347</f>
        <v>5304.8310799999999</v>
      </c>
      <c r="AK260" s="989"/>
      <c r="AL260" s="33">
        <f>'DIY Grundmodell'!X347</f>
        <v>4769.8294100000003</v>
      </c>
    </row>
    <row r="261" spans="32:38" ht="14.1" customHeight="1" x14ac:dyDescent="0.45">
      <c r="AF261" s="988">
        <f>'DIY Grundmodell'!R348</f>
        <v>45290</v>
      </c>
      <c r="AG261" s="89" t="e">
        <f>'DIY Grundmodell'!S348</f>
        <v>#N/A</v>
      </c>
      <c r="AH261" s="54" t="e">
        <f>'DIY Grundmodell'!T348</f>
        <v>#N/A</v>
      </c>
      <c r="AI261" s="89">
        <f>'DIY Grundmodell'!U348</f>
        <v>353.96</v>
      </c>
      <c r="AJ261" s="89">
        <f>'DIY Grundmodell'!V348</f>
        <v>0</v>
      </c>
      <c r="AK261" s="989"/>
      <c r="AL261" s="33">
        <f>'DIY Grundmodell'!X348</f>
        <v>4769.8294100000003</v>
      </c>
    </row>
    <row r="262" spans="32:38" ht="14.1" customHeight="1" x14ac:dyDescent="0.45">
      <c r="AF262" s="988">
        <f>'DIY Grundmodell'!R349</f>
        <v>45291</v>
      </c>
      <c r="AG262" s="89" t="e">
        <f>'DIY Grundmodell'!S349</f>
        <v>#N/A</v>
      </c>
      <c r="AH262" s="54" t="e">
        <f>'DIY Grundmodell'!T349</f>
        <v>#N/A</v>
      </c>
      <c r="AI262" s="89">
        <f>'DIY Grundmodell'!U349</f>
        <v>353.96</v>
      </c>
      <c r="AJ262" s="89">
        <f>'DIY Grundmodell'!V349</f>
        <v>0</v>
      </c>
      <c r="AK262" s="989"/>
      <c r="AL262" s="33">
        <f>'DIY Grundmodell'!X349</f>
        <v>4769.8294100000003</v>
      </c>
    </row>
    <row r="263" spans="32:38" ht="14.1" customHeight="1" x14ac:dyDescent="0.45">
      <c r="AF263" s="988">
        <f>'DIY Grundmodell'!R350</f>
        <v>45292</v>
      </c>
      <c r="AG263" s="89" t="e">
        <f>'DIY Grundmodell'!S350</f>
        <v>#N/A</v>
      </c>
      <c r="AH263" s="54" t="e">
        <f>'DIY Grundmodell'!T350</f>
        <v>#N/A</v>
      </c>
      <c r="AI263" s="89">
        <f>'DIY Grundmodell'!U350</f>
        <v>353.96</v>
      </c>
      <c r="AJ263" s="89">
        <f>'DIY Grundmodell'!V350</f>
        <v>0</v>
      </c>
      <c r="AK263" s="989"/>
      <c r="AL263" s="33">
        <f>'DIY Grundmodell'!X350</f>
        <v>4769.8294100000003</v>
      </c>
    </row>
    <row r="264" spans="32:38" ht="14.1" customHeight="1" x14ac:dyDescent="0.45">
      <c r="AF264" s="988">
        <f>'DIY Grundmodell'!R351</f>
        <v>45293</v>
      </c>
      <c r="AG264" s="89">
        <f>'DIY Grundmodell'!S351</f>
        <v>346.29</v>
      </c>
      <c r="AH264" s="54">
        <f>'DIY Grundmodell'!T351</f>
        <v>6594.10682</v>
      </c>
      <c r="AI264" s="89">
        <f>'DIY Grundmodell'!U351</f>
        <v>346.29</v>
      </c>
      <c r="AJ264" s="89">
        <f>'DIY Grundmodell'!V351</f>
        <v>6594.10682</v>
      </c>
      <c r="AK264" s="989"/>
      <c r="AL264" s="33">
        <f>'DIY Grundmodell'!X351</f>
        <v>4742.8294900000001</v>
      </c>
    </row>
    <row r="265" spans="32:38" ht="14.1" customHeight="1" x14ac:dyDescent="0.45">
      <c r="AF265" s="988">
        <f>'DIY Grundmodell'!R352</f>
        <v>45294</v>
      </c>
      <c r="AG265" s="89">
        <f>'DIY Grundmodell'!S352</f>
        <v>344.47</v>
      </c>
      <c r="AH265" s="54">
        <f>'DIY Grundmodell'!T352</f>
        <v>5322.4517900000001</v>
      </c>
      <c r="AI265" s="89">
        <f>'DIY Grundmodell'!U352</f>
        <v>344.47</v>
      </c>
      <c r="AJ265" s="89">
        <f>'DIY Grundmodell'!V352</f>
        <v>5322.4517900000001</v>
      </c>
      <c r="AK265" s="989"/>
      <c r="AL265" s="33">
        <f>'DIY Grundmodell'!X352</f>
        <v>4704.8110900000001</v>
      </c>
    </row>
    <row r="266" spans="32:38" ht="14.1" customHeight="1" x14ac:dyDescent="0.45">
      <c r="AF266" s="988">
        <f>'DIY Grundmodell'!R353</f>
        <v>45295</v>
      </c>
      <c r="AG266" s="89">
        <f>'DIY Grundmodell'!S353</f>
        <v>347.12</v>
      </c>
      <c r="AH266" s="54">
        <f>'DIY Grundmodell'!T353</f>
        <v>4200.1155500000004</v>
      </c>
      <c r="AI266" s="89">
        <f>'DIY Grundmodell'!U353</f>
        <v>347.12</v>
      </c>
      <c r="AJ266" s="89">
        <f>'DIY Grundmodell'!V353</f>
        <v>4200.1155500000004</v>
      </c>
      <c r="AK266" s="989"/>
      <c r="AL266" s="33">
        <f>'DIY Grundmodell'!X353</f>
        <v>4688.6760100000001</v>
      </c>
    </row>
    <row r="267" spans="32:38" ht="14.1" customHeight="1" x14ac:dyDescent="0.45">
      <c r="AF267" s="988">
        <f>'DIY Grundmodell'!R354</f>
        <v>45296</v>
      </c>
      <c r="AG267" s="89">
        <f>'DIY Grundmodell'!S354</f>
        <v>351.95</v>
      </c>
      <c r="AH267" s="54">
        <f>'DIY Grundmodell'!T354</f>
        <v>4839.6334800000004</v>
      </c>
      <c r="AI267" s="89">
        <f>'DIY Grundmodell'!U354</f>
        <v>351.95</v>
      </c>
      <c r="AJ267" s="89">
        <f>'DIY Grundmodell'!V354</f>
        <v>4839.6334800000004</v>
      </c>
      <c r="AK267" s="989"/>
      <c r="AL267" s="33">
        <f>'DIY Grundmodell'!X354</f>
        <v>4697.2449399999996</v>
      </c>
    </row>
    <row r="268" spans="32:38" ht="14.1" customHeight="1" x14ac:dyDescent="0.45">
      <c r="AF268" s="988">
        <f>'DIY Grundmodell'!R355</f>
        <v>45297</v>
      </c>
      <c r="AG268" s="89" t="e">
        <f>'DIY Grundmodell'!S355</f>
        <v>#N/A</v>
      </c>
      <c r="AH268" s="54" t="e">
        <f>'DIY Grundmodell'!T355</f>
        <v>#N/A</v>
      </c>
      <c r="AI268" s="89">
        <f>'DIY Grundmodell'!U355</f>
        <v>351.95</v>
      </c>
      <c r="AJ268" s="89">
        <f>'DIY Grundmodell'!V355</f>
        <v>0</v>
      </c>
      <c r="AK268" s="989"/>
      <c r="AL268" s="33">
        <f>'DIY Grundmodell'!X355</f>
        <v>4697.2449399999996</v>
      </c>
    </row>
    <row r="269" spans="32:38" ht="14.1" customHeight="1" x14ac:dyDescent="0.45">
      <c r="AF269" s="988">
        <f>'DIY Grundmodell'!R356</f>
        <v>45298</v>
      </c>
      <c r="AG269" s="89" t="e">
        <f>'DIY Grundmodell'!S356</f>
        <v>#N/A</v>
      </c>
      <c r="AH269" s="54" t="e">
        <f>'DIY Grundmodell'!T356</f>
        <v>#N/A</v>
      </c>
      <c r="AI269" s="89">
        <f>'DIY Grundmodell'!U356</f>
        <v>351.95</v>
      </c>
      <c r="AJ269" s="89">
        <f>'DIY Grundmodell'!V356</f>
        <v>0</v>
      </c>
      <c r="AK269" s="989"/>
      <c r="AL269" s="33">
        <f>'DIY Grundmodell'!X356</f>
        <v>4697.2449399999996</v>
      </c>
    </row>
    <row r="270" spans="32:38" ht="14.1" customHeight="1" x14ac:dyDescent="0.45">
      <c r="AF270" s="988">
        <f>'DIY Grundmodell'!R357</f>
        <v>45299</v>
      </c>
      <c r="AG270" s="89">
        <f>'DIY Grundmodell'!S357</f>
        <v>358.66</v>
      </c>
      <c r="AH270" s="54">
        <f>'DIY Grundmodell'!T357</f>
        <v>4981.8670199999997</v>
      </c>
      <c r="AI270" s="89">
        <f>'DIY Grundmodell'!U357</f>
        <v>358.66</v>
      </c>
      <c r="AJ270" s="89">
        <f>'DIY Grundmodell'!V357</f>
        <v>4981.8670199999997</v>
      </c>
      <c r="AK270" s="989"/>
      <c r="AL270" s="33">
        <f>'DIY Grundmodell'!X357</f>
        <v>4763.5372799999996</v>
      </c>
    </row>
    <row r="271" spans="32:38" ht="14.1" customHeight="1" x14ac:dyDescent="0.45">
      <c r="AF271" s="988">
        <f>'DIY Grundmodell'!R358</f>
        <v>45300</v>
      </c>
      <c r="AG271" s="89">
        <f>'DIY Grundmodell'!S358</f>
        <v>357.43</v>
      </c>
      <c r="AH271" s="54">
        <f>'DIY Grundmodell'!T358</f>
        <v>4812.3914100000002</v>
      </c>
      <c r="AI271" s="89">
        <f>'DIY Grundmodell'!U358</f>
        <v>357.43</v>
      </c>
      <c r="AJ271" s="89">
        <f>'DIY Grundmodell'!V358</f>
        <v>4812.3914100000002</v>
      </c>
      <c r="AK271" s="989"/>
      <c r="AL271" s="33">
        <f>'DIY Grundmodell'!X358</f>
        <v>4756.4965400000001</v>
      </c>
    </row>
    <row r="272" spans="32:38" ht="14.1" customHeight="1" x14ac:dyDescent="0.45">
      <c r="AF272" s="988">
        <f>'DIY Grundmodell'!R359</f>
        <v>45301</v>
      </c>
      <c r="AG272" s="89">
        <f>'DIY Grundmodell'!S359</f>
        <v>370.47</v>
      </c>
      <c r="AH272" s="54">
        <f>'DIY Grundmodell'!T359</f>
        <v>8193.7613099999999</v>
      </c>
      <c r="AI272" s="89">
        <f>'DIY Grundmodell'!U359</f>
        <v>370.47</v>
      </c>
      <c r="AJ272" s="89">
        <f>'DIY Grundmodell'!V359</f>
        <v>8193.7613099999999</v>
      </c>
      <c r="AK272" s="989"/>
      <c r="AL272" s="33">
        <f>'DIY Grundmodell'!X359</f>
        <v>4783.4491200000002</v>
      </c>
    </row>
    <row r="273" spans="32:38" ht="14.1" customHeight="1" x14ac:dyDescent="0.45">
      <c r="AF273" s="988">
        <f>'DIY Grundmodell'!R360</f>
        <v>45302</v>
      </c>
      <c r="AG273" s="89">
        <f>'DIY Grundmodell'!S360</f>
        <v>369.67</v>
      </c>
      <c r="AH273" s="54">
        <f>'DIY Grundmodell'!T360</f>
        <v>6360.3146699999998</v>
      </c>
      <c r="AI273" s="89">
        <f>'DIY Grundmodell'!U360</f>
        <v>369.67</v>
      </c>
      <c r="AJ273" s="89">
        <f>'DIY Grundmodell'!V360</f>
        <v>6360.3146699999998</v>
      </c>
      <c r="AK273" s="989"/>
      <c r="AL273" s="33">
        <f>'DIY Grundmodell'!X360</f>
        <v>4780.2424700000001</v>
      </c>
    </row>
    <row r="274" spans="32:38" ht="14.1" customHeight="1" x14ac:dyDescent="0.45">
      <c r="AF274" s="988">
        <f>'DIY Grundmodell'!R361</f>
        <v>45303</v>
      </c>
      <c r="AG274" s="89">
        <f>'DIY Grundmodell'!S361</f>
        <v>374.49</v>
      </c>
      <c r="AH274" s="54">
        <f>'DIY Grundmodell'!T361</f>
        <v>7231.4191300000002</v>
      </c>
      <c r="AI274" s="89">
        <f>'DIY Grundmodell'!U361</f>
        <v>374.49</v>
      </c>
      <c r="AJ274" s="89">
        <f>'DIY Grundmodell'!V361</f>
        <v>7231.4191300000002</v>
      </c>
      <c r="AK274" s="989"/>
      <c r="AL274" s="33">
        <f>'DIY Grundmodell'!X361</f>
        <v>4783.8310700000002</v>
      </c>
    </row>
    <row r="275" spans="32:38" ht="14.1" customHeight="1" x14ac:dyDescent="0.45">
      <c r="AF275" s="988">
        <f>'DIY Grundmodell'!R362</f>
        <v>45304</v>
      </c>
      <c r="AG275" s="89" t="e">
        <f>'DIY Grundmodell'!S362</f>
        <v>#N/A</v>
      </c>
      <c r="AH275" s="54" t="e">
        <f>'DIY Grundmodell'!T362</f>
        <v>#N/A</v>
      </c>
      <c r="AI275" s="89">
        <f>'DIY Grundmodell'!U362</f>
        <v>374.49</v>
      </c>
      <c r="AJ275" s="89">
        <f>'DIY Grundmodell'!V362</f>
        <v>0</v>
      </c>
      <c r="AK275" s="989"/>
      <c r="AL275" s="33">
        <f>'DIY Grundmodell'!X362</f>
        <v>4783.8310700000002</v>
      </c>
    </row>
    <row r="276" spans="32:38" ht="14.1" customHeight="1" x14ac:dyDescent="0.45">
      <c r="AF276" s="988">
        <f>'DIY Grundmodell'!R363</f>
        <v>45305</v>
      </c>
      <c r="AG276" s="89" t="e">
        <f>'DIY Grundmodell'!S363</f>
        <v>#N/A</v>
      </c>
      <c r="AH276" s="54" t="e">
        <f>'DIY Grundmodell'!T363</f>
        <v>#N/A</v>
      </c>
      <c r="AI276" s="89">
        <f>'DIY Grundmodell'!U363</f>
        <v>374.49</v>
      </c>
      <c r="AJ276" s="89">
        <f>'DIY Grundmodell'!V363</f>
        <v>0</v>
      </c>
      <c r="AK276" s="989"/>
      <c r="AL276" s="33">
        <f>'DIY Grundmodell'!X363</f>
        <v>4783.8310700000002</v>
      </c>
    </row>
    <row r="277" spans="32:38" ht="14.1" customHeight="1" x14ac:dyDescent="0.45">
      <c r="AF277" s="988">
        <f>'DIY Grundmodell'!R364</f>
        <v>45306</v>
      </c>
      <c r="AG277" s="89" t="e">
        <f>'DIY Grundmodell'!S364</f>
        <v>#N/A</v>
      </c>
      <c r="AH277" s="54" t="e">
        <f>'DIY Grundmodell'!T364</f>
        <v>#N/A</v>
      </c>
      <c r="AI277" s="89">
        <f>'DIY Grundmodell'!U364</f>
        <v>374.49</v>
      </c>
      <c r="AJ277" s="89">
        <f>'DIY Grundmodell'!V364</f>
        <v>0</v>
      </c>
      <c r="AK277" s="989"/>
      <c r="AL277" s="33">
        <f>'DIY Grundmodell'!X364</f>
        <v>4783.8310700000002</v>
      </c>
    </row>
    <row r="278" spans="32:38" ht="14.1" customHeight="1" x14ac:dyDescent="0.45">
      <c r="AF278" s="988">
        <f>'DIY Grundmodell'!R365</f>
        <v>45307</v>
      </c>
      <c r="AG278" s="89">
        <f>'DIY Grundmodell'!S365</f>
        <v>367.46</v>
      </c>
      <c r="AH278" s="54">
        <f>'DIY Grundmodell'!T365</f>
        <v>5624.6679599999998</v>
      </c>
      <c r="AI278" s="89">
        <f>'DIY Grundmodell'!U365</f>
        <v>367.46</v>
      </c>
      <c r="AJ278" s="89">
        <f>'DIY Grundmodell'!V365</f>
        <v>5624.6679599999998</v>
      </c>
      <c r="AK278" s="989"/>
      <c r="AL278" s="33">
        <f>'DIY Grundmodell'!X365</f>
        <v>4765.9760200000001</v>
      </c>
    </row>
    <row r="279" spans="32:38" ht="14.1" customHeight="1" x14ac:dyDescent="0.45">
      <c r="AF279" s="988">
        <f>'DIY Grundmodell'!R366</f>
        <v>45308</v>
      </c>
      <c r="AG279" s="89">
        <f>'DIY Grundmodell'!S366</f>
        <v>368.37</v>
      </c>
      <c r="AH279" s="54">
        <f>'DIY Grundmodell'!T366</f>
        <v>4687.4268400000001</v>
      </c>
      <c r="AI279" s="89">
        <f>'DIY Grundmodell'!U366</f>
        <v>368.37</v>
      </c>
      <c r="AJ279" s="89">
        <f>'DIY Grundmodell'!V366</f>
        <v>4687.4268400000001</v>
      </c>
      <c r="AK279" s="989"/>
      <c r="AL279" s="33">
        <f>'DIY Grundmodell'!X366</f>
        <v>4739.2081399999997</v>
      </c>
    </row>
    <row r="280" spans="32:38" ht="14.1" customHeight="1" x14ac:dyDescent="0.45">
      <c r="AF280" s="988">
        <f>'DIY Grundmodell'!R367</f>
        <v>45309</v>
      </c>
      <c r="AG280" s="89">
        <f>'DIY Grundmodell'!S367</f>
        <v>376.13</v>
      </c>
      <c r="AH280" s="54">
        <f>'DIY Grundmodell'!T367</f>
        <v>6151.3549000000003</v>
      </c>
      <c r="AI280" s="89">
        <f>'DIY Grundmodell'!U367</f>
        <v>376.13</v>
      </c>
      <c r="AJ280" s="89">
        <f>'DIY Grundmodell'!V367</f>
        <v>6151.3549000000003</v>
      </c>
      <c r="AK280" s="989"/>
      <c r="AL280" s="33">
        <f>'DIY Grundmodell'!X367</f>
        <v>4780.9376499999998</v>
      </c>
    </row>
    <row r="281" spans="32:38" ht="14.1" customHeight="1" x14ac:dyDescent="0.45">
      <c r="AF281" s="988">
        <f>'DIY Grundmodell'!R368</f>
        <v>45310</v>
      </c>
      <c r="AG281" s="89">
        <f>'DIY Grundmodell'!S368</f>
        <v>383.45</v>
      </c>
      <c r="AH281" s="54">
        <f>'DIY Grundmodell'!T368</f>
        <v>8309.6705600000005</v>
      </c>
      <c r="AI281" s="89">
        <f>'DIY Grundmodell'!U368</f>
        <v>383.45</v>
      </c>
      <c r="AJ281" s="89">
        <f>'DIY Grundmodell'!V368</f>
        <v>8309.6705600000005</v>
      </c>
      <c r="AK281" s="989"/>
      <c r="AL281" s="33">
        <f>'DIY Grundmodell'!X368</f>
        <v>4839.81142</v>
      </c>
    </row>
    <row r="282" spans="32:38" ht="14.1" customHeight="1" x14ac:dyDescent="0.45">
      <c r="AF282" s="988">
        <f>'DIY Grundmodell'!R369</f>
        <v>45311</v>
      </c>
      <c r="AG282" s="89" t="e">
        <f>'DIY Grundmodell'!S369</f>
        <v>#N/A</v>
      </c>
      <c r="AH282" s="54" t="e">
        <f>'DIY Grundmodell'!T369</f>
        <v>#N/A</v>
      </c>
      <c r="AI282" s="89">
        <f>'DIY Grundmodell'!U369</f>
        <v>383.45</v>
      </c>
      <c r="AJ282" s="89">
        <f>'DIY Grundmodell'!V369</f>
        <v>0</v>
      </c>
      <c r="AK282" s="989"/>
      <c r="AL282" s="33">
        <f>'DIY Grundmodell'!X369</f>
        <v>4839.81142</v>
      </c>
    </row>
    <row r="283" spans="32:38" ht="14.1" customHeight="1" x14ac:dyDescent="0.45">
      <c r="AF283" s="988">
        <f>'DIY Grundmodell'!R370</f>
        <v>45312</v>
      </c>
      <c r="AG283" s="89" t="e">
        <f>'DIY Grundmodell'!S370</f>
        <v>#N/A</v>
      </c>
      <c r="AH283" s="54" t="e">
        <f>'DIY Grundmodell'!T370</f>
        <v>#N/A</v>
      </c>
      <c r="AI283" s="89">
        <f>'DIY Grundmodell'!U370</f>
        <v>383.45</v>
      </c>
      <c r="AJ283" s="89">
        <f>'DIY Grundmodell'!V370</f>
        <v>0</v>
      </c>
      <c r="AK283" s="989"/>
      <c r="AL283" s="33">
        <f>'DIY Grundmodell'!X370</f>
        <v>4839.81142</v>
      </c>
    </row>
    <row r="284" spans="32:38" ht="14.1" customHeight="1" x14ac:dyDescent="0.45">
      <c r="AF284" s="988">
        <f>'DIY Grundmodell'!R371</f>
        <v>45313</v>
      </c>
      <c r="AG284" s="89">
        <f>'DIY Grundmodell'!S371</f>
        <v>381.78</v>
      </c>
      <c r="AH284" s="54">
        <f>'DIY Grundmodell'!T371</f>
        <v>6750.0437300000003</v>
      </c>
      <c r="AI284" s="89">
        <f>'DIY Grundmodell'!U371</f>
        <v>381.78</v>
      </c>
      <c r="AJ284" s="89">
        <f>'DIY Grundmodell'!V371</f>
        <v>6750.0437300000003</v>
      </c>
      <c r="AK284" s="989"/>
      <c r="AL284" s="33">
        <f>'DIY Grundmodell'!X371</f>
        <v>4850.4256699999996</v>
      </c>
    </row>
    <row r="285" spans="32:38" ht="14.1" customHeight="1" x14ac:dyDescent="0.45">
      <c r="AF285" s="988">
        <f>'DIY Grundmodell'!R372</f>
        <v>45314</v>
      </c>
      <c r="AG285" s="89">
        <f>'DIY Grundmodell'!S372</f>
        <v>385.2</v>
      </c>
      <c r="AH285" s="54">
        <f>'DIY Grundmodell'!T372</f>
        <v>5972.9481800000003</v>
      </c>
      <c r="AI285" s="89">
        <f>'DIY Grundmodell'!U372</f>
        <v>385.2</v>
      </c>
      <c r="AJ285" s="89">
        <f>'DIY Grundmodell'!V372</f>
        <v>5972.9481800000003</v>
      </c>
      <c r="AK285" s="989"/>
      <c r="AL285" s="33">
        <f>'DIY Grundmodell'!X372</f>
        <v>4864.5967199999996</v>
      </c>
    </row>
    <row r="286" spans="32:38" ht="14.1" customHeight="1" x14ac:dyDescent="0.45">
      <c r="AF286" s="988">
        <f>'DIY Grundmodell'!R373</f>
        <v>45315</v>
      </c>
      <c r="AG286" s="89">
        <f>'DIY Grundmodell'!S373</f>
        <v>390.7</v>
      </c>
      <c r="AH286" s="54">
        <f>'DIY Grundmodell'!T373</f>
        <v>6096.5941499999999</v>
      </c>
      <c r="AI286" s="89">
        <f>'DIY Grundmodell'!U373</f>
        <v>390.7</v>
      </c>
      <c r="AJ286" s="89">
        <f>'DIY Grundmodell'!V373</f>
        <v>6096.5941499999999</v>
      </c>
      <c r="AK286" s="989"/>
      <c r="AL286" s="33">
        <f>'DIY Grundmodell'!X373</f>
        <v>4868.5539200000003</v>
      </c>
    </row>
    <row r="287" spans="32:38" ht="14.1" customHeight="1" x14ac:dyDescent="0.45">
      <c r="AF287" s="988">
        <f>'DIY Grundmodell'!R374</f>
        <v>45316</v>
      </c>
      <c r="AG287" s="89">
        <f>'DIY Grundmodell'!S374</f>
        <v>393.18</v>
      </c>
      <c r="AH287" s="54">
        <f>'DIY Grundmodell'!T374</f>
        <v>5933.5108300000002</v>
      </c>
      <c r="AI287" s="89">
        <f>'DIY Grundmodell'!U374</f>
        <v>393.18</v>
      </c>
      <c r="AJ287" s="89">
        <f>'DIY Grundmodell'!V374</f>
        <v>5933.5108300000002</v>
      </c>
      <c r="AK287" s="989"/>
      <c r="AL287" s="33">
        <f>'DIY Grundmodell'!X374</f>
        <v>4894.1555799999996</v>
      </c>
    </row>
    <row r="288" spans="32:38" ht="14.1" customHeight="1" x14ac:dyDescent="0.45">
      <c r="AF288" s="988">
        <f>'DIY Grundmodell'!R375</f>
        <v>45317</v>
      </c>
      <c r="AG288" s="89">
        <f>'DIY Grundmodell'!S375</f>
        <v>394.14</v>
      </c>
      <c r="AH288" s="54">
        <f>'DIY Grundmodell'!T375</f>
        <v>5186.6025600000003</v>
      </c>
      <c r="AI288" s="89">
        <f>'DIY Grundmodell'!U375</f>
        <v>394.14</v>
      </c>
      <c r="AJ288" s="89">
        <f>'DIY Grundmodell'!V375</f>
        <v>5186.6025600000003</v>
      </c>
      <c r="AK288" s="989"/>
      <c r="AL288" s="33">
        <f>'DIY Grundmodell'!X375</f>
        <v>4890.9705100000001</v>
      </c>
    </row>
    <row r="289" spans="32:38" ht="14.1" customHeight="1" x14ac:dyDescent="0.45">
      <c r="AF289" s="988">
        <f>'DIY Grundmodell'!R376</f>
        <v>45318</v>
      </c>
      <c r="AG289" s="89" t="e">
        <f>'DIY Grundmodell'!S376</f>
        <v>#N/A</v>
      </c>
      <c r="AH289" s="54" t="e">
        <f>'DIY Grundmodell'!T376</f>
        <v>#N/A</v>
      </c>
      <c r="AI289" s="89">
        <f>'DIY Grundmodell'!U376</f>
        <v>394.14</v>
      </c>
      <c r="AJ289" s="89">
        <f>'DIY Grundmodell'!V376</f>
        <v>0</v>
      </c>
      <c r="AK289" s="989"/>
      <c r="AL289" s="33">
        <f>'DIY Grundmodell'!X376</f>
        <v>4890.9705100000001</v>
      </c>
    </row>
    <row r="290" spans="32:38" ht="14.1" customHeight="1" x14ac:dyDescent="0.45">
      <c r="AF290" s="988">
        <f>'DIY Grundmodell'!R377</f>
        <v>45319</v>
      </c>
      <c r="AG290" s="89" t="e">
        <f>'DIY Grundmodell'!S377</f>
        <v>#N/A</v>
      </c>
      <c r="AH290" s="54" t="e">
        <f>'DIY Grundmodell'!T377</f>
        <v>#N/A</v>
      </c>
      <c r="AI290" s="89">
        <f>'DIY Grundmodell'!U377</f>
        <v>394.14</v>
      </c>
      <c r="AJ290" s="89">
        <f>'DIY Grundmodell'!V377</f>
        <v>0</v>
      </c>
      <c r="AK290" s="989"/>
      <c r="AL290" s="33">
        <f>'DIY Grundmodell'!X377</f>
        <v>4890.9705100000001</v>
      </c>
    </row>
    <row r="291" spans="32:38" ht="14.1" customHeight="1" x14ac:dyDescent="0.45">
      <c r="AF291" s="988">
        <f>'DIY Grundmodell'!R378</f>
        <v>45320</v>
      </c>
      <c r="AG291" s="89">
        <f>'DIY Grundmodell'!S378</f>
        <v>401.02</v>
      </c>
      <c r="AH291" s="54">
        <f>'DIY Grundmodell'!T378</f>
        <v>7516.0904799999998</v>
      </c>
      <c r="AI291" s="89">
        <f>'DIY Grundmodell'!U378</f>
        <v>401.02</v>
      </c>
      <c r="AJ291" s="89">
        <f>'DIY Grundmodell'!V378</f>
        <v>7516.0904799999998</v>
      </c>
      <c r="AK291" s="989"/>
      <c r="AL291" s="33">
        <f>'DIY Grundmodell'!X378</f>
        <v>4927.9288200000001</v>
      </c>
    </row>
    <row r="292" spans="32:38" ht="14.1" customHeight="1" x14ac:dyDescent="0.45">
      <c r="AF292" s="988">
        <f>'DIY Grundmodell'!R379</f>
        <v>45321</v>
      </c>
      <c r="AG292" s="89">
        <f>'DIY Grundmodell'!S379</f>
        <v>400.06</v>
      </c>
      <c r="AH292" s="54">
        <f>'DIY Grundmodell'!T379</f>
        <v>7447.0076799999997</v>
      </c>
      <c r="AI292" s="89">
        <f>'DIY Grundmodell'!U379</f>
        <v>400.06</v>
      </c>
      <c r="AJ292" s="89">
        <f>'DIY Grundmodell'!V379</f>
        <v>7447.0076799999997</v>
      </c>
      <c r="AK292" s="989"/>
      <c r="AL292" s="33">
        <f>'DIY Grundmodell'!X379</f>
        <v>4924.9738900000002</v>
      </c>
    </row>
    <row r="293" spans="32:38" ht="14.1" customHeight="1" x14ac:dyDescent="0.45">
      <c r="AF293" s="988">
        <f>'DIY Grundmodell'!R380</f>
        <v>45322</v>
      </c>
      <c r="AG293" s="89">
        <f>'DIY Grundmodell'!S380</f>
        <v>390.14</v>
      </c>
      <c r="AH293" s="54">
        <f>'DIY Grundmodell'!T380</f>
        <v>7873.3439399999997</v>
      </c>
      <c r="AI293" s="89">
        <f>'DIY Grundmodell'!U380</f>
        <v>390.14</v>
      </c>
      <c r="AJ293" s="89">
        <f>'DIY Grundmodell'!V380</f>
        <v>7873.3439399999997</v>
      </c>
      <c r="AK293" s="989"/>
      <c r="AL293" s="33">
        <f>'DIY Grundmodell'!X380</f>
        <v>4845.6471799999999</v>
      </c>
    </row>
    <row r="294" spans="32:38" ht="14.1" customHeight="1" x14ac:dyDescent="0.45">
      <c r="AF294" s="988">
        <f>'DIY Grundmodell'!R381</f>
        <v>45323</v>
      </c>
      <c r="AG294" s="89">
        <f>'DIY Grundmodell'!S381</f>
        <v>394.78</v>
      </c>
      <c r="AH294" s="54">
        <f>'DIY Grundmodell'!T381</f>
        <v>11735.645189999999</v>
      </c>
      <c r="AI294" s="89">
        <f>'DIY Grundmodell'!U381</f>
        <v>394.78</v>
      </c>
      <c r="AJ294" s="89">
        <f>'DIY Grundmodell'!V381</f>
        <v>11735.645189999999</v>
      </c>
      <c r="AK294" s="989"/>
      <c r="AL294" s="33">
        <f>'DIY Grundmodell'!X381</f>
        <v>4906.1940400000003</v>
      </c>
    </row>
    <row r="295" spans="32:38" ht="14.1" customHeight="1" x14ac:dyDescent="0.45">
      <c r="AF295" s="988">
        <f>'DIY Grundmodell'!R382</f>
        <v>45324</v>
      </c>
      <c r="AG295" s="89">
        <f>'DIY Grundmodell'!S382</f>
        <v>474.99</v>
      </c>
      <c r="AH295" s="54">
        <f>'DIY Grundmodell'!T382</f>
        <v>40235.284769999998</v>
      </c>
      <c r="AI295" s="89">
        <f>'DIY Grundmodell'!U382</f>
        <v>474.99</v>
      </c>
      <c r="AJ295" s="89">
        <f>'DIY Grundmodell'!V382</f>
        <v>40235.284769999998</v>
      </c>
      <c r="AK295" s="989"/>
      <c r="AL295" s="33">
        <f>'DIY Grundmodell'!X382</f>
        <v>4958.6138899999996</v>
      </c>
    </row>
    <row r="296" spans="32:38" ht="14.1" customHeight="1" x14ac:dyDescent="0.45">
      <c r="AF296" s="988">
        <f>'DIY Grundmodell'!R383</f>
        <v>45325</v>
      </c>
      <c r="AG296" s="89" t="e">
        <f>'DIY Grundmodell'!S383</f>
        <v>#N/A</v>
      </c>
      <c r="AH296" s="54" t="e">
        <f>'DIY Grundmodell'!T383</f>
        <v>#N/A</v>
      </c>
      <c r="AI296" s="89">
        <f>'DIY Grundmodell'!U383</f>
        <v>474.99</v>
      </c>
      <c r="AJ296" s="89">
        <f>'DIY Grundmodell'!V383</f>
        <v>0</v>
      </c>
      <c r="AK296" s="989"/>
      <c r="AL296" s="33">
        <f>'DIY Grundmodell'!X383</f>
        <v>4958.6138899999996</v>
      </c>
    </row>
    <row r="297" spans="32:38" ht="14.1" customHeight="1" x14ac:dyDescent="0.45">
      <c r="AF297" s="988">
        <f>'DIY Grundmodell'!R384</f>
        <v>45326</v>
      </c>
      <c r="AG297" s="89" t="e">
        <f>'DIY Grundmodell'!S384</f>
        <v>#N/A</v>
      </c>
      <c r="AH297" s="54" t="e">
        <f>'DIY Grundmodell'!T384</f>
        <v>#N/A</v>
      </c>
      <c r="AI297" s="89">
        <f>'DIY Grundmodell'!U384</f>
        <v>474.99</v>
      </c>
      <c r="AJ297" s="89">
        <f>'DIY Grundmodell'!V384</f>
        <v>0</v>
      </c>
      <c r="AK297" s="989"/>
      <c r="AL297" s="33">
        <f>'DIY Grundmodell'!X384</f>
        <v>4958.6138899999996</v>
      </c>
    </row>
    <row r="298" spans="32:38" ht="14.1" customHeight="1" x14ac:dyDescent="0.45">
      <c r="AF298" s="988">
        <f>'DIY Grundmodell'!R385</f>
        <v>45327</v>
      </c>
      <c r="AG298" s="89">
        <f>'DIY Grundmodell'!S385</f>
        <v>459.41</v>
      </c>
      <c r="AH298" s="54">
        <f>'DIY Grundmodell'!T385</f>
        <v>18758.80186</v>
      </c>
      <c r="AI298" s="89">
        <f>'DIY Grundmodell'!U385</f>
        <v>459.41</v>
      </c>
      <c r="AJ298" s="89">
        <f>'DIY Grundmodell'!V385</f>
        <v>18758.80186</v>
      </c>
      <c r="AK298" s="989"/>
      <c r="AL298" s="33">
        <f>'DIY Grundmodell'!X385</f>
        <v>4942.8058799999999</v>
      </c>
    </row>
    <row r="299" spans="32:38" ht="14.1" customHeight="1" x14ac:dyDescent="0.45">
      <c r="AF299" s="988">
        <f>'DIY Grundmodell'!R386</f>
        <v>45328</v>
      </c>
      <c r="AG299" s="89">
        <f>'DIY Grundmodell'!S386</f>
        <v>454.72</v>
      </c>
      <c r="AH299" s="54">
        <f>'DIY Grundmodell'!T386</f>
        <v>9847.0589099999997</v>
      </c>
      <c r="AI299" s="89">
        <f>'DIY Grundmodell'!U386</f>
        <v>454.72</v>
      </c>
      <c r="AJ299" s="89">
        <f>'DIY Grundmodell'!V386</f>
        <v>9847.0589099999997</v>
      </c>
      <c r="AK299" s="989"/>
      <c r="AL299" s="33">
        <f>'DIY Grundmodell'!X386</f>
        <v>4954.2305100000003</v>
      </c>
    </row>
    <row r="300" spans="32:38" ht="14.1" customHeight="1" x14ac:dyDescent="0.45">
      <c r="AF300" s="988">
        <f>'DIY Grundmodell'!R387</f>
        <v>45329</v>
      </c>
      <c r="AG300" s="89">
        <f>'DIY Grundmodell'!S387</f>
        <v>469.59</v>
      </c>
      <c r="AH300" s="54">
        <f>'DIY Grundmodell'!T387</f>
        <v>10831.56012</v>
      </c>
      <c r="AI300" s="89">
        <f>'DIY Grundmodell'!U387</f>
        <v>469.59</v>
      </c>
      <c r="AJ300" s="89">
        <f>'DIY Grundmodell'!V387</f>
        <v>10831.56012</v>
      </c>
      <c r="AK300" s="989"/>
      <c r="AL300" s="33">
        <f>'DIY Grundmodell'!X387</f>
        <v>4995.0558499999997</v>
      </c>
    </row>
    <row r="301" spans="32:38" ht="14.1" customHeight="1" x14ac:dyDescent="0.45">
      <c r="AF301" s="988">
        <f>'DIY Grundmodell'!R388</f>
        <v>45330</v>
      </c>
      <c r="AG301" s="89">
        <f>'DIY Grundmodell'!S388</f>
        <v>470</v>
      </c>
      <c r="AH301" s="54">
        <f>'DIY Grundmodell'!T388</f>
        <v>8843.0955900000008</v>
      </c>
      <c r="AI301" s="89">
        <f>'DIY Grundmodell'!U388</f>
        <v>470</v>
      </c>
      <c r="AJ301" s="89">
        <f>'DIY Grundmodell'!V388</f>
        <v>8843.0955900000008</v>
      </c>
      <c r="AK301" s="989"/>
      <c r="AL301" s="33">
        <f>'DIY Grundmodell'!X388</f>
        <v>4997.9053700000004</v>
      </c>
    </row>
    <row r="302" spans="32:38" ht="14.1" customHeight="1" x14ac:dyDescent="0.45">
      <c r="AF302" s="988">
        <f>'DIY Grundmodell'!R389</f>
        <v>45331</v>
      </c>
      <c r="AG302" s="89">
        <f>'DIY Grundmodell'!S389</f>
        <v>468.11</v>
      </c>
      <c r="AH302" s="54">
        <f>'DIY Grundmodell'!T389</f>
        <v>8619.37356</v>
      </c>
      <c r="AI302" s="89">
        <f>'DIY Grundmodell'!U389</f>
        <v>468.11</v>
      </c>
      <c r="AJ302" s="89">
        <f>'DIY Grundmodell'!V389</f>
        <v>8619.37356</v>
      </c>
      <c r="AK302" s="989"/>
      <c r="AL302" s="33">
        <f>'DIY Grundmodell'!X389</f>
        <v>5026.6085800000001</v>
      </c>
    </row>
    <row r="303" spans="32:38" ht="14.1" customHeight="1" x14ac:dyDescent="0.45">
      <c r="AF303" s="988">
        <f>'DIY Grundmodell'!R390</f>
        <v>45332</v>
      </c>
      <c r="AG303" s="89" t="e">
        <f>'DIY Grundmodell'!S390</f>
        <v>#N/A</v>
      </c>
      <c r="AH303" s="54" t="e">
        <f>'DIY Grundmodell'!T390</f>
        <v>#N/A</v>
      </c>
      <c r="AI303" s="89">
        <f>'DIY Grundmodell'!U390</f>
        <v>468.11</v>
      </c>
      <c r="AJ303" s="89">
        <f>'DIY Grundmodell'!V390</f>
        <v>0</v>
      </c>
      <c r="AK303" s="989"/>
      <c r="AL303" s="33">
        <f>'DIY Grundmodell'!X390</f>
        <v>5026.6085800000001</v>
      </c>
    </row>
    <row r="304" spans="32:38" ht="14.1" customHeight="1" x14ac:dyDescent="0.45">
      <c r="AF304" s="988">
        <f>'DIY Grundmodell'!R391</f>
        <v>45333</v>
      </c>
      <c r="AG304" s="89" t="e">
        <f>'DIY Grundmodell'!S391</f>
        <v>#N/A</v>
      </c>
      <c r="AH304" s="54" t="e">
        <f>'DIY Grundmodell'!T391</f>
        <v>#N/A</v>
      </c>
      <c r="AI304" s="89">
        <f>'DIY Grundmodell'!U391</f>
        <v>468.11</v>
      </c>
      <c r="AJ304" s="89">
        <f>'DIY Grundmodell'!V391</f>
        <v>0</v>
      </c>
      <c r="AK304" s="989"/>
      <c r="AL304" s="33">
        <f>'DIY Grundmodell'!X391</f>
        <v>5026.6085800000001</v>
      </c>
    </row>
    <row r="305" spans="32:38" ht="14.1" customHeight="1" x14ac:dyDescent="0.45">
      <c r="AF305" s="988">
        <f>'DIY Grundmodell'!R392</f>
        <v>45334</v>
      </c>
      <c r="AG305" s="89">
        <f>'DIY Grundmodell'!S392</f>
        <v>468.9</v>
      </c>
      <c r="AH305" s="54">
        <f>'DIY Grundmodell'!T392</f>
        <v>9088.2024500000007</v>
      </c>
      <c r="AI305" s="89">
        <f>'DIY Grundmodell'!U392</f>
        <v>468.9</v>
      </c>
      <c r="AJ305" s="89">
        <f>'DIY Grundmodell'!V392</f>
        <v>9088.2024500000007</v>
      </c>
      <c r="AK305" s="989"/>
      <c r="AL305" s="33">
        <f>'DIY Grundmodell'!X392</f>
        <v>5021.8444799999997</v>
      </c>
    </row>
    <row r="306" spans="32:38" ht="14.1" customHeight="1" x14ac:dyDescent="0.45">
      <c r="AF306" s="988">
        <f>'DIY Grundmodell'!R393</f>
        <v>45335</v>
      </c>
      <c r="AG306" s="89">
        <f>'DIY Grundmodell'!S393</f>
        <v>460.12</v>
      </c>
      <c r="AH306" s="54">
        <f>'DIY Grundmodell'!T393</f>
        <v>9624.1469099999995</v>
      </c>
      <c r="AI306" s="89">
        <f>'DIY Grundmodell'!U393</f>
        <v>460.12</v>
      </c>
      <c r="AJ306" s="89">
        <f>'DIY Grundmodell'!V393</f>
        <v>9624.1469099999995</v>
      </c>
      <c r="AK306" s="989"/>
      <c r="AL306" s="33">
        <f>'DIY Grundmodell'!X393</f>
        <v>4953.16795</v>
      </c>
    </row>
    <row r="307" spans="32:38" ht="14.1" customHeight="1" x14ac:dyDescent="0.45">
      <c r="AF307" s="988">
        <f>'DIY Grundmodell'!R394</f>
        <v>45336</v>
      </c>
      <c r="AG307" s="89">
        <f>'DIY Grundmodell'!S394</f>
        <v>473.28</v>
      </c>
      <c r="AH307" s="54">
        <f>'DIY Grundmodell'!T394</f>
        <v>7978.7440299999998</v>
      </c>
      <c r="AI307" s="89">
        <f>'DIY Grundmodell'!U394</f>
        <v>473.28</v>
      </c>
      <c r="AJ307" s="89">
        <f>'DIY Grundmodell'!V394</f>
        <v>7978.7440299999998</v>
      </c>
      <c r="AK307" s="989"/>
      <c r="AL307" s="33">
        <f>'DIY Grundmodell'!X394</f>
        <v>5000.6200699999999</v>
      </c>
    </row>
    <row r="308" spans="32:38" ht="14.1" customHeight="1" x14ac:dyDescent="0.45">
      <c r="AF308" s="988">
        <f>'DIY Grundmodell'!R395</f>
        <v>45337</v>
      </c>
      <c r="AG308" s="89">
        <f>'DIY Grundmodell'!S395</f>
        <v>484.03</v>
      </c>
      <c r="AH308" s="54">
        <f>'DIY Grundmodell'!T395</f>
        <v>11719.49215</v>
      </c>
      <c r="AI308" s="89">
        <f>'DIY Grundmodell'!U395</f>
        <v>484.03</v>
      </c>
      <c r="AJ308" s="89">
        <f>'DIY Grundmodell'!V395</f>
        <v>11719.49215</v>
      </c>
      <c r="AK308" s="989"/>
      <c r="AL308" s="33">
        <f>'DIY Grundmodell'!X395</f>
        <v>5029.7347099999997</v>
      </c>
    </row>
    <row r="309" spans="32:38" ht="14.1" customHeight="1" x14ac:dyDescent="0.45">
      <c r="AF309" s="988">
        <f>'DIY Grundmodell'!R396</f>
        <v>45338</v>
      </c>
      <c r="AG309" s="89">
        <f>'DIY Grundmodell'!S396</f>
        <v>473.32</v>
      </c>
      <c r="AH309" s="54">
        <f>'DIY Grundmodell'!T396</f>
        <v>11040.00914</v>
      </c>
      <c r="AI309" s="89">
        <f>'DIY Grundmodell'!U396</f>
        <v>473.32</v>
      </c>
      <c r="AJ309" s="89">
        <f>'DIY Grundmodell'!V396</f>
        <v>11040.00914</v>
      </c>
      <c r="AK309" s="989"/>
      <c r="AL309" s="33">
        <f>'DIY Grundmodell'!X396</f>
        <v>5005.5684499999998</v>
      </c>
    </row>
    <row r="310" spans="32:38" ht="14.1" customHeight="1" x14ac:dyDescent="0.45">
      <c r="AF310" s="988">
        <f>'DIY Grundmodell'!R397</f>
        <v>45339</v>
      </c>
      <c r="AG310" s="89" t="e">
        <f>'DIY Grundmodell'!S397</f>
        <v>#N/A</v>
      </c>
      <c r="AH310" s="54" t="e">
        <f>'DIY Grundmodell'!T397</f>
        <v>#N/A</v>
      </c>
      <c r="AI310" s="89">
        <f>'DIY Grundmodell'!U397</f>
        <v>473.32</v>
      </c>
      <c r="AJ310" s="89">
        <f>'DIY Grundmodell'!V397</f>
        <v>0</v>
      </c>
      <c r="AK310" s="989"/>
      <c r="AL310" s="33">
        <f>'DIY Grundmodell'!X397</f>
        <v>5005.5684499999998</v>
      </c>
    </row>
    <row r="311" spans="32:38" ht="14.1" customHeight="1" x14ac:dyDescent="0.45">
      <c r="AF311" s="988">
        <f>'DIY Grundmodell'!R398</f>
        <v>45340</v>
      </c>
      <c r="AG311" s="89" t="e">
        <f>'DIY Grundmodell'!S398</f>
        <v>#N/A</v>
      </c>
      <c r="AH311" s="54" t="e">
        <f>'DIY Grundmodell'!T398</f>
        <v>#N/A</v>
      </c>
      <c r="AI311" s="89">
        <f>'DIY Grundmodell'!U398</f>
        <v>473.32</v>
      </c>
      <c r="AJ311" s="89">
        <f>'DIY Grundmodell'!V398</f>
        <v>0</v>
      </c>
      <c r="AK311" s="989"/>
      <c r="AL311" s="33">
        <f>'DIY Grundmodell'!X398</f>
        <v>5005.5684499999998</v>
      </c>
    </row>
    <row r="312" spans="32:38" ht="14.1" customHeight="1" x14ac:dyDescent="0.45">
      <c r="AF312" s="988">
        <f>'DIY Grundmodell'!R399</f>
        <v>45341</v>
      </c>
      <c r="AG312" s="89" t="e">
        <f>'DIY Grundmodell'!S399</f>
        <v>#N/A</v>
      </c>
      <c r="AH312" s="54" t="e">
        <f>'DIY Grundmodell'!T399</f>
        <v>#N/A</v>
      </c>
      <c r="AI312" s="89">
        <f>'DIY Grundmodell'!U399</f>
        <v>473.32</v>
      </c>
      <c r="AJ312" s="89">
        <f>'DIY Grundmodell'!V399</f>
        <v>0</v>
      </c>
      <c r="AK312" s="989"/>
      <c r="AL312" s="33">
        <f>'DIY Grundmodell'!X399</f>
        <v>5005.5684499999998</v>
      </c>
    </row>
    <row r="313" spans="32:38" ht="14.1" customHeight="1" x14ac:dyDescent="0.45">
      <c r="AF313" s="988">
        <f>'DIY Grundmodell'!R400</f>
        <v>45342</v>
      </c>
      <c r="AG313" s="89">
        <f>'DIY Grundmodell'!S400</f>
        <v>471.75</v>
      </c>
      <c r="AH313" s="54">
        <f>'DIY Grundmodell'!T400</f>
        <v>8498.8229800000008</v>
      </c>
      <c r="AI313" s="89">
        <f>'DIY Grundmodell'!U400</f>
        <v>471.75</v>
      </c>
      <c r="AJ313" s="89">
        <f>'DIY Grundmodell'!V400</f>
        <v>8498.8229800000008</v>
      </c>
      <c r="AK313" s="989"/>
      <c r="AL313" s="33">
        <f>'DIY Grundmodell'!X400</f>
        <v>4975.51127</v>
      </c>
    </row>
    <row r="314" spans="32:38" ht="14.1" customHeight="1" x14ac:dyDescent="0.45">
      <c r="AF314" s="988">
        <f>'DIY Grundmodell'!R401</f>
        <v>45343</v>
      </c>
      <c r="AG314" s="89">
        <f>'DIY Grundmodell'!S401</f>
        <v>468.03</v>
      </c>
      <c r="AH314" s="54">
        <f>'DIY Grundmodell'!T401</f>
        <v>6073.6487100000004</v>
      </c>
      <c r="AI314" s="89">
        <f>'DIY Grundmodell'!U401</f>
        <v>468.03</v>
      </c>
      <c r="AJ314" s="89">
        <f>'DIY Grundmodell'!V401</f>
        <v>6073.6487100000004</v>
      </c>
      <c r="AK314" s="989"/>
      <c r="AL314" s="33">
        <f>'DIY Grundmodell'!X401</f>
        <v>4981.7969999999996</v>
      </c>
    </row>
    <row r="315" spans="32:38" ht="14.1" customHeight="1" x14ac:dyDescent="0.45">
      <c r="AF315" s="988">
        <f>'DIY Grundmodell'!R402</f>
        <v>45344</v>
      </c>
      <c r="AG315" s="89">
        <f>'DIY Grundmodell'!S402</f>
        <v>486.13</v>
      </c>
      <c r="AH315" s="54">
        <f>'DIY Grundmodell'!T402</f>
        <v>10512.952590000001</v>
      </c>
      <c r="AI315" s="89">
        <f>'DIY Grundmodell'!U402</f>
        <v>486.13</v>
      </c>
      <c r="AJ315" s="89">
        <f>'DIY Grundmodell'!V402</f>
        <v>10512.952590000001</v>
      </c>
      <c r="AK315" s="989"/>
      <c r="AL315" s="33">
        <f>'DIY Grundmodell'!X402</f>
        <v>5087.0324300000002</v>
      </c>
    </row>
    <row r="316" spans="32:38" ht="14.1" customHeight="1" x14ac:dyDescent="0.45">
      <c r="AF316" s="988">
        <f>'DIY Grundmodell'!R403</f>
        <v>45345</v>
      </c>
      <c r="AG316" s="89">
        <f>'DIY Grundmodell'!S403</f>
        <v>484.03</v>
      </c>
      <c r="AH316" s="54">
        <f>'DIY Grundmodell'!T403</f>
        <v>8893.7056499999999</v>
      </c>
      <c r="AI316" s="89">
        <f>'DIY Grundmodell'!U403</f>
        <v>484.03</v>
      </c>
      <c r="AJ316" s="89">
        <f>'DIY Grundmodell'!V403</f>
        <v>8893.7056499999999</v>
      </c>
      <c r="AK316" s="989"/>
      <c r="AL316" s="33">
        <f>'DIY Grundmodell'!X403</f>
        <v>5088.7999499999996</v>
      </c>
    </row>
    <row r="317" spans="32:38" ht="14.1" customHeight="1" x14ac:dyDescent="0.45">
      <c r="AF317" s="988">
        <f>'DIY Grundmodell'!R404</f>
        <v>45346</v>
      </c>
      <c r="AG317" s="89" t="e">
        <f>'DIY Grundmodell'!S404</f>
        <v>#N/A</v>
      </c>
      <c r="AH317" s="54" t="e">
        <f>'DIY Grundmodell'!T404</f>
        <v>#N/A</v>
      </c>
      <c r="AI317" s="89">
        <f>'DIY Grundmodell'!U404</f>
        <v>484.03</v>
      </c>
      <c r="AJ317" s="89">
        <f>'DIY Grundmodell'!V404</f>
        <v>0</v>
      </c>
      <c r="AK317" s="989"/>
      <c r="AL317" s="33">
        <f>'DIY Grundmodell'!X404</f>
        <v>5088.7999499999996</v>
      </c>
    </row>
    <row r="318" spans="32:38" ht="14.1" customHeight="1" x14ac:dyDescent="0.45">
      <c r="AF318" s="988">
        <f>'DIY Grundmodell'!R405</f>
        <v>45347</v>
      </c>
      <c r="AG318" s="89" t="e">
        <f>'DIY Grundmodell'!S405</f>
        <v>#N/A</v>
      </c>
      <c r="AH318" s="54" t="e">
        <f>'DIY Grundmodell'!T405</f>
        <v>#N/A</v>
      </c>
      <c r="AI318" s="89">
        <f>'DIY Grundmodell'!U405</f>
        <v>484.03</v>
      </c>
      <c r="AJ318" s="89">
        <f>'DIY Grundmodell'!V405</f>
        <v>0</v>
      </c>
      <c r="AK318" s="989"/>
      <c r="AL318" s="33">
        <f>'DIY Grundmodell'!X405</f>
        <v>5088.7999499999996</v>
      </c>
    </row>
    <row r="319" spans="32:38" ht="14.1" customHeight="1" x14ac:dyDescent="0.45">
      <c r="AF319" s="988">
        <f>'DIY Grundmodell'!R406</f>
        <v>45348</v>
      </c>
      <c r="AG319" s="89">
        <f>'DIY Grundmodell'!S406</f>
        <v>481.74</v>
      </c>
      <c r="AH319" s="54">
        <f>'DIY Grundmodell'!T406</f>
        <v>5829.7356600000003</v>
      </c>
      <c r="AI319" s="89">
        <f>'DIY Grundmodell'!U406</f>
        <v>481.74</v>
      </c>
      <c r="AJ319" s="89">
        <f>'DIY Grundmodell'!V406</f>
        <v>5829.7356600000003</v>
      </c>
      <c r="AK319" s="989"/>
      <c r="AL319" s="33">
        <f>'DIY Grundmodell'!X406</f>
        <v>5069.5305099999996</v>
      </c>
    </row>
    <row r="320" spans="32:38" ht="14.1" customHeight="1" x14ac:dyDescent="0.45">
      <c r="AF320" s="988">
        <f>'DIY Grundmodell'!R407</f>
        <v>45349</v>
      </c>
      <c r="AG320" s="89">
        <f>'DIY Grundmodell'!S407</f>
        <v>487.05</v>
      </c>
      <c r="AH320" s="54">
        <f>'DIY Grundmodell'!T407</f>
        <v>5264.8132500000002</v>
      </c>
      <c r="AI320" s="89">
        <f>'DIY Grundmodell'!U407</f>
        <v>487.05</v>
      </c>
      <c r="AJ320" s="89">
        <f>'DIY Grundmodell'!V407</f>
        <v>5264.8132500000002</v>
      </c>
      <c r="AK320" s="989"/>
      <c r="AL320" s="33">
        <f>'DIY Grundmodell'!X407</f>
        <v>5078.1825200000003</v>
      </c>
    </row>
    <row r="321" spans="32:38" ht="14.1" customHeight="1" x14ac:dyDescent="0.45">
      <c r="AF321" s="988">
        <f>'DIY Grundmodell'!R408</f>
        <v>45350</v>
      </c>
      <c r="AG321" s="89">
        <f>'DIY Grundmodell'!S408</f>
        <v>484.02</v>
      </c>
      <c r="AH321" s="54">
        <f>'DIY Grundmodell'!T408</f>
        <v>6154.5495300000002</v>
      </c>
      <c r="AI321" s="89">
        <f>'DIY Grundmodell'!U408</f>
        <v>484.02</v>
      </c>
      <c r="AJ321" s="89">
        <f>'DIY Grundmodell'!V408</f>
        <v>6154.5495300000002</v>
      </c>
      <c r="AK321" s="989"/>
      <c r="AL321" s="33">
        <f>'DIY Grundmodell'!X408</f>
        <v>5069.7565100000002</v>
      </c>
    </row>
    <row r="322" spans="32:38" ht="14.1" customHeight="1" x14ac:dyDescent="0.45">
      <c r="AF322" s="988">
        <f>'DIY Grundmodell'!R409</f>
        <v>45351</v>
      </c>
      <c r="AG322" s="89">
        <f>'DIY Grundmodell'!S409</f>
        <v>490.13</v>
      </c>
      <c r="AH322" s="54">
        <f>'DIY Grundmodell'!T409</f>
        <v>8691.0072199999995</v>
      </c>
      <c r="AI322" s="89">
        <f>'DIY Grundmodell'!U409</f>
        <v>490.13</v>
      </c>
      <c r="AJ322" s="89">
        <f>'DIY Grundmodell'!V409</f>
        <v>8691.0072199999995</v>
      </c>
      <c r="AK322" s="989"/>
      <c r="AL322" s="33">
        <f>'DIY Grundmodell'!X409</f>
        <v>5096.2695000000003</v>
      </c>
    </row>
    <row r="323" spans="32:38" ht="14.1" customHeight="1" x14ac:dyDescent="0.45">
      <c r="AF323" s="988">
        <f>'DIY Grundmodell'!R410</f>
        <v>45352</v>
      </c>
      <c r="AG323" s="89">
        <f>'DIY Grundmodell'!S410</f>
        <v>502.3</v>
      </c>
      <c r="AH323" s="54">
        <f>'DIY Grundmodell'!T410</f>
        <v>7978.9762300000002</v>
      </c>
      <c r="AI323" s="89">
        <f>'DIY Grundmodell'!U410</f>
        <v>502.3</v>
      </c>
      <c r="AJ323" s="89">
        <f>'DIY Grundmodell'!V410</f>
        <v>7978.9762300000002</v>
      </c>
      <c r="AK323" s="989"/>
      <c r="AL323" s="33">
        <f>'DIY Grundmodell'!X410</f>
        <v>5137.0838000000003</v>
      </c>
    </row>
    <row r="324" spans="32:38" ht="14.1" customHeight="1" x14ac:dyDescent="0.45">
      <c r="AF324" s="988">
        <f>'DIY Grundmodell'!R411</f>
        <v>45353</v>
      </c>
      <c r="AG324" s="89" t="e">
        <f>'DIY Grundmodell'!S411</f>
        <v>#N/A</v>
      </c>
      <c r="AH324" s="54" t="e">
        <f>'DIY Grundmodell'!T411</f>
        <v>#N/A</v>
      </c>
      <c r="AI324" s="89">
        <f>'DIY Grundmodell'!U411</f>
        <v>502.3</v>
      </c>
      <c r="AJ324" s="89">
        <f>'DIY Grundmodell'!V411</f>
        <v>0</v>
      </c>
      <c r="AK324" s="989"/>
      <c r="AL324" s="33">
        <f>'DIY Grundmodell'!X411</f>
        <v>5137.0838000000003</v>
      </c>
    </row>
    <row r="325" spans="32:38" ht="14.1" customHeight="1" x14ac:dyDescent="0.45">
      <c r="AF325" s="988">
        <f>'DIY Grundmodell'!R412</f>
        <v>45354</v>
      </c>
      <c r="AG325" s="89" t="e">
        <f>'DIY Grundmodell'!S412</f>
        <v>#N/A</v>
      </c>
      <c r="AH325" s="54" t="e">
        <f>'DIY Grundmodell'!T412</f>
        <v>#N/A</v>
      </c>
      <c r="AI325" s="89">
        <f>'DIY Grundmodell'!U412</f>
        <v>502.3</v>
      </c>
      <c r="AJ325" s="89">
        <f>'DIY Grundmodell'!V412</f>
        <v>0</v>
      </c>
      <c r="AK325" s="989"/>
      <c r="AL325" s="33">
        <f>'DIY Grundmodell'!X412</f>
        <v>5137.0838000000003</v>
      </c>
    </row>
    <row r="326" spans="32:38" ht="14.1" customHeight="1" x14ac:dyDescent="0.45">
      <c r="AF326" s="988">
        <f>'DIY Grundmodell'!R413</f>
        <v>45355</v>
      </c>
      <c r="AG326" s="89">
        <f>'DIY Grundmodell'!S413</f>
        <v>498.19</v>
      </c>
      <c r="AH326" s="54">
        <f>'DIY Grundmodell'!T413</f>
        <v>6139.7638100000004</v>
      </c>
      <c r="AI326" s="89">
        <f>'DIY Grundmodell'!U413</f>
        <v>498.19</v>
      </c>
      <c r="AJ326" s="89">
        <f>'DIY Grundmodell'!V413</f>
        <v>6139.7638100000004</v>
      </c>
      <c r="AK326" s="989"/>
      <c r="AL326" s="33">
        <f>'DIY Grundmodell'!X413</f>
        <v>5130.9491500000004</v>
      </c>
    </row>
    <row r="327" spans="32:38" ht="14.1" customHeight="1" x14ac:dyDescent="0.45">
      <c r="AF327" s="988">
        <f>'DIY Grundmodell'!R414</f>
        <v>45356</v>
      </c>
      <c r="AG327" s="89">
        <f>'DIY Grundmodell'!S414</f>
        <v>490.22</v>
      </c>
      <c r="AH327" s="54">
        <f>'DIY Grundmodell'!T414</f>
        <v>7512.7680799999998</v>
      </c>
      <c r="AI327" s="89">
        <f>'DIY Grundmodell'!U414</f>
        <v>490.22</v>
      </c>
      <c r="AJ327" s="89">
        <f>'DIY Grundmodell'!V414</f>
        <v>7512.7680799999998</v>
      </c>
      <c r="AK327" s="989"/>
      <c r="AL327" s="33">
        <f>'DIY Grundmodell'!X414</f>
        <v>5078.6540000000005</v>
      </c>
    </row>
    <row r="328" spans="32:38" ht="14.1" customHeight="1" x14ac:dyDescent="0.45">
      <c r="AF328" s="988">
        <f>'DIY Grundmodell'!R415</f>
        <v>45357</v>
      </c>
      <c r="AG328" s="89">
        <f>'DIY Grundmodell'!S415</f>
        <v>496.09</v>
      </c>
      <c r="AH328" s="54">
        <f>'DIY Grundmodell'!T415</f>
        <v>5832.9890100000002</v>
      </c>
      <c r="AI328" s="89">
        <f>'DIY Grundmodell'!U415</f>
        <v>496.09</v>
      </c>
      <c r="AJ328" s="89">
        <f>'DIY Grundmodell'!V415</f>
        <v>5832.9890100000002</v>
      </c>
      <c r="AK328" s="989"/>
      <c r="AL328" s="33">
        <f>'DIY Grundmodell'!X415</f>
        <v>5104.7571600000001</v>
      </c>
    </row>
    <row r="329" spans="32:38" ht="14.1" customHeight="1" x14ac:dyDescent="0.45">
      <c r="AF329" s="988">
        <f>'DIY Grundmodell'!R416</f>
        <v>45358</v>
      </c>
      <c r="AG329" s="89">
        <f>'DIY Grundmodell'!S416</f>
        <v>512.19000000000005</v>
      </c>
      <c r="AH329" s="54">
        <f>'DIY Grundmodell'!T416</f>
        <v>9519.7871699999996</v>
      </c>
      <c r="AI329" s="89">
        <f>'DIY Grundmodell'!U416</f>
        <v>512.19000000000005</v>
      </c>
      <c r="AJ329" s="89">
        <f>'DIY Grundmodell'!V416</f>
        <v>9519.7871699999996</v>
      </c>
      <c r="AK329" s="989"/>
      <c r="AL329" s="33">
        <f>'DIY Grundmodell'!X416</f>
        <v>5157.3592799999997</v>
      </c>
    </row>
    <row r="330" spans="32:38" ht="14.1" customHeight="1" x14ac:dyDescent="0.45">
      <c r="AF330" s="988">
        <f>'DIY Grundmodell'!R417</f>
        <v>45359</v>
      </c>
      <c r="AG330" s="89">
        <f>'DIY Grundmodell'!S417</f>
        <v>505.95</v>
      </c>
      <c r="AH330" s="54">
        <f>'DIY Grundmodell'!T417</f>
        <v>9409.1820000000007</v>
      </c>
      <c r="AI330" s="89">
        <f>'DIY Grundmodell'!U417</f>
        <v>505.95</v>
      </c>
      <c r="AJ330" s="89">
        <f>'DIY Grundmodell'!V417</f>
        <v>9409.1820000000007</v>
      </c>
      <c r="AK330" s="989"/>
      <c r="AL330" s="33">
        <f>'DIY Grundmodell'!X417</f>
        <v>5123.6910900000003</v>
      </c>
    </row>
    <row r="331" spans="32:38" ht="14.1" customHeight="1" x14ac:dyDescent="0.45">
      <c r="AF331" s="988">
        <f>'DIY Grundmodell'!R418</f>
        <v>45360</v>
      </c>
      <c r="AG331" s="89" t="e">
        <f>'DIY Grundmodell'!S418</f>
        <v>#N/A</v>
      </c>
      <c r="AH331" s="54" t="e">
        <f>'DIY Grundmodell'!T418</f>
        <v>#N/A</v>
      </c>
      <c r="AI331" s="89">
        <f>'DIY Grundmodell'!U418</f>
        <v>505.95</v>
      </c>
      <c r="AJ331" s="89">
        <f>'DIY Grundmodell'!V418</f>
        <v>0</v>
      </c>
      <c r="AK331" s="989"/>
      <c r="AL331" s="33">
        <f>'DIY Grundmodell'!X418</f>
        <v>5123.6910900000003</v>
      </c>
    </row>
    <row r="332" spans="32:38" ht="14.1" customHeight="1" x14ac:dyDescent="0.45">
      <c r="AF332" s="988">
        <f>'DIY Grundmodell'!R419</f>
        <v>45361</v>
      </c>
      <c r="AG332" s="89" t="e">
        <f>'DIY Grundmodell'!S419</f>
        <v>#N/A</v>
      </c>
      <c r="AH332" s="54" t="e">
        <f>'DIY Grundmodell'!T419</f>
        <v>#N/A</v>
      </c>
      <c r="AI332" s="89">
        <f>'DIY Grundmodell'!U419</f>
        <v>505.95</v>
      </c>
      <c r="AJ332" s="89">
        <f>'DIY Grundmodell'!V419</f>
        <v>0</v>
      </c>
      <c r="AK332" s="989"/>
      <c r="AL332" s="33">
        <f>'DIY Grundmodell'!X419</f>
        <v>5123.6910900000003</v>
      </c>
    </row>
    <row r="333" spans="32:38" ht="14.1" customHeight="1" x14ac:dyDescent="0.45">
      <c r="AF333" s="988">
        <f>'DIY Grundmodell'!R420</f>
        <v>45362</v>
      </c>
      <c r="AG333" s="89">
        <f>'DIY Grundmodell'!S420</f>
        <v>483.59</v>
      </c>
      <c r="AH333" s="54">
        <f>'DIY Grundmodell'!T420</f>
        <v>9878.9090199999991</v>
      </c>
      <c r="AI333" s="89">
        <f>'DIY Grundmodell'!U420</f>
        <v>483.59</v>
      </c>
      <c r="AJ333" s="89">
        <f>'DIY Grundmodell'!V420</f>
        <v>9878.9090199999991</v>
      </c>
      <c r="AK333" s="989"/>
      <c r="AL333" s="33">
        <f>'DIY Grundmodell'!X420</f>
        <v>5117.9367599999996</v>
      </c>
    </row>
    <row r="334" spans="32:38" ht="14.1" customHeight="1" x14ac:dyDescent="0.45">
      <c r="AF334" s="988">
        <f>'DIY Grundmodell'!R421</f>
        <v>45363</v>
      </c>
      <c r="AG334" s="89">
        <f>'DIY Grundmodell'!S421</f>
        <v>499.75</v>
      </c>
      <c r="AH334" s="54">
        <f>'DIY Grundmodell'!T421</f>
        <v>7720.2539399999996</v>
      </c>
      <c r="AI334" s="89">
        <f>'DIY Grundmodell'!U421</f>
        <v>499.75</v>
      </c>
      <c r="AJ334" s="89">
        <f>'DIY Grundmodell'!V421</f>
        <v>7720.2539399999996</v>
      </c>
      <c r="AK334" s="989"/>
      <c r="AL334" s="33">
        <f>'DIY Grundmodell'!X421</f>
        <v>5175.2676199999996</v>
      </c>
    </row>
    <row r="335" spans="32:38" ht="14.1" customHeight="1" x14ac:dyDescent="0.45">
      <c r="AF335" s="988">
        <f>'DIY Grundmodell'!R422</f>
        <v>45364</v>
      </c>
      <c r="AG335" s="89">
        <f>'DIY Grundmodell'!S422</f>
        <v>495.57</v>
      </c>
      <c r="AH335" s="54">
        <f>'DIY Grundmodell'!T422</f>
        <v>5991.7663899999998</v>
      </c>
      <c r="AI335" s="89">
        <f>'DIY Grundmodell'!U422</f>
        <v>495.57</v>
      </c>
      <c r="AJ335" s="89">
        <f>'DIY Grundmodell'!V422</f>
        <v>5991.7663899999998</v>
      </c>
      <c r="AK335" s="989"/>
      <c r="AL335" s="33">
        <f>'DIY Grundmodell'!X422</f>
        <v>5165.31185</v>
      </c>
    </row>
    <row r="336" spans="32:38" ht="14.1" customHeight="1" x14ac:dyDescent="0.45">
      <c r="AF336" s="988">
        <f>'DIY Grundmodell'!R423</f>
        <v>45365</v>
      </c>
      <c r="AG336" s="89">
        <f>'DIY Grundmodell'!S423</f>
        <v>491.83</v>
      </c>
      <c r="AH336" s="54">
        <f>'DIY Grundmodell'!T423</f>
        <v>6206.9014900000002</v>
      </c>
      <c r="AI336" s="89">
        <f>'DIY Grundmodell'!U423</f>
        <v>491.83</v>
      </c>
      <c r="AJ336" s="89">
        <f>'DIY Grundmodell'!V423</f>
        <v>6206.9014900000002</v>
      </c>
      <c r="AK336" s="989"/>
      <c r="AL336" s="33">
        <f>'DIY Grundmodell'!X423</f>
        <v>5150.4799199999998</v>
      </c>
    </row>
    <row r="337" spans="32:38" ht="14.1" customHeight="1" x14ac:dyDescent="0.45">
      <c r="AF337" s="988">
        <f>'DIY Grundmodell'!R424</f>
        <v>45366</v>
      </c>
      <c r="AG337" s="89">
        <f>'DIY Grundmodell'!S424</f>
        <v>484.1</v>
      </c>
      <c r="AH337" s="54">
        <f>'DIY Grundmodell'!T424</f>
        <v>14113.246139999999</v>
      </c>
      <c r="AI337" s="89">
        <f>'DIY Grundmodell'!U424</f>
        <v>484.1</v>
      </c>
      <c r="AJ337" s="89">
        <f>'DIY Grundmodell'!V424</f>
        <v>14113.246139999999</v>
      </c>
      <c r="AK337" s="989"/>
      <c r="AL337" s="33">
        <f>'DIY Grundmodell'!X424</f>
        <v>5117.0882199999996</v>
      </c>
    </row>
    <row r="338" spans="32:38" ht="14.1" customHeight="1" x14ac:dyDescent="0.45">
      <c r="AF338" s="988">
        <f>'DIY Grundmodell'!R425</f>
        <v>45367</v>
      </c>
      <c r="AG338" s="89" t="e">
        <f>'DIY Grundmodell'!S425</f>
        <v>#N/A</v>
      </c>
      <c r="AH338" s="54" t="e">
        <f>'DIY Grundmodell'!T425</f>
        <v>#N/A</v>
      </c>
      <c r="AI338" s="89">
        <f>'DIY Grundmodell'!U425</f>
        <v>484.1</v>
      </c>
      <c r="AJ338" s="89">
        <f>'DIY Grundmodell'!V425</f>
        <v>0</v>
      </c>
      <c r="AK338" s="989"/>
      <c r="AL338" s="33">
        <f>'DIY Grundmodell'!X425</f>
        <v>5117.0882199999996</v>
      </c>
    </row>
    <row r="339" spans="32:38" ht="14.1" customHeight="1" x14ac:dyDescent="0.45">
      <c r="AF339" s="988">
        <f>'DIY Grundmodell'!R426</f>
        <v>45368</v>
      </c>
      <c r="AG339" s="89" t="e">
        <f>'DIY Grundmodell'!S426</f>
        <v>#N/A</v>
      </c>
      <c r="AH339" s="54" t="e">
        <f>'DIY Grundmodell'!T426</f>
        <v>#N/A</v>
      </c>
      <c r="AI339" s="89">
        <f>'DIY Grundmodell'!U426</f>
        <v>484.1</v>
      </c>
      <c r="AJ339" s="89">
        <f>'DIY Grundmodell'!V426</f>
        <v>0</v>
      </c>
      <c r="AK339" s="989"/>
      <c r="AL339" s="33">
        <f>'DIY Grundmodell'!X426</f>
        <v>5117.0882199999996</v>
      </c>
    </row>
    <row r="340" spans="32:38" ht="14.1" customHeight="1" x14ac:dyDescent="0.45">
      <c r="AF340" s="988">
        <f>'DIY Grundmodell'!R427</f>
        <v>45369</v>
      </c>
      <c r="AG340" s="89">
        <f>'DIY Grundmodell'!S427</f>
        <v>496.98</v>
      </c>
      <c r="AH340" s="54">
        <f>'DIY Grundmodell'!T427</f>
        <v>5842.12464</v>
      </c>
      <c r="AI340" s="89">
        <f>'DIY Grundmodell'!U427</f>
        <v>496.98</v>
      </c>
      <c r="AJ340" s="89">
        <f>'DIY Grundmodell'!V427</f>
        <v>5842.12464</v>
      </c>
      <c r="AK340" s="989"/>
      <c r="AL340" s="33">
        <f>'DIY Grundmodell'!X427</f>
        <v>5149.4174700000003</v>
      </c>
    </row>
    <row r="341" spans="32:38" ht="14.1" customHeight="1" x14ac:dyDescent="0.45">
      <c r="AF341" s="988">
        <f>'DIY Grundmodell'!R428</f>
        <v>45370</v>
      </c>
      <c r="AG341" s="89">
        <f>'DIY Grundmodell'!S428</f>
        <v>496.24</v>
      </c>
      <c r="AH341" s="54">
        <f>'DIY Grundmodell'!T428</f>
        <v>5410.5503699999999</v>
      </c>
      <c r="AI341" s="89">
        <f>'DIY Grundmodell'!U428</f>
        <v>496.24</v>
      </c>
      <c r="AJ341" s="89">
        <f>'DIY Grundmodell'!V428</f>
        <v>5410.5503699999999</v>
      </c>
      <c r="AK341" s="989"/>
      <c r="AL341" s="33">
        <f>'DIY Grundmodell'!X428</f>
        <v>5178.5092599999998</v>
      </c>
    </row>
    <row r="342" spans="32:38" ht="14.1" customHeight="1" x14ac:dyDescent="0.45">
      <c r="AF342" s="988">
        <f>'DIY Grundmodell'!R429</f>
        <v>45371</v>
      </c>
      <c r="AG342" s="89">
        <f>'DIY Grundmodell'!S429</f>
        <v>505.52</v>
      </c>
      <c r="AH342" s="54">
        <f>'DIY Grundmodell'!T429</f>
        <v>5920.1952700000002</v>
      </c>
      <c r="AI342" s="89">
        <f>'DIY Grundmodell'!U429</f>
        <v>505.52</v>
      </c>
      <c r="AJ342" s="89">
        <f>'DIY Grundmodell'!V429</f>
        <v>5920.1952700000002</v>
      </c>
      <c r="AK342" s="989"/>
      <c r="AL342" s="33">
        <f>'DIY Grundmodell'!X429</f>
        <v>5224.6232399999999</v>
      </c>
    </row>
    <row r="343" spans="32:38" ht="14.1" customHeight="1" x14ac:dyDescent="0.45">
      <c r="AF343" s="988">
        <f>'DIY Grundmodell'!R430</f>
        <v>45372</v>
      </c>
      <c r="AG343" s="89">
        <f>'DIY Grundmodell'!S430</f>
        <v>507.76</v>
      </c>
      <c r="AH343" s="54">
        <f>'DIY Grundmodell'!T430</f>
        <v>4931.6438799999996</v>
      </c>
      <c r="AI343" s="89">
        <f>'DIY Grundmodell'!U430</f>
        <v>507.76</v>
      </c>
      <c r="AJ343" s="89">
        <f>'DIY Grundmodell'!V430</f>
        <v>4931.6438799999996</v>
      </c>
      <c r="AK343" s="989"/>
      <c r="AL343" s="33">
        <f>'DIY Grundmodell'!X430</f>
        <v>5241.5328</v>
      </c>
    </row>
    <row r="344" spans="32:38" ht="14.1" customHeight="1" x14ac:dyDescent="0.45">
      <c r="AF344" s="988">
        <f>'DIY Grundmodell'!R431</f>
        <v>45373</v>
      </c>
      <c r="AG344" s="89">
        <f>'DIY Grundmodell'!S431</f>
        <v>509.58</v>
      </c>
      <c r="AH344" s="54">
        <f>'DIY Grundmodell'!T431</f>
        <v>4138.0917799999997</v>
      </c>
      <c r="AI344" s="89">
        <f>'DIY Grundmodell'!U431</f>
        <v>509.58</v>
      </c>
      <c r="AJ344" s="89">
        <f>'DIY Grundmodell'!V431</f>
        <v>4138.0917799999997</v>
      </c>
      <c r="AK344" s="989"/>
      <c r="AL344" s="33">
        <f>'DIY Grundmodell'!X431</f>
        <v>5234.1800599999997</v>
      </c>
    </row>
    <row r="345" spans="32:38" ht="14.1" customHeight="1" x14ac:dyDescent="0.45">
      <c r="AF345" s="988">
        <f>'DIY Grundmodell'!R432</f>
        <v>45374</v>
      </c>
      <c r="AG345" s="89" t="e">
        <f>'DIY Grundmodell'!S432</f>
        <v>#N/A</v>
      </c>
      <c r="AH345" s="54" t="e">
        <f>'DIY Grundmodell'!T432</f>
        <v>#N/A</v>
      </c>
      <c r="AI345" s="89">
        <f>'DIY Grundmodell'!U432</f>
        <v>509.58</v>
      </c>
      <c r="AJ345" s="89">
        <f>'DIY Grundmodell'!V432</f>
        <v>0</v>
      </c>
      <c r="AK345" s="989"/>
      <c r="AL345" s="33">
        <f>'DIY Grundmodell'!X432</f>
        <v>5234.1800599999997</v>
      </c>
    </row>
    <row r="346" spans="32:38" ht="14.1" customHeight="1" x14ac:dyDescent="0.45">
      <c r="AF346" s="988">
        <f>'DIY Grundmodell'!R433</f>
        <v>45375</v>
      </c>
      <c r="AG346" s="89" t="e">
        <f>'DIY Grundmodell'!S433</f>
        <v>#N/A</v>
      </c>
      <c r="AH346" s="54" t="e">
        <f>'DIY Grundmodell'!T433</f>
        <v>#N/A</v>
      </c>
      <c r="AI346" s="89">
        <f>'DIY Grundmodell'!U433</f>
        <v>509.58</v>
      </c>
      <c r="AJ346" s="89">
        <f>'DIY Grundmodell'!V433</f>
        <v>0</v>
      </c>
      <c r="AK346" s="989"/>
      <c r="AL346" s="33">
        <f>'DIY Grundmodell'!X433</f>
        <v>5234.1800599999997</v>
      </c>
    </row>
    <row r="347" spans="32:38" ht="14.1" customHeight="1" x14ac:dyDescent="0.45">
      <c r="AF347" s="988">
        <f>'DIY Grundmodell'!R434</f>
        <v>45376</v>
      </c>
      <c r="AG347" s="89">
        <f>'DIY Grundmodell'!S434</f>
        <v>503.02</v>
      </c>
      <c r="AH347" s="54">
        <f>'DIY Grundmodell'!T434</f>
        <v>4215.6179599999996</v>
      </c>
      <c r="AI347" s="89">
        <f>'DIY Grundmodell'!U434</f>
        <v>503.02</v>
      </c>
      <c r="AJ347" s="89">
        <f>'DIY Grundmodell'!V434</f>
        <v>4215.6179599999996</v>
      </c>
      <c r="AK347" s="989"/>
      <c r="AL347" s="33">
        <f>'DIY Grundmodell'!X434</f>
        <v>5218.1866200000004</v>
      </c>
    </row>
    <row r="348" spans="32:38" ht="14.1" customHeight="1" x14ac:dyDescent="0.45">
      <c r="AF348" s="988">
        <f>'DIY Grundmodell'!R435</f>
        <v>45377</v>
      </c>
      <c r="AG348" s="89">
        <f>'DIY Grundmodell'!S435</f>
        <v>495.89</v>
      </c>
      <c r="AH348" s="54">
        <f>'DIY Grundmodell'!T435</f>
        <v>5556.63688</v>
      </c>
      <c r="AI348" s="89">
        <f>'DIY Grundmodell'!U435</f>
        <v>495.89</v>
      </c>
      <c r="AJ348" s="89">
        <f>'DIY Grundmodell'!V435</f>
        <v>5556.63688</v>
      </c>
      <c r="AK348" s="989"/>
      <c r="AL348" s="33">
        <f>'DIY Grundmodell'!X435</f>
        <v>5203.5842000000002</v>
      </c>
    </row>
    <row r="349" spans="32:38" ht="14.1" customHeight="1" x14ac:dyDescent="0.45">
      <c r="AF349" s="988">
        <f>'DIY Grundmodell'!R436</f>
        <v>45378</v>
      </c>
      <c r="AG349" s="89">
        <f>'DIY Grundmodell'!S436</f>
        <v>493.86</v>
      </c>
      <c r="AH349" s="54">
        <f>'DIY Grundmodell'!T436</f>
        <v>4933.5013900000004</v>
      </c>
      <c r="AI349" s="89">
        <f>'DIY Grundmodell'!U436</f>
        <v>493.86</v>
      </c>
      <c r="AJ349" s="89">
        <f>'DIY Grundmodell'!V436</f>
        <v>4933.5013900000004</v>
      </c>
      <c r="AK349" s="989"/>
      <c r="AL349" s="33">
        <f>'DIY Grundmodell'!X436</f>
        <v>5248.4931299999998</v>
      </c>
    </row>
    <row r="350" spans="32:38" ht="14.1" customHeight="1" x14ac:dyDescent="0.45">
      <c r="AF350" s="988">
        <f>'DIY Grundmodell'!R437</f>
        <v>45379</v>
      </c>
      <c r="AG350" s="89">
        <f>'DIY Grundmodell'!S437</f>
        <v>485.58</v>
      </c>
      <c r="AH350" s="54">
        <f>'DIY Grundmodell'!T437</f>
        <v>7387.0139399999998</v>
      </c>
      <c r="AI350" s="89">
        <f>'DIY Grundmodell'!U437</f>
        <v>485.58</v>
      </c>
      <c r="AJ350" s="89">
        <f>'DIY Grundmodell'!V437</f>
        <v>7387.0139399999998</v>
      </c>
      <c r="AK350" s="989"/>
      <c r="AL350" s="33">
        <f>'DIY Grundmodell'!X437</f>
        <v>5254.3544000000002</v>
      </c>
    </row>
    <row r="351" spans="32:38" ht="14.1" customHeight="1" x14ac:dyDescent="0.45">
      <c r="AF351" s="988">
        <f>'DIY Grundmodell'!R438</f>
        <v>45380</v>
      </c>
      <c r="AG351" s="89" t="e">
        <f>'DIY Grundmodell'!S438</f>
        <v>#N/A</v>
      </c>
      <c r="AH351" s="54" t="e">
        <f>'DIY Grundmodell'!T438</f>
        <v>#N/A</v>
      </c>
      <c r="AI351" s="89">
        <f>'DIY Grundmodell'!U438</f>
        <v>485.58</v>
      </c>
      <c r="AJ351" s="89">
        <f>'DIY Grundmodell'!V438</f>
        <v>0</v>
      </c>
      <c r="AK351" s="989"/>
      <c r="AL351" s="33">
        <f>'DIY Grundmodell'!X438</f>
        <v>5254.3544000000002</v>
      </c>
    </row>
    <row r="352" spans="32:38" ht="14.1" customHeight="1" x14ac:dyDescent="0.45">
      <c r="AF352" s="988">
        <f>'DIY Grundmodell'!R439</f>
        <v>45381</v>
      </c>
      <c r="AG352" s="89" t="e">
        <f>'DIY Grundmodell'!S439</f>
        <v>#N/A</v>
      </c>
      <c r="AH352" s="54" t="e">
        <f>'DIY Grundmodell'!T439</f>
        <v>#N/A</v>
      </c>
      <c r="AI352" s="89">
        <f>'DIY Grundmodell'!U439</f>
        <v>485.58</v>
      </c>
      <c r="AJ352" s="89">
        <f>'DIY Grundmodell'!V439</f>
        <v>0</v>
      </c>
      <c r="AK352" s="989"/>
      <c r="AL352" s="33">
        <f>'DIY Grundmodell'!X439</f>
        <v>5254.3544000000002</v>
      </c>
    </row>
    <row r="353" spans="32:38" ht="14.1" customHeight="1" x14ac:dyDescent="0.45">
      <c r="AF353" s="988">
        <f>'DIY Grundmodell'!R440</f>
        <v>45382</v>
      </c>
      <c r="AG353" s="89" t="e">
        <f>'DIY Grundmodell'!S440</f>
        <v>#N/A</v>
      </c>
      <c r="AH353" s="54" t="e">
        <f>'DIY Grundmodell'!T440</f>
        <v>#N/A</v>
      </c>
      <c r="AI353" s="89">
        <f>'DIY Grundmodell'!U440</f>
        <v>485.58</v>
      </c>
      <c r="AJ353" s="89">
        <f>'DIY Grundmodell'!V440</f>
        <v>0</v>
      </c>
      <c r="AK353" s="989"/>
      <c r="AL353" s="33">
        <f>'DIY Grundmodell'!X440</f>
        <v>5254.3544000000002</v>
      </c>
    </row>
    <row r="354" spans="32:38" ht="14.1" customHeight="1" x14ac:dyDescent="0.45">
      <c r="AF354" s="988">
        <f>'DIY Grundmodell'!R441</f>
        <v>45383</v>
      </c>
      <c r="AG354" s="89">
        <f>'DIY Grundmodell'!S441</f>
        <v>491.35</v>
      </c>
      <c r="AH354" s="54">
        <f>'DIY Grundmodell'!T441</f>
        <v>4543.5168899999999</v>
      </c>
      <c r="AI354" s="89">
        <f>'DIY Grundmodell'!U441</f>
        <v>491.35</v>
      </c>
      <c r="AJ354" s="89">
        <f>'DIY Grundmodell'!V441</f>
        <v>4543.5168899999999</v>
      </c>
      <c r="AK354" s="989"/>
      <c r="AL354" s="33">
        <f>'DIY Grundmodell'!X441</f>
        <v>5243.7729499999996</v>
      </c>
    </row>
    <row r="355" spans="32:38" ht="14.1" customHeight="1" x14ac:dyDescent="0.45">
      <c r="AF355" s="988">
        <f>'DIY Grundmodell'!R442</f>
        <v>45384</v>
      </c>
      <c r="AG355" s="89">
        <f>'DIY Grundmodell'!S442</f>
        <v>497.37</v>
      </c>
      <c r="AH355" s="54">
        <f>'DIY Grundmodell'!T442</f>
        <v>5511.3698999999997</v>
      </c>
      <c r="AI355" s="89">
        <f>'DIY Grundmodell'!U442</f>
        <v>497.37</v>
      </c>
      <c r="AJ355" s="89">
        <f>'DIY Grundmodell'!V442</f>
        <v>5511.3698999999997</v>
      </c>
      <c r="AK355" s="989"/>
      <c r="AL355" s="33">
        <f>'DIY Grundmodell'!X442</f>
        <v>5205.8110900000001</v>
      </c>
    </row>
    <row r="356" spans="32:38" ht="14.1" customHeight="1" x14ac:dyDescent="0.45">
      <c r="AF356" s="988">
        <f>'DIY Grundmodell'!R443</f>
        <v>45385</v>
      </c>
      <c r="AG356" s="89">
        <f>'DIY Grundmodell'!S443</f>
        <v>506.74</v>
      </c>
      <c r="AH356" s="54">
        <f>'DIY Grundmodell'!T443</f>
        <v>6131.1339099999996</v>
      </c>
      <c r="AI356" s="89">
        <f>'DIY Grundmodell'!U443</f>
        <v>506.74</v>
      </c>
      <c r="AJ356" s="89">
        <f>'DIY Grundmodell'!V443</f>
        <v>6131.1339099999996</v>
      </c>
      <c r="AK356" s="989"/>
      <c r="AL356" s="33">
        <f>'DIY Grundmodell'!X443</f>
        <v>5211.4860900000003</v>
      </c>
    </row>
    <row r="357" spans="32:38" ht="14.1" customHeight="1" x14ac:dyDescent="0.45">
      <c r="AF357" s="988">
        <f>'DIY Grundmodell'!R444</f>
        <v>45386</v>
      </c>
      <c r="AG357" s="89">
        <f>'DIY Grundmodell'!S444</f>
        <v>510.92</v>
      </c>
      <c r="AH357" s="54">
        <f>'DIY Grundmodell'!T444</f>
        <v>13527.24718</v>
      </c>
      <c r="AI357" s="89">
        <f>'DIY Grundmodell'!U444</f>
        <v>510.92</v>
      </c>
      <c r="AJ357" s="89">
        <f>'DIY Grundmodell'!V444</f>
        <v>13527.24718</v>
      </c>
      <c r="AK357" s="989"/>
      <c r="AL357" s="33">
        <f>'DIY Grundmodell'!X444</f>
        <v>5147.2089800000003</v>
      </c>
    </row>
    <row r="358" spans="32:38" ht="14.1" customHeight="1" x14ac:dyDescent="0.45">
      <c r="AF358" s="988">
        <f>'DIY Grundmodell'!R445</f>
        <v>45387</v>
      </c>
      <c r="AG358" s="89">
        <f>'DIY Grundmodell'!S445</f>
        <v>527.34</v>
      </c>
      <c r="AH358" s="54">
        <f>'DIY Grundmodell'!T445</f>
        <v>10158.29017</v>
      </c>
      <c r="AI358" s="89">
        <f>'DIY Grundmodell'!U445</f>
        <v>527.34</v>
      </c>
      <c r="AJ358" s="89">
        <f>'DIY Grundmodell'!V445</f>
        <v>10158.29017</v>
      </c>
      <c r="AK358" s="989"/>
      <c r="AL358" s="33">
        <f>'DIY Grundmodell'!X445</f>
        <v>5204.3351400000001</v>
      </c>
    </row>
    <row r="359" spans="32:38" ht="14.1" customHeight="1" x14ac:dyDescent="0.45">
      <c r="AF359" s="988">
        <f>'DIY Grundmodell'!R446</f>
        <v>45388</v>
      </c>
      <c r="AG359" s="89" t="e">
        <f>'DIY Grundmodell'!S446</f>
        <v>#N/A</v>
      </c>
      <c r="AH359" s="54" t="e">
        <f>'DIY Grundmodell'!T446</f>
        <v>#N/A</v>
      </c>
      <c r="AI359" s="89">
        <f>'DIY Grundmodell'!U446</f>
        <v>527.34</v>
      </c>
      <c r="AJ359" s="89">
        <f>'DIY Grundmodell'!V446</f>
        <v>0</v>
      </c>
      <c r="AK359" s="989"/>
      <c r="AL359" s="33">
        <f>'DIY Grundmodell'!X446</f>
        <v>5204.3351400000001</v>
      </c>
    </row>
    <row r="360" spans="32:38" ht="14.1" customHeight="1" x14ac:dyDescent="0.45">
      <c r="AF360" s="988">
        <f>'DIY Grundmodell'!R447</f>
        <v>45389</v>
      </c>
      <c r="AG360" s="89" t="e">
        <f>'DIY Grundmodell'!S447</f>
        <v>#N/A</v>
      </c>
      <c r="AH360" s="54" t="e">
        <f>'DIY Grundmodell'!T447</f>
        <v>#N/A</v>
      </c>
      <c r="AI360" s="89">
        <f>'DIY Grundmodell'!U447</f>
        <v>527.34</v>
      </c>
      <c r="AJ360" s="89">
        <f>'DIY Grundmodell'!V447</f>
        <v>0</v>
      </c>
      <c r="AK360" s="989"/>
      <c r="AL360" s="33">
        <f>'DIY Grundmodell'!X447</f>
        <v>5204.3351400000001</v>
      </c>
    </row>
    <row r="361" spans="32:38" ht="14.1" customHeight="1" x14ac:dyDescent="0.45">
      <c r="AF361" s="988">
        <f>'DIY Grundmodell'!R448</f>
        <v>45390</v>
      </c>
      <c r="AG361" s="89">
        <f>'DIY Grundmodell'!S448</f>
        <v>519.25</v>
      </c>
      <c r="AH361" s="54">
        <f>'DIY Grundmodell'!T448</f>
        <v>6885.5556500000002</v>
      </c>
      <c r="AI361" s="89">
        <f>'DIY Grundmodell'!U448</f>
        <v>519.25</v>
      </c>
      <c r="AJ361" s="89">
        <f>'DIY Grundmodell'!V448</f>
        <v>6885.5556500000002</v>
      </c>
      <c r="AK361" s="989"/>
      <c r="AL361" s="33">
        <f>'DIY Grundmodell'!X448</f>
        <v>5202.3919299999998</v>
      </c>
    </row>
    <row r="362" spans="32:38" ht="14.1" customHeight="1" x14ac:dyDescent="0.45">
      <c r="AF362" s="988">
        <f>'DIY Grundmodell'!R449</f>
        <v>45391</v>
      </c>
      <c r="AG362" s="89">
        <f>'DIY Grundmodell'!S449</f>
        <v>516.9</v>
      </c>
      <c r="AH362" s="54">
        <f>'DIY Grundmodell'!T449</f>
        <v>5624.6189199999999</v>
      </c>
      <c r="AI362" s="89">
        <f>'DIY Grundmodell'!U449</f>
        <v>516.9</v>
      </c>
      <c r="AJ362" s="89">
        <f>'DIY Grundmodell'!V449</f>
        <v>5624.6189199999999</v>
      </c>
      <c r="AK362" s="989"/>
      <c r="AL362" s="33">
        <f>'DIY Grundmodell'!X449</f>
        <v>5209.9108399999996</v>
      </c>
    </row>
    <row r="363" spans="32:38" ht="14.1" customHeight="1" x14ac:dyDescent="0.45">
      <c r="AF363" s="988">
        <f>'DIY Grundmodell'!R450</f>
        <v>45392</v>
      </c>
      <c r="AG363" s="89">
        <f>'DIY Grundmodell'!S450</f>
        <v>519.83000000000004</v>
      </c>
      <c r="AH363" s="54">
        <f>'DIY Grundmodell'!T450</f>
        <v>5935.67418</v>
      </c>
      <c r="AI363" s="89">
        <f>'DIY Grundmodell'!U450</f>
        <v>519.83000000000004</v>
      </c>
      <c r="AJ363" s="89">
        <f>'DIY Grundmodell'!V450</f>
        <v>5935.67418</v>
      </c>
      <c r="AK363" s="989"/>
      <c r="AL363" s="33">
        <f>'DIY Grundmodell'!X450</f>
        <v>5160.6397900000002</v>
      </c>
    </row>
    <row r="364" spans="32:38" ht="14.1" customHeight="1" x14ac:dyDescent="0.45">
      <c r="AF364" s="988">
        <f>'DIY Grundmodell'!R451</f>
        <v>45393</v>
      </c>
      <c r="AG364" s="89">
        <f>'DIY Grundmodell'!S451</f>
        <v>523.16</v>
      </c>
      <c r="AH364" s="54">
        <f>'DIY Grundmodell'!T451</f>
        <v>5424.8914000000004</v>
      </c>
      <c r="AI364" s="89">
        <f>'DIY Grundmodell'!U451</f>
        <v>523.16</v>
      </c>
      <c r="AJ364" s="89">
        <f>'DIY Grundmodell'!V451</f>
        <v>5424.8914000000004</v>
      </c>
      <c r="AK364" s="989"/>
      <c r="AL364" s="33">
        <f>'DIY Grundmodell'!X451</f>
        <v>5199.0567700000001</v>
      </c>
    </row>
    <row r="365" spans="32:38" ht="14.1" customHeight="1" x14ac:dyDescent="0.45">
      <c r="AF365" s="988">
        <f>'DIY Grundmodell'!R452</f>
        <v>45394</v>
      </c>
      <c r="AG365" s="89">
        <f>'DIY Grundmodell'!S452</f>
        <v>511.9</v>
      </c>
      <c r="AH365" s="54">
        <f>'DIY Grundmodell'!T452</f>
        <v>6134.8834699999998</v>
      </c>
      <c r="AI365" s="89">
        <f>'DIY Grundmodell'!U452</f>
        <v>511.9</v>
      </c>
      <c r="AJ365" s="89">
        <f>'DIY Grundmodell'!V452</f>
        <v>6134.8834699999998</v>
      </c>
      <c r="AK365" s="989"/>
      <c r="AL365" s="33">
        <f>'DIY Grundmodell'!X452</f>
        <v>5123.4068200000002</v>
      </c>
    </row>
    <row r="366" spans="32:38" ht="14.1" customHeight="1" x14ac:dyDescent="0.45">
      <c r="AF366" s="988">
        <f>'DIY Grundmodell'!R453</f>
        <v>45395</v>
      </c>
      <c r="AG366" s="89" t="e">
        <f>'DIY Grundmodell'!S453</f>
        <v>#N/A</v>
      </c>
      <c r="AH366" s="54" t="e">
        <f>'DIY Grundmodell'!T453</f>
        <v>#N/A</v>
      </c>
      <c r="AI366" s="89">
        <f>'DIY Grundmodell'!U453</f>
        <v>511.9</v>
      </c>
      <c r="AJ366" s="89">
        <f>'DIY Grundmodell'!V453</f>
        <v>0</v>
      </c>
      <c r="AK366" s="989"/>
      <c r="AL366" s="33">
        <f>'DIY Grundmodell'!X453</f>
        <v>5123.4068200000002</v>
      </c>
    </row>
    <row r="367" spans="32:38" ht="14.1" customHeight="1" x14ac:dyDescent="0.45">
      <c r="AF367" s="988">
        <f>'DIY Grundmodell'!R454</f>
        <v>45396</v>
      </c>
      <c r="AG367" s="89" t="e">
        <f>'DIY Grundmodell'!S454</f>
        <v>#N/A</v>
      </c>
      <c r="AH367" s="54" t="e">
        <f>'DIY Grundmodell'!T454</f>
        <v>#N/A</v>
      </c>
      <c r="AI367" s="89">
        <f>'DIY Grundmodell'!U454</f>
        <v>511.9</v>
      </c>
      <c r="AJ367" s="89">
        <f>'DIY Grundmodell'!V454</f>
        <v>0</v>
      </c>
      <c r="AK367" s="989"/>
      <c r="AL367" s="33">
        <f>'DIY Grundmodell'!X454</f>
        <v>5123.4068200000002</v>
      </c>
    </row>
    <row r="368" spans="32:38" ht="14.1" customHeight="1" x14ac:dyDescent="0.45">
      <c r="AF368" s="988">
        <f>'DIY Grundmodell'!R455</f>
        <v>45397</v>
      </c>
      <c r="AG368" s="89">
        <f>'DIY Grundmodell'!S455</f>
        <v>500.23</v>
      </c>
      <c r="AH368" s="54">
        <f>'DIY Grundmodell'!T455</f>
        <v>6759.55447</v>
      </c>
      <c r="AI368" s="89">
        <f>'DIY Grundmodell'!U455</f>
        <v>500.23</v>
      </c>
      <c r="AJ368" s="89">
        <f>'DIY Grundmodell'!V455</f>
        <v>6759.55447</v>
      </c>
      <c r="AK368" s="989"/>
      <c r="AL368" s="33">
        <f>'DIY Grundmodell'!X455</f>
        <v>5061.8155299999999</v>
      </c>
    </row>
    <row r="369" spans="32:38" ht="14.1" customHeight="1" x14ac:dyDescent="0.45">
      <c r="AF369" s="988">
        <f>'DIY Grundmodell'!R456</f>
        <v>45398</v>
      </c>
      <c r="AG369" s="89">
        <f>'DIY Grundmodell'!S456</f>
        <v>499.76</v>
      </c>
      <c r="AH369" s="54">
        <f>'DIY Grundmodell'!T456</f>
        <v>4921.5990000000002</v>
      </c>
      <c r="AI369" s="89">
        <f>'DIY Grundmodell'!U456</f>
        <v>499.76</v>
      </c>
      <c r="AJ369" s="89">
        <f>'DIY Grundmodell'!V456</f>
        <v>4921.5990000000002</v>
      </c>
      <c r="AK369" s="989"/>
      <c r="AL369" s="33">
        <f>'DIY Grundmodell'!X456</f>
        <v>5051.4139500000001</v>
      </c>
    </row>
    <row r="370" spans="32:38" ht="14.1" customHeight="1" x14ac:dyDescent="0.45">
      <c r="AF370" s="988">
        <f>'DIY Grundmodell'!R457</f>
        <v>45399</v>
      </c>
      <c r="AG370" s="89">
        <f>'DIY Grundmodell'!S457</f>
        <v>494.17</v>
      </c>
      <c r="AH370" s="54">
        <f>'DIY Grundmodell'!T457</f>
        <v>6025.7819799999997</v>
      </c>
      <c r="AI370" s="89">
        <f>'DIY Grundmodell'!U457</f>
        <v>494.17</v>
      </c>
      <c r="AJ370" s="89">
        <f>'DIY Grundmodell'!V457</f>
        <v>6025.7819799999997</v>
      </c>
      <c r="AK370" s="989"/>
      <c r="AL370" s="33">
        <f>'DIY Grundmodell'!X457</f>
        <v>5022.2080400000004</v>
      </c>
    </row>
    <row r="371" spans="32:38" ht="14.1" customHeight="1" x14ac:dyDescent="0.45">
      <c r="AF371" s="988">
        <f>'DIY Grundmodell'!R458</f>
        <v>45400</v>
      </c>
      <c r="AG371" s="89">
        <f>'DIY Grundmodell'!S458</f>
        <v>501.8</v>
      </c>
      <c r="AH371" s="54">
        <f>'DIY Grundmodell'!T458</f>
        <v>7430.9906099999998</v>
      </c>
      <c r="AI371" s="89">
        <f>'DIY Grundmodell'!U458</f>
        <v>501.8</v>
      </c>
      <c r="AJ371" s="89">
        <f>'DIY Grundmodell'!V458</f>
        <v>7430.9906099999998</v>
      </c>
      <c r="AK371" s="989"/>
      <c r="AL371" s="33">
        <f>'DIY Grundmodell'!X458</f>
        <v>5011.1227500000005</v>
      </c>
    </row>
    <row r="372" spans="32:38" ht="14.1" customHeight="1" x14ac:dyDescent="0.45">
      <c r="AF372" s="988">
        <f>'DIY Grundmodell'!R459</f>
        <v>45401</v>
      </c>
      <c r="AG372" s="89">
        <f>'DIY Grundmodell'!S459</f>
        <v>481.07</v>
      </c>
      <c r="AH372" s="54">
        <f>'DIY Grundmodell'!T459</f>
        <v>12130.355159999999</v>
      </c>
      <c r="AI372" s="89">
        <f>'DIY Grundmodell'!U459</f>
        <v>481.07</v>
      </c>
      <c r="AJ372" s="89">
        <f>'DIY Grundmodell'!V459</f>
        <v>12130.355159999999</v>
      </c>
      <c r="AK372" s="989"/>
      <c r="AL372" s="33">
        <f>'DIY Grundmodell'!X459</f>
        <v>4967.2349000000004</v>
      </c>
    </row>
    <row r="373" spans="32:38" ht="14.1" customHeight="1" x14ac:dyDescent="0.45">
      <c r="AF373" s="988">
        <f>'DIY Grundmodell'!R460</f>
        <v>45402</v>
      </c>
      <c r="AG373" s="89" t="e">
        <f>'DIY Grundmodell'!S460</f>
        <v>#N/A</v>
      </c>
      <c r="AH373" s="54" t="e">
        <f>'DIY Grundmodell'!T460</f>
        <v>#N/A</v>
      </c>
      <c r="AI373" s="89">
        <f>'DIY Grundmodell'!U460</f>
        <v>481.07</v>
      </c>
      <c r="AJ373" s="89">
        <f>'DIY Grundmodell'!V460</f>
        <v>0</v>
      </c>
      <c r="AK373" s="989"/>
      <c r="AL373" s="33">
        <f>'DIY Grundmodell'!X460</f>
        <v>4967.2349000000004</v>
      </c>
    </row>
    <row r="374" spans="32:38" ht="14.1" customHeight="1" x14ac:dyDescent="0.45">
      <c r="AF374" s="988">
        <f>'DIY Grundmodell'!R461</f>
        <v>45403</v>
      </c>
      <c r="AG374" s="89" t="e">
        <f>'DIY Grundmodell'!S461</f>
        <v>#N/A</v>
      </c>
      <c r="AH374" s="54" t="e">
        <f>'DIY Grundmodell'!T461</f>
        <v>#N/A</v>
      </c>
      <c r="AI374" s="89">
        <f>'DIY Grundmodell'!U461</f>
        <v>481.07</v>
      </c>
      <c r="AJ374" s="89">
        <f>'DIY Grundmodell'!V461</f>
        <v>0</v>
      </c>
      <c r="AK374" s="989"/>
      <c r="AL374" s="33">
        <f>'DIY Grundmodell'!X461</f>
        <v>4967.2349000000004</v>
      </c>
    </row>
    <row r="375" spans="32:38" ht="14.1" customHeight="1" x14ac:dyDescent="0.45">
      <c r="AF375" s="988">
        <f>'DIY Grundmodell'!R462</f>
        <v>45404</v>
      </c>
      <c r="AG375" s="89">
        <f>'DIY Grundmodell'!S462</f>
        <v>481.73</v>
      </c>
      <c r="AH375" s="54">
        <f>'DIY Grundmodell'!T462</f>
        <v>8320.0190500000008</v>
      </c>
      <c r="AI375" s="89">
        <f>'DIY Grundmodell'!U462</f>
        <v>481.73</v>
      </c>
      <c r="AJ375" s="89">
        <f>'DIY Grundmodell'!V462</f>
        <v>8320.0190500000008</v>
      </c>
      <c r="AK375" s="989"/>
      <c r="AL375" s="33">
        <f>'DIY Grundmodell'!X462</f>
        <v>5010.6046399999996</v>
      </c>
    </row>
    <row r="376" spans="32:38" ht="14.1" customHeight="1" x14ac:dyDescent="0.45">
      <c r="AF376" s="988">
        <f>'DIY Grundmodell'!R463</f>
        <v>45405</v>
      </c>
      <c r="AG376" s="89">
        <f>'DIY Grundmodell'!S463</f>
        <v>496.1</v>
      </c>
      <c r="AH376" s="54">
        <f>'DIY Grundmodell'!T463</f>
        <v>7480.7891399999999</v>
      </c>
      <c r="AI376" s="89">
        <f>'DIY Grundmodell'!U463</f>
        <v>496.1</v>
      </c>
      <c r="AJ376" s="89">
        <f>'DIY Grundmodell'!V463</f>
        <v>7480.7891399999999</v>
      </c>
      <c r="AK376" s="989"/>
      <c r="AL376" s="33">
        <f>'DIY Grundmodell'!X463</f>
        <v>5070.55123</v>
      </c>
    </row>
    <row r="377" spans="32:38" ht="14.1" customHeight="1" x14ac:dyDescent="0.45">
      <c r="AF377" s="988">
        <f>'DIY Grundmodell'!R464</f>
        <v>45406</v>
      </c>
      <c r="AG377" s="89">
        <f>'DIY Grundmodell'!S464</f>
        <v>493.5</v>
      </c>
      <c r="AH377" s="54">
        <f>'DIY Grundmodell'!T464</f>
        <v>18640.8161</v>
      </c>
      <c r="AI377" s="89">
        <f>'DIY Grundmodell'!U464</f>
        <v>493.5</v>
      </c>
      <c r="AJ377" s="89">
        <f>'DIY Grundmodell'!V464</f>
        <v>18640.8161</v>
      </c>
      <c r="AK377" s="989"/>
      <c r="AL377" s="33">
        <f>'DIY Grundmodell'!X464</f>
        <v>5071.6284699999997</v>
      </c>
    </row>
    <row r="378" spans="32:38" ht="14.1" customHeight="1" x14ac:dyDescent="0.45">
      <c r="AF378" s="988">
        <f>'DIY Grundmodell'!R465</f>
        <v>45407</v>
      </c>
      <c r="AG378" s="89">
        <f>'DIY Grundmodell'!S465</f>
        <v>441.38</v>
      </c>
      <c r="AH378" s="54">
        <f>'DIY Grundmodell'!T465</f>
        <v>36586.315260000003</v>
      </c>
      <c r="AI378" s="89">
        <f>'DIY Grundmodell'!U465</f>
        <v>441.38</v>
      </c>
      <c r="AJ378" s="89">
        <f>'DIY Grundmodell'!V465</f>
        <v>36586.315260000003</v>
      </c>
      <c r="AK378" s="989"/>
      <c r="AL378" s="33">
        <f>'DIY Grundmodell'!X465</f>
        <v>5048.4157100000002</v>
      </c>
    </row>
    <row r="379" spans="32:38" ht="14.1" customHeight="1" x14ac:dyDescent="0.45">
      <c r="AF379" s="988">
        <f>'DIY Grundmodell'!R466</f>
        <v>45408</v>
      </c>
      <c r="AG379" s="89">
        <f>'DIY Grundmodell'!S466</f>
        <v>443.29</v>
      </c>
      <c r="AH379" s="54">
        <f>'DIY Grundmodell'!T466</f>
        <v>14491.789769999999</v>
      </c>
      <c r="AI379" s="89">
        <f>'DIY Grundmodell'!U466</f>
        <v>443.29</v>
      </c>
      <c r="AJ379" s="89">
        <f>'DIY Grundmodell'!V466</f>
        <v>14491.789769999999</v>
      </c>
      <c r="AK379" s="989"/>
      <c r="AL379" s="33">
        <f>'DIY Grundmodell'!X466</f>
        <v>5099.96245</v>
      </c>
    </row>
    <row r="380" spans="32:38" ht="14.1" customHeight="1" x14ac:dyDescent="0.45">
      <c r="AF380" s="988">
        <f>'DIY Grundmodell'!R467</f>
        <v>45409</v>
      </c>
      <c r="AG380" s="89" t="e">
        <f>'DIY Grundmodell'!S467</f>
        <v>#N/A</v>
      </c>
      <c r="AH380" s="54" t="e">
        <f>'DIY Grundmodell'!T467</f>
        <v>#N/A</v>
      </c>
      <c r="AI380" s="89">
        <f>'DIY Grundmodell'!U467</f>
        <v>443.29</v>
      </c>
      <c r="AJ380" s="89">
        <f>'DIY Grundmodell'!V467</f>
        <v>0</v>
      </c>
      <c r="AK380" s="989"/>
      <c r="AL380" s="33">
        <f>'DIY Grundmodell'!X467</f>
        <v>5099.96245</v>
      </c>
    </row>
    <row r="381" spans="32:38" ht="14.1" customHeight="1" x14ac:dyDescent="0.45">
      <c r="AF381" s="988">
        <f>'DIY Grundmodell'!R468</f>
        <v>45410</v>
      </c>
      <c r="AG381" s="89" t="e">
        <f>'DIY Grundmodell'!S468</f>
        <v>#N/A</v>
      </c>
      <c r="AH381" s="54" t="e">
        <f>'DIY Grundmodell'!T468</f>
        <v>#N/A</v>
      </c>
      <c r="AI381" s="89">
        <f>'DIY Grundmodell'!U468</f>
        <v>443.29</v>
      </c>
      <c r="AJ381" s="89">
        <f>'DIY Grundmodell'!V468</f>
        <v>0</v>
      </c>
      <c r="AK381" s="989"/>
      <c r="AL381" s="33">
        <f>'DIY Grundmodell'!X468</f>
        <v>5099.96245</v>
      </c>
    </row>
    <row r="382" spans="32:38" ht="14.1" customHeight="1" x14ac:dyDescent="0.45">
      <c r="AF382" s="988">
        <f>'DIY Grundmodell'!R469</f>
        <v>45411</v>
      </c>
      <c r="AG382" s="89">
        <f>'DIY Grundmodell'!S469</f>
        <v>432.62</v>
      </c>
      <c r="AH382" s="54">
        <f>'DIY Grundmodell'!T469</f>
        <v>9302.4747100000004</v>
      </c>
      <c r="AI382" s="89">
        <f>'DIY Grundmodell'!U469</f>
        <v>432.62</v>
      </c>
      <c r="AJ382" s="89">
        <f>'DIY Grundmodell'!V469</f>
        <v>9302.4747100000004</v>
      </c>
      <c r="AK382" s="989"/>
      <c r="AL382" s="33">
        <f>'DIY Grundmodell'!X469</f>
        <v>5116.1675599999999</v>
      </c>
    </row>
    <row r="383" spans="32:38" ht="14.1" customHeight="1" x14ac:dyDescent="0.45">
      <c r="AF383" s="988">
        <f>'DIY Grundmodell'!R470</f>
        <v>45412</v>
      </c>
      <c r="AG383" s="89">
        <f>'DIY Grundmodell'!S470</f>
        <v>430.17</v>
      </c>
      <c r="AH383" s="54">
        <f>'DIY Grundmodell'!T470</f>
        <v>7927.8162899999998</v>
      </c>
      <c r="AI383" s="89">
        <f>'DIY Grundmodell'!U470</f>
        <v>430.17</v>
      </c>
      <c r="AJ383" s="89">
        <f>'DIY Grundmodell'!V470</f>
        <v>7927.8162899999998</v>
      </c>
      <c r="AK383" s="989"/>
      <c r="AL383" s="33">
        <f>'DIY Grundmodell'!X470</f>
        <v>5035.6916799999999</v>
      </c>
    </row>
    <row r="384" spans="32:38" ht="14.1" customHeight="1" x14ac:dyDescent="0.45">
      <c r="AF384" s="988">
        <f>'DIY Grundmodell'!R471</f>
        <v>45413</v>
      </c>
      <c r="AG384" s="89">
        <f>'DIY Grundmodell'!S471</f>
        <v>439.19</v>
      </c>
      <c r="AH384" s="54">
        <f>'DIY Grundmodell'!T471</f>
        <v>8935.2972699999991</v>
      </c>
      <c r="AI384" s="89">
        <f>'DIY Grundmodell'!U471</f>
        <v>439.19</v>
      </c>
      <c r="AJ384" s="89">
        <f>'DIY Grundmodell'!V471</f>
        <v>8935.2972699999991</v>
      </c>
      <c r="AK384" s="989"/>
      <c r="AL384" s="33">
        <f>'DIY Grundmodell'!X471</f>
        <v>5018.3850000000002</v>
      </c>
    </row>
    <row r="385" spans="32:38" ht="14.1" customHeight="1" x14ac:dyDescent="0.45">
      <c r="AF385" s="988">
        <f>'DIY Grundmodell'!R472</f>
        <v>45414</v>
      </c>
      <c r="AG385" s="89">
        <f>'DIY Grundmodell'!S472</f>
        <v>441.68</v>
      </c>
      <c r="AH385" s="54">
        <f>'DIY Grundmodell'!T472</f>
        <v>6722.9534999999996</v>
      </c>
      <c r="AI385" s="89">
        <f>'DIY Grundmodell'!U472</f>
        <v>441.68</v>
      </c>
      <c r="AJ385" s="89">
        <f>'DIY Grundmodell'!V472</f>
        <v>6722.9534999999996</v>
      </c>
      <c r="AK385" s="989"/>
      <c r="AL385" s="33">
        <f>'DIY Grundmodell'!X472</f>
        <v>5064.1952700000002</v>
      </c>
    </row>
    <row r="386" spans="32:38" ht="14.1" customHeight="1" x14ac:dyDescent="0.45">
      <c r="AF386" s="988">
        <f>'DIY Grundmodell'!R473</f>
        <v>45415</v>
      </c>
      <c r="AG386" s="89">
        <f>'DIY Grundmodell'!S473</f>
        <v>451.96</v>
      </c>
      <c r="AH386" s="54">
        <f>'DIY Grundmodell'!T473</f>
        <v>7452.3941999999997</v>
      </c>
      <c r="AI386" s="89">
        <f>'DIY Grundmodell'!U473</f>
        <v>451.96</v>
      </c>
      <c r="AJ386" s="89">
        <f>'DIY Grundmodell'!V473</f>
        <v>7452.3941999999997</v>
      </c>
      <c r="AK386" s="989"/>
      <c r="AL386" s="33">
        <f>'DIY Grundmodell'!X473</f>
        <v>5127.7866299999996</v>
      </c>
    </row>
    <row r="387" spans="32:38" ht="14.1" customHeight="1" x14ac:dyDescent="0.45">
      <c r="AF387" s="988">
        <f>'DIY Grundmodell'!R474</f>
        <v>45416</v>
      </c>
      <c r="AG387" s="89" t="e">
        <f>'DIY Grundmodell'!S474</f>
        <v>#N/A</v>
      </c>
      <c r="AH387" s="54" t="e">
        <f>'DIY Grundmodell'!T474</f>
        <v>#N/A</v>
      </c>
      <c r="AI387" s="89">
        <f>'DIY Grundmodell'!U474</f>
        <v>451.96</v>
      </c>
      <c r="AJ387" s="89">
        <f>'DIY Grundmodell'!V474</f>
        <v>0</v>
      </c>
      <c r="AK387" s="989"/>
      <c r="AL387" s="33">
        <f>'DIY Grundmodell'!X474</f>
        <v>5127.7866299999996</v>
      </c>
    </row>
    <row r="388" spans="32:38" ht="14.1" customHeight="1" x14ac:dyDescent="0.45">
      <c r="AF388" s="988">
        <f>'DIY Grundmodell'!R475</f>
        <v>45417</v>
      </c>
      <c r="AG388" s="89" t="e">
        <f>'DIY Grundmodell'!S475</f>
        <v>#N/A</v>
      </c>
      <c r="AH388" s="54" t="e">
        <f>'DIY Grundmodell'!T475</f>
        <v>#N/A</v>
      </c>
      <c r="AI388" s="89">
        <f>'DIY Grundmodell'!U475</f>
        <v>451.96</v>
      </c>
      <c r="AJ388" s="89">
        <f>'DIY Grundmodell'!V475</f>
        <v>0</v>
      </c>
      <c r="AK388" s="989"/>
      <c r="AL388" s="33">
        <f>'DIY Grundmodell'!X475</f>
        <v>5127.7866299999996</v>
      </c>
    </row>
    <row r="389" spans="32:38" ht="14.1" customHeight="1" x14ac:dyDescent="0.45">
      <c r="AF389" s="988">
        <f>'DIY Grundmodell'!R476</f>
        <v>45418</v>
      </c>
      <c r="AG389" s="89">
        <f>'DIY Grundmodell'!S476</f>
        <v>465.68</v>
      </c>
      <c r="AH389" s="54">
        <f>'DIY Grundmodell'!T476</f>
        <v>7029.2659000000003</v>
      </c>
      <c r="AI389" s="89">
        <f>'DIY Grundmodell'!U476</f>
        <v>465.68</v>
      </c>
      <c r="AJ389" s="89">
        <f>'DIY Grundmodell'!V476</f>
        <v>7029.2659000000003</v>
      </c>
      <c r="AK389" s="989"/>
      <c r="AL389" s="33">
        <f>'DIY Grundmodell'!X476</f>
        <v>5180.7406899999996</v>
      </c>
    </row>
    <row r="390" spans="32:38" ht="14.1" customHeight="1" x14ac:dyDescent="0.45">
      <c r="AF390" s="988">
        <f>'DIY Grundmodell'!R477</f>
        <v>45419</v>
      </c>
      <c r="AG390" s="89">
        <f>'DIY Grundmodell'!S477</f>
        <v>468.24</v>
      </c>
      <c r="AH390" s="54">
        <f>'DIY Grundmodell'!T477</f>
        <v>6277.6075199999996</v>
      </c>
      <c r="AI390" s="89">
        <f>'DIY Grundmodell'!U477</f>
        <v>468.24</v>
      </c>
      <c r="AJ390" s="89">
        <f>'DIY Grundmodell'!V477</f>
        <v>6277.6075199999996</v>
      </c>
      <c r="AK390" s="989"/>
      <c r="AL390" s="33">
        <f>'DIY Grundmodell'!X477</f>
        <v>5187.6978600000002</v>
      </c>
    </row>
    <row r="391" spans="32:38" ht="14.1" customHeight="1" x14ac:dyDescent="0.45">
      <c r="AF391" s="988">
        <f>'DIY Grundmodell'!R478</f>
        <v>45420</v>
      </c>
      <c r="AG391" s="89">
        <f>'DIY Grundmodell'!S478</f>
        <v>472.6</v>
      </c>
      <c r="AH391" s="54">
        <f>'DIY Grundmodell'!T478</f>
        <v>5521.82485</v>
      </c>
      <c r="AI391" s="89">
        <f>'DIY Grundmodell'!U478</f>
        <v>472.6</v>
      </c>
      <c r="AJ391" s="89">
        <f>'DIY Grundmodell'!V478</f>
        <v>5521.82485</v>
      </c>
      <c r="AK391" s="989"/>
      <c r="AL391" s="33">
        <f>'DIY Grundmodell'!X478</f>
        <v>5187.6707399999996</v>
      </c>
    </row>
    <row r="392" spans="32:38" ht="14.1" customHeight="1" x14ac:dyDescent="0.45">
      <c r="AF392" s="988">
        <f>'DIY Grundmodell'!R479</f>
        <v>45421</v>
      </c>
      <c r="AG392" s="89">
        <f>'DIY Grundmodell'!S479</f>
        <v>475.42</v>
      </c>
      <c r="AH392" s="54">
        <f>'DIY Grundmodell'!T479</f>
        <v>4486.8480399999999</v>
      </c>
      <c r="AI392" s="89">
        <f>'DIY Grundmodell'!U479</f>
        <v>475.42</v>
      </c>
      <c r="AJ392" s="89">
        <f>'DIY Grundmodell'!V479</f>
        <v>4486.8480399999999</v>
      </c>
      <c r="AK392" s="989"/>
      <c r="AL392" s="33">
        <f>'DIY Grundmodell'!X479</f>
        <v>5214.0814300000002</v>
      </c>
    </row>
    <row r="393" spans="32:38" ht="14.1" customHeight="1" x14ac:dyDescent="0.45">
      <c r="AF393" s="988">
        <f>'DIY Grundmodell'!R480</f>
        <v>45422</v>
      </c>
      <c r="AG393" s="89">
        <f>'DIY Grundmodell'!S480</f>
        <v>476.2</v>
      </c>
      <c r="AH393" s="54">
        <f>'DIY Grundmodell'!T480</f>
        <v>5119.1495199999999</v>
      </c>
      <c r="AI393" s="89">
        <f>'DIY Grundmodell'!U480</f>
        <v>476.2</v>
      </c>
      <c r="AJ393" s="89">
        <f>'DIY Grundmodell'!V480</f>
        <v>5119.1495199999999</v>
      </c>
      <c r="AK393" s="989"/>
      <c r="AL393" s="33">
        <f>'DIY Grundmodell'!X480</f>
        <v>5222.6753699999999</v>
      </c>
    </row>
    <row r="394" spans="32:38" ht="14.1" customHeight="1" x14ac:dyDescent="0.45">
      <c r="AF394" s="988">
        <f>'DIY Grundmodell'!R481</f>
        <v>45423</v>
      </c>
      <c r="AG394" s="89" t="e">
        <f>'DIY Grundmodell'!S481</f>
        <v>#N/A</v>
      </c>
      <c r="AH394" s="54" t="e">
        <f>'DIY Grundmodell'!T481</f>
        <v>#N/A</v>
      </c>
      <c r="AI394" s="89">
        <f>'DIY Grundmodell'!U481</f>
        <v>476.2</v>
      </c>
      <c r="AJ394" s="89">
        <f>'DIY Grundmodell'!V481</f>
        <v>0</v>
      </c>
      <c r="AK394" s="989"/>
      <c r="AL394" s="33">
        <f>'DIY Grundmodell'!X481</f>
        <v>5222.6753699999999</v>
      </c>
    </row>
    <row r="395" spans="32:38" ht="14.1" customHeight="1" x14ac:dyDescent="0.45">
      <c r="AF395" s="988">
        <f>'DIY Grundmodell'!R482</f>
        <v>45424</v>
      </c>
      <c r="AG395" s="89" t="e">
        <f>'DIY Grundmodell'!S482</f>
        <v>#N/A</v>
      </c>
      <c r="AH395" s="54" t="e">
        <f>'DIY Grundmodell'!T482</f>
        <v>#N/A</v>
      </c>
      <c r="AI395" s="89">
        <f>'DIY Grundmodell'!U482</f>
        <v>476.2</v>
      </c>
      <c r="AJ395" s="89">
        <f>'DIY Grundmodell'!V482</f>
        <v>0</v>
      </c>
      <c r="AK395" s="989"/>
      <c r="AL395" s="33">
        <f>'DIY Grundmodell'!X482</f>
        <v>5222.6753699999999</v>
      </c>
    </row>
    <row r="396" spans="32:38" ht="14.1" customHeight="1" x14ac:dyDescent="0.45">
      <c r="AF396" s="988">
        <f>'DIY Grundmodell'!R483</f>
        <v>45425</v>
      </c>
      <c r="AG396" s="89">
        <f>'DIY Grundmodell'!S483</f>
        <v>468.01</v>
      </c>
      <c r="AH396" s="54">
        <f>'DIY Grundmodell'!T483</f>
        <v>6865.1441500000001</v>
      </c>
      <c r="AI396" s="89">
        <f>'DIY Grundmodell'!U483</f>
        <v>468.01</v>
      </c>
      <c r="AJ396" s="89">
        <f>'DIY Grundmodell'!V483</f>
        <v>6865.1441500000001</v>
      </c>
      <c r="AK396" s="989"/>
      <c r="AL396" s="33">
        <f>'DIY Grundmodell'!X483</f>
        <v>5221.4156400000002</v>
      </c>
    </row>
    <row r="397" spans="32:38" ht="14.1" customHeight="1" x14ac:dyDescent="0.45">
      <c r="AF397" s="988">
        <f>'DIY Grundmodell'!R484</f>
        <v>45426</v>
      </c>
      <c r="AG397" s="89">
        <f>'DIY Grundmodell'!S484</f>
        <v>471.85</v>
      </c>
      <c r="AH397" s="54">
        <f>'DIY Grundmodell'!T484</f>
        <v>4944.3052299999999</v>
      </c>
      <c r="AI397" s="89">
        <f>'DIY Grundmodell'!U484</f>
        <v>471.85</v>
      </c>
      <c r="AJ397" s="89">
        <f>'DIY Grundmodell'!V484</f>
        <v>4944.3052299999999</v>
      </c>
      <c r="AK397" s="989"/>
      <c r="AL397" s="33">
        <f>'DIY Grundmodell'!X484</f>
        <v>5246.6805199999999</v>
      </c>
    </row>
    <row r="398" spans="32:38" ht="14.1" customHeight="1" x14ac:dyDescent="0.45">
      <c r="AF398" s="988">
        <f>'DIY Grundmodell'!R485</f>
        <v>45427</v>
      </c>
      <c r="AG398" s="89">
        <f>'DIY Grundmodell'!S485</f>
        <v>481.54</v>
      </c>
      <c r="AH398" s="54">
        <f>'DIY Grundmodell'!T485</f>
        <v>6308.4003199999997</v>
      </c>
      <c r="AI398" s="89">
        <f>'DIY Grundmodell'!U485</f>
        <v>481.54</v>
      </c>
      <c r="AJ398" s="89">
        <f>'DIY Grundmodell'!V485</f>
        <v>6308.4003199999997</v>
      </c>
      <c r="AK398" s="989"/>
      <c r="AL398" s="33">
        <f>'DIY Grundmodell'!X485</f>
        <v>5308.14959</v>
      </c>
    </row>
    <row r="399" spans="32:38" ht="14.1" customHeight="1" x14ac:dyDescent="0.45">
      <c r="AF399" s="988">
        <f>'DIY Grundmodell'!R486</f>
        <v>45428</v>
      </c>
      <c r="AG399" s="89">
        <f>'DIY Grundmodell'!S486</f>
        <v>473.23</v>
      </c>
      <c r="AH399" s="54">
        <f>'DIY Grundmodell'!T486</f>
        <v>7859.48855</v>
      </c>
      <c r="AI399" s="89">
        <f>'DIY Grundmodell'!U486</f>
        <v>473.23</v>
      </c>
      <c r="AJ399" s="89">
        <f>'DIY Grundmodell'!V486</f>
        <v>7859.48855</v>
      </c>
      <c r="AK399" s="989"/>
      <c r="AL399" s="33">
        <f>'DIY Grundmodell'!X486</f>
        <v>5297.0984500000004</v>
      </c>
    </row>
    <row r="400" spans="32:38" ht="14.1" customHeight="1" x14ac:dyDescent="0.45">
      <c r="AF400" s="988">
        <f>'DIY Grundmodell'!R487</f>
        <v>45429</v>
      </c>
      <c r="AG400" s="89">
        <f>'DIY Grundmodell'!S487</f>
        <v>471.91</v>
      </c>
      <c r="AH400" s="54">
        <f>'DIY Grundmodell'!T487</f>
        <v>5100.0677500000002</v>
      </c>
      <c r="AI400" s="89">
        <f>'DIY Grundmodell'!U487</f>
        <v>471.91</v>
      </c>
      <c r="AJ400" s="89">
        <f>'DIY Grundmodell'!V487</f>
        <v>5100.0677500000002</v>
      </c>
      <c r="AK400" s="989"/>
      <c r="AL400" s="33">
        <f>'DIY Grundmodell'!X487</f>
        <v>5303.2696599999999</v>
      </c>
    </row>
    <row r="401" spans="32:38" ht="14.1" customHeight="1" x14ac:dyDescent="0.45">
      <c r="AF401" s="988">
        <f>'DIY Grundmodell'!R488</f>
        <v>45430</v>
      </c>
      <c r="AG401" s="89" t="e">
        <f>'DIY Grundmodell'!S488</f>
        <v>#N/A</v>
      </c>
      <c r="AH401" s="54" t="e">
        <f>'DIY Grundmodell'!T488</f>
        <v>#N/A</v>
      </c>
      <c r="AI401" s="89">
        <f>'DIY Grundmodell'!U488</f>
        <v>471.91</v>
      </c>
      <c r="AJ401" s="89">
        <f>'DIY Grundmodell'!V488</f>
        <v>0</v>
      </c>
      <c r="AK401" s="989"/>
      <c r="AL401" s="33">
        <f>'DIY Grundmodell'!X488</f>
        <v>5303.2696599999999</v>
      </c>
    </row>
    <row r="402" spans="32:38" ht="14.1" customHeight="1" x14ac:dyDescent="0.45">
      <c r="AF402" s="988">
        <f>'DIY Grundmodell'!R489</f>
        <v>45431</v>
      </c>
      <c r="AG402" s="89" t="e">
        <f>'DIY Grundmodell'!S489</f>
        <v>#N/A</v>
      </c>
      <c r="AH402" s="54" t="e">
        <f>'DIY Grundmodell'!T489</f>
        <v>#N/A</v>
      </c>
      <c r="AI402" s="89">
        <f>'DIY Grundmodell'!U489</f>
        <v>471.91</v>
      </c>
      <c r="AJ402" s="89">
        <f>'DIY Grundmodell'!V489</f>
        <v>0</v>
      </c>
      <c r="AK402" s="989"/>
      <c r="AL402" s="33">
        <f>'DIY Grundmodell'!X489</f>
        <v>5303.2696599999999</v>
      </c>
    </row>
    <row r="403" spans="32:38" ht="14.1" customHeight="1" x14ac:dyDescent="0.45">
      <c r="AF403" s="988">
        <f>'DIY Grundmodell'!R490</f>
        <v>45432</v>
      </c>
      <c r="AG403" s="89">
        <f>'DIY Grundmodell'!S490</f>
        <v>468.84</v>
      </c>
      <c r="AH403" s="54">
        <f>'DIY Grundmodell'!T490</f>
        <v>5506.5633099999995</v>
      </c>
      <c r="AI403" s="89">
        <f>'DIY Grundmodell'!U490</f>
        <v>468.84</v>
      </c>
      <c r="AJ403" s="89">
        <f>'DIY Grundmodell'!V490</f>
        <v>5506.5633099999995</v>
      </c>
      <c r="AK403" s="989"/>
      <c r="AL403" s="33">
        <f>'DIY Grundmodell'!X490</f>
        <v>5308.1322700000001</v>
      </c>
    </row>
    <row r="404" spans="32:38" ht="14.1" customHeight="1" x14ac:dyDescent="0.45">
      <c r="AF404" s="988">
        <f>'DIY Grundmodell'!R491</f>
        <v>45433</v>
      </c>
      <c r="AG404" s="89">
        <f>'DIY Grundmodell'!S491</f>
        <v>464.63</v>
      </c>
      <c r="AH404" s="54">
        <f>'DIY Grundmodell'!T491</f>
        <v>5455.7732800000003</v>
      </c>
      <c r="AI404" s="89">
        <f>'DIY Grundmodell'!U491</f>
        <v>464.63</v>
      </c>
      <c r="AJ404" s="89">
        <f>'DIY Grundmodell'!V491</f>
        <v>5455.7732800000003</v>
      </c>
      <c r="AK404" s="989"/>
      <c r="AL404" s="33">
        <f>'DIY Grundmodell'!X491</f>
        <v>5321.4120199999998</v>
      </c>
    </row>
    <row r="405" spans="32:38" ht="14.1" customHeight="1" x14ac:dyDescent="0.45">
      <c r="AF405" s="988">
        <f>'DIY Grundmodell'!R492</f>
        <v>45434</v>
      </c>
      <c r="AG405" s="89">
        <f>'DIY Grundmodell'!S492</f>
        <v>467.78</v>
      </c>
      <c r="AH405" s="54">
        <f>'DIY Grundmodell'!T492</f>
        <v>4714.5726500000001</v>
      </c>
      <c r="AI405" s="89">
        <f>'DIY Grundmodell'!U492</f>
        <v>467.78</v>
      </c>
      <c r="AJ405" s="89">
        <f>'DIY Grundmodell'!V492</f>
        <v>4714.5726500000001</v>
      </c>
      <c r="AK405" s="989"/>
      <c r="AL405" s="33">
        <f>'DIY Grundmodell'!X492</f>
        <v>5307.00522</v>
      </c>
    </row>
    <row r="406" spans="32:38" ht="14.1" customHeight="1" x14ac:dyDescent="0.45">
      <c r="AF406" s="988">
        <f>'DIY Grundmodell'!R493</f>
        <v>45435</v>
      </c>
      <c r="AG406" s="89">
        <f>'DIY Grundmodell'!S493</f>
        <v>465.78</v>
      </c>
      <c r="AH406" s="54">
        <f>'DIY Grundmodell'!T493</f>
        <v>5471.9429200000004</v>
      </c>
      <c r="AI406" s="89">
        <f>'DIY Grundmodell'!U493</f>
        <v>465.78</v>
      </c>
      <c r="AJ406" s="89">
        <f>'DIY Grundmodell'!V493</f>
        <v>5471.9429200000004</v>
      </c>
      <c r="AK406" s="989"/>
      <c r="AL406" s="33">
        <f>'DIY Grundmodell'!X493</f>
        <v>5267.8380699999998</v>
      </c>
    </row>
    <row r="407" spans="32:38" ht="14.1" customHeight="1" x14ac:dyDescent="0.45">
      <c r="AF407" s="988">
        <f>'DIY Grundmodell'!R494</f>
        <v>45436</v>
      </c>
      <c r="AG407" s="89">
        <f>'DIY Grundmodell'!S494</f>
        <v>478.22</v>
      </c>
      <c r="AH407" s="54">
        <f>'DIY Grundmodell'!T494</f>
        <v>5750.2387500000004</v>
      </c>
      <c r="AI407" s="89">
        <f>'DIY Grundmodell'!U494</f>
        <v>478.22</v>
      </c>
      <c r="AJ407" s="89">
        <f>'DIY Grundmodell'!V494</f>
        <v>5750.2387500000004</v>
      </c>
      <c r="AK407" s="989"/>
      <c r="AL407" s="33">
        <f>'DIY Grundmodell'!X494</f>
        <v>5304.7175999999999</v>
      </c>
    </row>
    <row r="408" spans="32:38" ht="14.1" customHeight="1" x14ac:dyDescent="0.45">
      <c r="AF408" s="988">
        <f>'DIY Grundmodell'!R495</f>
        <v>45437</v>
      </c>
      <c r="AG408" s="89" t="e">
        <f>'DIY Grundmodell'!S495</f>
        <v>#N/A</v>
      </c>
      <c r="AH408" s="54" t="e">
        <f>'DIY Grundmodell'!T495</f>
        <v>#N/A</v>
      </c>
      <c r="AI408" s="89">
        <f>'DIY Grundmodell'!U495</f>
        <v>478.22</v>
      </c>
      <c r="AJ408" s="89">
        <f>'DIY Grundmodell'!V495</f>
        <v>0</v>
      </c>
      <c r="AK408" s="989"/>
      <c r="AL408" s="33">
        <f>'DIY Grundmodell'!X495</f>
        <v>5304.7175999999999</v>
      </c>
    </row>
    <row r="409" spans="32:38" ht="14.1" customHeight="1" x14ac:dyDescent="0.45">
      <c r="AF409" s="988">
        <f>'DIY Grundmodell'!R496</f>
        <v>45438</v>
      </c>
      <c r="AG409" s="89" t="e">
        <f>'DIY Grundmodell'!S496</f>
        <v>#N/A</v>
      </c>
      <c r="AH409" s="54" t="e">
        <f>'DIY Grundmodell'!T496</f>
        <v>#N/A</v>
      </c>
      <c r="AI409" s="89">
        <f>'DIY Grundmodell'!U496</f>
        <v>478.22</v>
      </c>
      <c r="AJ409" s="89">
        <f>'DIY Grundmodell'!V496</f>
        <v>0</v>
      </c>
      <c r="AK409" s="989"/>
      <c r="AL409" s="33">
        <f>'DIY Grundmodell'!X496</f>
        <v>5304.7175999999999</v>
      </c>
    </row>
    <row r="410" spans="32:38" ht="14.1" customHeight="1" x14ac:dyDescent="0.45">
      <c r="AF410" s="988">
        <f>'DIY Grundmodell'!R497</f>
        <v>45439</v>
      </c>
      <c r="AG410" s="89" t="e">
        <f>'DIY Grundmodell'!S497</f>
        <v>#N/A</v>
      </c>
      <c r="AH410" s="54" t="e">
        <f>'DIY Grundmodell'!T497</f>
        <v>#N/A</v>
      </c>
      <c r="AI410" s="89">
        <f>'DIY Grundmodell'!U497</f>
        <v>478.22</v>
      </c>
      <c r="AJ410" s="89">
        <f>'DIY Grundmodell'!V497</f>
        <v>0</v>
      </c>
      <c r="AK410" s="989"/>
      <c r="AL410" s="33">
        <f>'DIY Grundmodell'!X497</f>
        <v>5304.7175999999999</v>
      </c>
    </row>
    <row r="411" spans="32:38" ht="14.1" customHeight="1" x14ac:dyDescent="0.45">
      <c r="AF411" s="988">
        <f>'DIY Grundmodell'!R498</f>
        <v>45440</v>
      </c>
      <c r="AG411" s="89">
        <f>'DIY Grundmodell'!S498</f>
        <v>479.92</v>
      </c>
      <c r="AH411" s="54">
        <f>'DIY Grundmodell'!T498</f>
        <v>4883.5555400000003</v>
      </c>
      <c r="AI411" s="89">
        <f>'DIY Grundmodell'!U498</f>
        <v>479.92</v>
      </c>
      <c r="AJ411" s="89">
        <f>'DIY Grundmodell'!V498</f>
        <v>4883.5555400000003</v>
      </c>
      <c r="AK411" s="989"/>
      <c r="AL411" s="33">
        <f>'DIY Grundmodell'!X498</f>
        <v>5306.0444699999998</v>
      </c>
    </row>
    <row r="412" spans="32:38" ht="14.1" customHeight="1" x14ac:dyDescent="0.45">
      <c r="AF412" s="988">
        <f>'DIY Grundmodell'!R499</f>
        <v>45441</v>
      </c>
      <c r="AG412" s="89">
        <f>'DIY Grundmodell'!S499</f>
        <v>474.36</v>
      </c>
      <c r="AH412" s="54">
        <f>'DIY Grundmodell'!T499</f>
        <v>4376.5487700000003</v>
      </c>
      <c r="AI412" s="89">
        <f>'DIY Grundmodell'!U499</f>
        <v>474.36</v>
      </c>
      <c r="AJ412" s="89">
        <f>'DIY Grundmodell'!V499</f>
        <v>4376.5487700000003</v>
      </c>
      <c r="AK412" s="989"/>
      <c r="AL412" s="33">
        <f>'DIY Grundmodell'!X499</f>
        <v>5266.9493599999996</v>
      </c>
    </row>
    <row r="413" spans="32:38" ht="14.1" customHeight="1" x14ac:dyDescent="0.45">
      <c r="AF413" s="988">
        <f>'DIY Grundmodell'!R500</f>
        <v>45442</v>
      </c>
      <c r="AG413" s="89">
        <f>'DIY Grundmodell'!S500</f>
        <v>467.05</v>
      </c>
      <c r="AH413" s="54">
        <f>'DIY Grundmodell'!T500</f>
        <v>5013.8873000000003</v>
      </c>
      <c r="AI413" s="89">
        <f>'DIY Grundmodell'!U500</f>
        <v>467.05</v>
      </c>
      <c r="AJ413" s="89">
        <f>'DIY Grundmodell'!V500</f>
        <v>5013.8873000000003</v>
      </c>
      <c r="AK413" s="989"/>
      <c r="AL413" s="33">
        <f>'DIY Grundmodell'!X500</f>
        <v>5235.4772599999997</v>
      </c>
    </row>
    <row r="414" spans="32:38" ht="14.1" customHeight="1" x14ac:dyDescent="0.45">
      <c r="AF414" s="988">
        <f>'DIY Grundmodell'!R501</f>
        <v>45443</v>
      </c>
      <c r="AG414" s="89">
        <f>'DIY Grundmodell'!S501</f>
        <v>466.83</v>
      </c>
      <c r="AH414" s="54">
        <f>'DIY Grundmodell'!T501</f>
        <v>7898.6725699999997</v>
      </c>
      <c r="AI414" s="89">
        <f>'DIY Grundmodell'!U501</f>
        <v>466.83</v>
      </c>
      <c r="AJ414" s="89">
        <f>'DIY Grundmodell'!V501</f>
        <v>7898.6725699999997</v>
      </c>
      <c r="AK414" s="989"/>
      <c r="AL414" s="33">
        <f>'DIY Grundmodell'!X501</f>
        <v>5277.5073499999999</v>
      </c>
    </row>
    <row r="415" spans="32:38" ht="14.1" customHeight="1" x14ac:dyDescent="0.45">
      <c r="AF415" s="988">
        <f>'DIY Grundmodell'!R502</f>
        <v>45444</v>
      </c>
      <c r="AG415" s="89" t="e">
        <f>'DIY Grundmodell'!S502</f>
        <v>#N/A</v>
      </c>
      <c r="AH415" s="54" t="e">
        <f>'DIY Grundmodell'!T502</f>
        <v>#N/A</v>
      </c>
      <c r="AI415" s="89">
        <f>'DIY Grundmodell'!U502</f>
        <v>466.83</v>
      </c>
      <c r="AJ415" s="89">
        <f>'DIY Grundmodell'!V502</f>
        <v>0</v>
      </c>
      <c r="AK415" s="989"/>
      <c r="AL415" s="33">
        <f>'DIY Grundmodell'!X502</f>
        <v>5277.5073499999999</v>
      </c>
    </row>
    <row r="416" spans="32:38" ht="14.1" customHeight="1" x14ac:dyDescent="0.45">
      <c r="AF416" s="988">
        <f>'DIY Grundmodell'!R503</f>
        <v>45445</v>
      </c>
      <c r="AG416" s="89" t="e">
        <f>'DIY Grundmodell'!S503</f>
        <v>#N/A</v>
      </c>
      <c r="AH416" s="54" t="e">
        <f>'DIY Grundmodell'!T503</f>
        <v>#N/A</v>
      </c>
      <c r="AI416" s="89">
        <f>'DIY Grundmodell'!U503</f>
        <v>466.83</v>
      </c>
      <c r="AJ416" s="89">
        <f>'DIY Grundmodell'!V503</f>
        <v>0</v>
      </c>
      <c r="AK416" s="989"/>
      <c r="AL416" s="33">
        <f>'DIY Grundmodell'!X503</f>
        <v>5277.5073499999999</v>
      </c>
    </row>
    <row r="417" spans="32:38" ht="14.1" customHeight="1" x14ac:dyDescent="0.45">
      <c r="AF417" s="988">
        <f>'DIY Grundmodell'!R504</f>
        <v>45446</v>
      </c>
      <c r="AG417" s="89">
        <f>'DIY Grundmodell'!S504</f>
        <v>477.49</v>
      </c>
      <c r="AH417" s="54">
        <f>'DIY Grundmodell'!T504</f>
        <v>5385.7959300000002</v>
      </c>
      <c r="AI417" s="89">
        <f>'DIY Grundmodell'!U504</f>
        <v>477.49</v>
      </c>
      <c r="AJ417" s="89">
        <f>'DIY Grundmodell'!V504</f>
        <v>5385.7959300000002</v>
      </c>
      <c r="AK417" s="989"/>
      <c r="AL417" s="33">
        <f>'DIY Grundmodell'!X504</f>
        <v>5283.3968699999996</v>
      </c>
    </row>
    <row r="418" spans="32:38" ht="14.1" customHeight="1" x14ac:dyDescent="0.45">
      <c r="AF418" s="988">
        <f>'DIY Grundmodell'!R505</f>
        <v>45447</v>
      </c>
      <c r="AG418" s="89">
        <f>'DIY Grundmodell'!S505</f>
        <v>476.99</v>
      </c>
      <c r="AH418" s="54">
        <f>'DIY Grundmodell'!T505</f>
        <v>3381.2476000000001</v>
      </c>
      <c r="AI418" s="89">
        <f>'DIY Grundmodell'!U505</f>
        <v>476.99</v>
      </c>
      <c r="AJ418" s="89">
        <f>'DIY Grundmodell'!V505</f>
        <v>3381.2476000000001</v>
      </c>
      <c r="AK418" s="989"/>
      <c r="AL418" s="33">
        <f>'DIY Grundmodell'!X505</f>
        <v>5291.3354099999997</v>
      </c>
    </row>
    <row r="419" spans="32:38" ht="14.1" customHeight="1" x14ac:dyDescent="0.45">
      <c r="AF419" s="988">
        <f>'DIY Grundmodell'!R506</f>
        <v>45448</v>
      </c>
      <c r="AG419" s="89">
        <f>'DIY Grundmodell'!S506</f>
        <v>495.06</v>
      </c>
      <c r="AH419" s="54">
        <f>'DIY Grundmodell'!T506</f>
        <v>7767.7310100000004</v>
      </c>
      <c r="AI419" s="89">
        <f>'DIY Grundmodell'!U506</f>
        <v>495.06</v>
      </c>
      <c r="AJ419" s="89">
        <f>'DIY Grundmodell'!V506</f>
        <v>7767.7310100000004</v>
      </c>
      <c r="AK419" s="989"/>
      <c r="AL419" s="33">
        <f>'DIY Grundmodell'!X506</f>
        <v>5354.0286500000002</v>
      </c>
    </row>
    <row r="420" spans="32:38" ht="14.1" customHeight="1" x14ac:dyDescent="0.45">
      <c r="AF420" s="988">
        <f>'DIY Grundmodell'!R507</f>
        <v>45449</v>
      </c>
      <c r="AG420" s="89">
        <f>'DIY Grundmodell'!S507</f>
        <v>493.76</v>
      </c>
      <c r="AH420" s="54">
        <f>'DIY Grundmodell'!T507</f>
        <v>5267.1053099999999</v>
      </c>
      <c r="AI420" s="89">
        <f>'DIY Grundmodell'!U507</f>
        <v>493.76</v>
      </c>
      <c r="AJ420" s="89">
        <f>'DIY Grundmodell'!V507</f>
        <v>5267.1053099999999</v>
      </c>
      <c r="AK420" s="989"/>
      <c r="AL420" s="33">
        <f>'DIY Grundmodell'!X507</f>
        <v>5352.9622399999998</v>
      </c>
    </row>
    <row r="421" spans="32:38" ht="14.1" customHeight="1" x14ac:dyDescent="0.45">
      <c r="AF421" s="988">
        <f>'DIY Grundmodell'!R508</f>
        <v>45450</v>
      </c>
      <c r="AG421" s="89">
        <f>'DIY Grundmodell'!S508</f>
        <v>492.96</v>
      </c>
      <c r="AH421" s="54">
        <f>'DIY Grundmodell'!T508</f>
        <v>4624.3320599999997</v>
      </c>
      <c r="AI421" s="89">
        <f>'DIY Grundmodell'!U508</f>
        <v>492.96</v>
      </c>
      <c r="AJ421" s="89">
        <f>'DIY Grundmodell'!V508</f>
        <v>4624.3320599999997</v>
      </c>
      <c r="AK421" s="989"/>
      <c r="AL421" s="33">
        <f>'DIY Grundmodell'!X508</f>
        <v>5346.9880700000003</v>
      </c>
    </row>
    <row r="422" spans="32:38" ht="14.1" customHeight="1" x14ac:dyDescent="0.45">
      <c r="AF422" s="988">
        <f>'DIY Grundmodell'!R509</f>
        <v>45451</v>
      </c>
      <c r="AG422" s="89" t="e">
        <f>'DIY Grundmodell'!S509</f>
        <v>#N/A</v>
      </c>
      <c r="AH422" s="54" t="e">
        <f>'DIY Grundmodell'!T509</f>
        <v>#N/A</v>
      </c>
      <c r="AI422" s="89">
        <f>'DIY Grundmodell'!U509</f>
        <v>492.96</v>
      </c>
      <c r="AJ422" s="89">
        <f>'DIY Grundmodell'!V509</f>
        <v>0</v>
      </c>
      <c r="AK422" s="989"/>
      <c r="AL422" s="33">
        <f>'DIY Grundmodell'!X509</f>
        <v>5346.9880700000003</v>
      </c>
    </row>
    <row r="423" spans="32:38" ht="14.1" customHeight="1" x14ac:dyDescent="0.45">
      <c r="AF423" s="988">
        <f>'DIY Grundmodell'!R510</f>
        <v>45452</v>
      </c>
      <c r="AG423" s="89" t="e">
        <f>'DIY Grundmodell'!S510</f>
        <v>#N/A</v>
      </c>
      <c r="AH423" s="54" t="e">
        <f>'DIY Grundmodell'!T510</f>
        <v>#N/A</v>
      </c>
      <c r="AI423" s="89">
        <f>'DIY Grundmodell'!U510</f>
        <v>492.96</v>
      </c>
      <c r="AJ423" s="89">
        <f>'DIY Grundmodell'!V510</f>
        <v>0</v>
      </c>
      <c r="AK423" s="989"/>
      <c r="AL423" s="33">
        <f>'DIY Grundmodell'!X510</f>
        <v>5346.9880700000003</v>
      </c>
    </row>
    <row r="424" spans="32:38" ht="14.1" customHeight="1" x14ac:dyDescent="0.45">
      <c r="AF424" s="988">
        <f>'DIY Grundmodell'!R511</f>
        <v>45453</v>
      </c>
      <c r="AG424" s="89">
        <f>'DIY Grundmodell'!S511</f>
        <v>502.6</v>
      </c>
      <c r="AH424" s="54">
        <f>'DIY Grundmodell'!T511</f>
        <v>5647.6754899999996</v>
      </c>
      <c r="AI424" s="89">
        <f>'DIY Grundmodell'!U511</f>
        <v>502.6</v>
      </c>
      <c r="AJ424" s="89">
        <f>'DIY Grundmodell'!V511</f>
        <v>5647.6754899999996</v>
      </c>
      <c r="AK424" s="989"/>
      <c r="AL424" s="33">
        <f>'DIY Grundmodell'!X511</f>
        <v>5360.7884899999999</v>
      </c>
    </row>
    <row r="425" spans="32:38" ht="14.1" customHeight="1" x14ac:dyDescent="0.45">
      <c r="AF425" s="988">
        <f>'DIY Grundmodell'!R512</f>
        <v>45454</v>
      </c>
      <c r="AG425" s="89">
        <f>'DIY Grundmodell'!S512</f>
        <v>507.47</v>
      </c>
      <c r="AH425" s="54">
        <f>'DIY Grundmodell'!T512</f>
        <v>4909.1201499999997</v>
      </c>
      <c r="AI425" s="89">
        <f>'DIY Grundmodell'!U512</f>
        <v>507.47</v>
      </c>
      <c r="AJ425" s="89">
        <f>'DIY Grundmodell'!V512</f>
        <v>4909.1201499999997</v>
      </c>
      <c r="AK425" s="989"/>
      <c r="AL425" s="33">
        <f>'DIY Grundmodell'!X512</f>
        <v>5375.3161799999998</v>
      </c>
    </row>
    <row r="426" spans="32:38" ht="14.1" customHeight="1" x14ac:dyDescent="0.45">
      <c r="AF426" s="988">
        <f>'DIY Grundmodell'!R513</f>
        <v>45455</v>
      </c>
      <c r="AG426" s="89">
        <f>'DIY Grundmodell'!S513</f>
        <v>508.84</v>
      </c>
      <c r="AH426" s="54">
        <f>'DIY Grundmodell'!T513</f>
        <v>6097.5452299999997</v>
      </c>
      <c r="AI426" s="89">
        <f>'DIY Grundmodell'!U513</f>
        <v>508.84</v>
      </c>
      <c r="AJ426" s="89">
        <f>'DIY Grundmodell'!V513</f>
        <v>6097.5452299999997</v>
      </c>
      <c r="AK426" s="989"/>
      <c r="AL426" s="33">
        <f>'DIY Grundmodell'!X513</f>
        <v>5421.02585</v>
      </c>
    </row>
    <row r="427" spans="32:38" ht="14.1" customHeight="1" x14ac:dyDescent="0.45">
      <c r="AF427" s="988">
        <f>'DIY Grundmodell'!R514</f>
        <v>45456</v>
      </c>
      <c r="AG427" s="89">
        <f>'DIY Grundmodell'!S514</f>
        <v>504.1</v>
      </c>
      <c r="AH427" s="54">
        <f>'DIY Grundmodell'!T514</f>
        <v>5018.1244500000003</v>
      </c>
      <c r="AI427" s="89">
        <f>'DIY Grundmodell'!U514</f>
        <v>504.1</v>
      </c>
      <c r="AJ427" s="89">
        <f>'DIY Grundmodell'!V514</f>
        <v>5018.1244500000003</v>
      </c>
      <c r="AK427" s="989"/>
      <c r="AL427" s="33">
        <f>'DIY Grundmodell'!X514</f>
        <v>5433.7431999999999</v>
      </c>
    </row>
    <row r="428" spans="32:38" ht="14.1" customHeight="1" x14ac:dyDescent="0.45">
      <c r="AF428" s="988">
        <f>'DIY Grundmodell'!R515</f>
        <v>45457</v>
      </c>
      <c r="AG428" s="89">
        <f>'DIY Grundmodell'!S515</f>
        <v>504.16</v>
      </c>
      <c r="AH428" s="54">
        <f>'DIY Grundmodell'!T515</f>
        <v>5164.2858200000001</v>
      </c>
      <c r="AI428" s="89">
        <f>'DIY Grundmodell'!U515</f>
        <v>504.16</v>
      </c>
      <c r="AJ428" s="89">
        <f>'DIY Grundmodell'!V515</f>
        <v>5164.2858200000001</v>
      </c>
      <c r="AK428" s="989"/>
      <c r="AL428" s="33">
        <f>'DIY Grundmodell'!X515</f>
        <v>5431.6016499999996</v>
      </c>
    </row>
    <row r="429" spans="32:38" ht="14.1" customHeight="1" x14ac:dyDescent="0.45">
      <c r="AF429" s="988">
        <f>'DIY Grundmodell'!R516</f>
        <v>45458</v>
      </c>
      <c r="AG429" s="89" t="e">
        <f>'DIY Grundmodell'!S516</f>
        <v>#N/A</v>
      </c>
      <c r="AH429" s="54" t="e">
        <f>'DIY Grundmodell'!T516</f>
        <v>#N/A</v>
      </c>
      <c r="AI429" s="89">
        <f>'DIY Grundmodell'!U516</f>
        <v>504.16</v>
      </c>
      <c r="AJ429" s="89">
        <f>'DIY Grundmodell'!V516</f>
        <v>0</v>
      </c>
      <c r="AK429" s="989"/>
      <c r="AL429" s="33">
        <f>'DIY Grundmodell'!X516</f>
        <v>5431.6016499999996</v>
      </c>
    </row>
    <row r="430" spans="32:38" ht="14.1" customHeight="1" x14ac:dyDescent="0.45">
      <c r="AF430" s="988">
        <f>'DIY Grundmodell'!R517</f>
        <v>45459</v>
      </c>
      <c r="AG430" s="89" t="e">
        <f>'DIY Grundmodell'!S517</f>
        <v>#N/A</v>
      </c>
      <c r="AH430" s="54" t="e">
        <f>'DIY Grundmodell'!T517</f>
        <v>#N/A</v>
      </c>
      <c r="AI430" s="89">
        <f>'DIY Grundmodell'!U517</f>
        <v>504.16</v>
      </c>
      <c r="AJ430" s="89">
        <f>'DIY Grundmodell'!V517</f>
        <v>0</v>
      </c>
      <c r="AK430" s="989"/>
      <c r="AL430" s="33">
        <f>'DIY Grundmodell'!X517</f>
        <v>5431.6016499999996</v>
      </c>
    </row>
    <row r="431" spans="32:38" ht="14.1" customHeight="1" x14ac:dyDescent="0.45">
      <c r="AF431" s="988">
        <f>'DIY Grundmodell'!R518</f>
        <v>45460</v>
      </c>
      <c r="AG431" s="89">
        <f>'DIY Grundmodell'!S518</f>
        <v>506.63</v>
      </c>
      <c r="AH431" s="54">
        <f>'DIY Grundmodell'!T518</f>
        <v>5707.9980699999996</v>
      </c>
      <c r="AI431" s="89">
        <f>'DIY Grundmodell'!U518</f>
        <v>506.63</v>
      </c>
      <c r="AJ431" s="89">
        <f>'DIY Grundmodell'!V518</f>
        <v>5707.9980699999996</v>
      </c>
      <c r="AK431" s="989"/>
      <c r="AL431" s="33">
        <f>'DIY Grundmodell'!X518</f>
        <v>5473.23315</v>
      </c>
    </row>
    <row r="432" spans="32:38" ht="14.1" customHeight="1" x14ac:dyDescent="0.45">
      <c r="AF432" s="988">
        <f>'DIY Grundmodell'!R519</f>
        <v>45461</v>
      </c>
      <c r="AG432" s="89">
        <f>'DIY Grundmodell'!S519</f>
        <v>499.49</v>
      </c>
      <c r="AH432" s="54">
        <f>'DIY Grundmodell'!T519</f>
        <v>6523.5516799999996</v>
      </c>
      <c r="AI432" s="89">
        <f>'DIY Grundmodell'!U519</f>
        <v>499.49</v>
      </c>
      <c r="AJ432" s="89">
        <f>'DIY Grundmodell'!V519</f>
        <v>6523.5516799999996</v>
      </c>
      <c r="AK432" s="989"/>
      <c r="AL432" s="33">
        <f>'DIY Grundmodell'!X519</f>
        <v>5487.0264900000002</v>
      </c>
    </row>
    <row r="433" spans="32:38" ht="14.1" customHeight="1" x14ac:dyDescent="0.45">
      <c r="AF433" s="988">
        <f>'DIY Grundmodell'!R520</f>
        <v>45462</v>
      </c>
      <c r="AG433" s="89" t="e">
        <f>'DIY Grundmodell'!S520</f>
        <v>#N/A</v>
      </c>
      <c r="AH433" s="54" t="e">
        <f>'DIY Grundmodell'!T520</f>
        <v>#N/A</v>
      </c>
      <c r="AI433" s="89">
        <f>'DIY Grundmodell'!U520</f>
        <v>499.49</v>
      </c>
      <c r="AJ433" s="89">
        <f>'DIY Grundmodell'!V520</f>
        <v>0</v>
      </c>
      <c r="AK433" s="989"/>
      <c r="AL433" s="33">
        <f>'DIY Grundmodell'!X520</f>
        <v>5487.0264900000002</v>
      </c>
    </row>
    <row r="434" spans="32:38" ht="14.1" customHeight="1" x14ac:dyDescent="0.45">
      <c r="AF434" s="988">
        <f>'DIY Grundmodell'!R521</f>
        <v>45463</v>
      </c>
      <c r="AG434" s="89">
        <f>'DIY Grundmodell'!S521</f>
        <v>501.7</v>
      </c>
      <c r="AH434" s="54">
        <f>'DIY Grundmodell'!T521</f>
        <v>5920.65301</v>
      </c>
      <c r="AI434" s="89">
        <f>'DIY Grundmodell'!U521</f>
        <v>501.7</v>
      </c>
      <c r="AJ434" s="89">
        <f>'DIY Grundmodell'!V521</f>
        <v>5920.65301</v>
      </c>
      <c r="AK434" s="989"/>
      <c r="AL434" s="33">
        <f>'DIY Grundmodell'!X521</f>
        <v>5473.1687899999997</v>
      </c>
    </row>
    <row r="435" spans="32:38" ht="14.1" customHeight="1" x14ac:dyDescent="0.45">
      <c r="AF435" s="988">
        <f>'DIY Grundmodell'!R522</f>
        <v>45464</v>
      </c>
      <c r="AG435" s="89">
        <f>'DIY Grundmodell'!S522</f>
        <v>494.78</v>
      </c>
      <c r="AH435" s="54">
        <f>'DIY Grundmodell'!T522</f>
        <v>11444.623579999999</v>
      </c>
      <c r="AI435" s="89">
        <f>'DIY Grundmodell'!U522</f>
        <v>494.78</v>
      </c>
      <c r="AJ435" s="89">
        <f>'DIY Grundmodell'!V522</f>
        <v>11444.623579999999</v>
      </c>
      <c r="AK435" s="989"/>
      <c r="AL435" s="33">
        <f>'DIY Grundmodell'!X522</f>
        <v>5464.6213399999997</v>
      </c>
    </row>
    <row r="436" spans="32:38" ht="14.1" customHeight="1" x14ac:dyDescent="0.45">
      <c r="AF436" s="988">
        <f>'DIY Grundmodell'!R523</f>
        <v>45465</v>
      </c>
      <c r="AG436" s="89" t="e">
        <f>'DIY Grundmodell'!S523</f>
        <v>#N/A</v>
      </c>
      <c r="AH436" s="54" t="e">
        <f>'DIY Grundmodell'!T523</f>
        <v>#N/A</v>
      </c>
      <c r="AI436" s="89">
        <f>'DIY Grundmodell'!U523</f>
        <v>494.78</v>
      </c>
      <c r="AJ436" s="89">
        <f>'DIY Grundmodell'!V523</f>
        <v>0</v>
      </c>
      <c r="AK436" s="989"/>
      <c r="AL436" s="33">
        <f>'DIY Grundmodell'!X523</f>
        <v>5464.6213399999997</v>
      </c>
    </row>
    <row r="437" spans="32:38" ht="14.1" customHeight="1" x14ac:dyDescent="0.45">
      <c r="AF437" s="988">
        <f>'DIY Grundmodell'!R524</f>
        <v>45466</v>
      </c>
      <c r="AG437" s="89" t="e">
        <f>'DIY Grundmodell'!S524</f>
        <v>#N/A</v>
      </c>
      <c r="AH437" s="54" t="e">
        <f>'DIY Grundmodell'!T524</f>
        <v>#N/A</v>
      </c>
      <c r="AI437" s="89">
        <f>'DIY Grundmodell'!U524</f>
        <v>494.78</v>
      </c>
      <c r="AJ437" s="89">
        <f>'DIY Grundmodell'!V524</f>
        <v>0</v>
      </c>
      <c r="AK437" s="989"/>
      <c r="AL437" s="33">
        <f>'DIY Grundmodell'!X524</f>
        <v>5464.6213399999997</v>
      </c>
    </row>
    <row r="438" spans="32:38" ht="14.1" customHeight="1" x14ac:dyDescent="0.45">
      <c r="AF438" s="988">
        <f>'DIY Grundmodell'!R525</f>
        <v>45467</v>
      </c>
      <c r="AG438" s="89">
        <f>'DIY Grundmodell'!S525</f>
        <v>498.91</v>
      </c>
      <c r="AH438" s="54">
        <f>'DIY Grundmodell'!T525</f>
        <v>6747.8964500000002</v>
      </c>
      <c r="AI438" s="89">
        <f>'DIY Grundmodell'!U525</f>
        <v>498.91</v>
      </c>
      <c r="AJ438" s="89">
        <f>'DIY Grundmodell'!V525</f>
        <v>6747.8964500000002</v>
      </c>
      <c r="AK438" s="989"/>
      <c r="AL438" s="33">
        <f>'DIY Grundmodell'!X525</f>
        <v>5447.8726500000002</v>
      </c>
    </row>
    <row r="439" spans="32:38" ht="14.1" customHeight="1" x14ac:dyDescent="0.45">
      <c r="AF439" s="988">
        <f>'DIY Grundmodell'!R526</f>
        <v>45468</v>
      </c>
      <c r="AG439" s="89">
        <f>'DIY Grundmodell'!S526</f>
        <v>510.6</v>
      </c>
      <c r="AH439" s="54">
        <f>'DIY Grundmodell'!T526</f>
        <v>6183.2480500000001</v>
      </c>
      <c r="AI439" s="89">
        <f>'DIY Grundmodell'!U526</f>
        <v>510.6</v>
      </c>
      <c r="AJ439" s="89">
        <f>'DIY Grundmodell'!V526</f>
        <v>6183.2480500000001</v>
      </c>
      <c r="AK439" s="989"/>
      <c r="AL439" s="33">
        <f>'DIY Grundmodell'!X526</f>
        <v>5469.2974299999996</v>
      </c>
    </row>
    <row r="440" spans="32:38" ht="14.1" customHeight="1" x14ac:dyDescent="0.45">
      <c r="AF440" s="988">
        <f>'DIY Grundmodell'!R527</f>
        <v>45469</v>
      </c>
      <c r="AG440" s="89">
        <f>'DIY Grundmodell'!S527</f>
        <v>513.12</v>
      </c>
      <c r="AH440" s="54">
        <f>'DIY Grundmodell'!T527</f>
        <v>4557.7047599999996</v>
      </c>
      <c r="AI440" s="89">
        <f>'DIY Grundmodell'!U527</f>
        <v>513.12</v>
      </c>
      <c r="AJ440" s="89">
        <f>'DIY Grundmodell'!V527</f>
        <v>4557.7047599999996</v>
      </c>
      <c r="AK440" s="989"/>
      <c r="AL440" s="33">
        <f>'DIY Grundmodell'!X527</f>
        <v>5477.90362</v>
      </c>
    </row>
    <row r="441" spans="32:38" ht="14.1" customHeight="1" x14ac:dyDescent="0.45">
      <c r="AF441" s="988">
        <f>'DIY Grundmodell'!R528</f>
        <v>45470</v>
      </c>
      <c r="AG441" s="89">
        <f>'DIY Grundmodell'!S528</f>
        <v>519.55999999999995</v>
      </c>
      <c r="AH441" s="54">
        <f>'DIY Grundmodell'!T528</f>
        <v>5258.5701499999996</v>
      </c>
      <c r="AI441" s="89">
        <f>'DIY Grundmodell'!U528</f>
        <v>519.55999999999995</v>
      </c>
      <c r="AJ441" s="89">
        <f>'DIY Grundmodell'!V528</f>
        <v>5258.5701499999996</v>
      </c>
      <c r="AK441" s="989"/>
      <c r="AL441" s="33">
        <f>'DIY Grundmodell'!X528</f>
        <v>5482.8717800000004</v>
      </c>
    </row>
    <row r="442" spans="32:38" ht="14.1" customHeight="1" x14ac:dyDescent="0.45">
      <c r="AF442" s="988">
        <f>'DIY Grundmodell'!R529</f>
        <v>45471</v>
      </c>
      <c r="AG442" s="89">
        <f>'DIY Grundmodell'!S529</f>
        <v>504.22</v>
      </c>
      <c r="AH442" s="54">
        <f>'DIY Grundmodell'!T529</f>
        <v>7994.4771799999999</v>
      </c>
      <c r="AI442" s="89">
        <f>'DIY Grundmodell'!U529</f>
        <v>504.22</v>
      </c>
      <c r="AJ442" s="89">
        <f>'DIY Grundmodell'!V529</f>
        <v>7994.4771799999999</v>
      </c>
      <c r="AK442" s="989"/>
      <c r="AL442" s="33">
        <f>'DIY Grundmodell'!X529</f>
        <v>5460.4826199999998</v>
      </c>
    </row>
    <row r="443" spans="32:38" ht="14.1" customHeight="1" x14ac:dyDescent="0.45">
      <c r="AF443" s="988">
        <f>'DIY Grundmodell'!R530</f>
        <v>45472</v>
      </c>
      <c r="AG443" s="89" t="e">
        <f>'DIY Grundmodell'!S530</f>
        <v>#N/A</v>
      </c>
      <c r="AH443" s="54" t="e">
        <f>'DIY Grundmodell'!T530</f>
        <v>#N/A</v>
      </c>
      <c r="AI443" s="89">
        <f>'DIY Grundmodell'!U530</f>
        <v>504.22</v>
      </c>
      <c r="AJ443" s="89">
        <f>'DIY Grundmodell'!V530</f>
        <v>0</v>
      </c>
      <c r="AK443" s="989"/>
      <c r="AL443" s="33">
        <f>'DIY Grundmodell'!X530</f>
        <v>5460.4826199999998</v>
      </c>
    </row>
    <row r="444" spans="32:38" ht="14.1" customHeight="1" x14ac:dyDescent="0.45">
      <c r="AF444" s="988">
        <f>'DIY Grundmodell'!R531</f>
        <v>45473</v>
      </c>
      <c r="AG444" s="89" t="e">
        <f>'DIY Grundmodell'!S531</f>
        <v>#N/A</v>
      </c>
      <c r="AH444" s="54" t="e">
        <f>'DIY Grundmodell'!T531</f>
        <v>#N/A</v>
      </c>
      <c r="AI444" s="89">
        <f>'DIY Grundmodell'!U531</f>
        <v>504.22</v>
      </c>
      <c r="AJ444" s="89">
        <f>'DIY Grundmodell'!V531</f>
        <v>0</v>
      </c>
      <c r="AK444" s="989"/>
      <c r="AL444" s="33">
        <f>'DIY Grundmodell'!X531</f>
        <v>5460.4826199999998</v>
      </c>
    </row>
    <row r="445" spans="32:38" ht="14.1" customHeight="1" x14ac:dyDescent="0.45">
      <c r="AF445" s="988">
        <f>'DIY Grundmodell'!R532</f>
        <v>45474</v>
      </c>
      <c r="AG445" s="89">
        <f>'DIY Grundmodell'!S532</f>
        <v>504.68</v>
      </c>
      <c r="AH445" s="54">
        <f>'DIY Grundmodell'!T532</f>
        <v>5212.4107400000003</v>
      </c>
      <c r="AI445" s="89">
        <f>'DIY Grundmodell'!U532</f>
        <v>504.68</v>
      </c>
      <c r="AJ445" s="89">
        <f>'DIY Grundmodell'!V532</f>
        <v>5212.4107400000003</v>
      </c>
      <c r="AK445" s="989"/>
      <c r="AL445" s="33">
        <f>'DIY Grundmodell'!X532</f>
        <v>5475.08835</v>
      </c>
    </row>
    <row r="446" spans="32:38" ht="14.1" customHeight="1" x14ac:dyDescent="0.45">
      <c r="AF446" s="988">
        <f>'DIY Grundmodell'!R533</f>
        <v>45475</v>
      </c>
      <c r="AG446" s="89">
        <f>'DIY Grundmodell'!S533</f>
        <v>509.5</v>
      </c>
      <c r="AH446" s="54">
        <f>'DIY Grundmodell'!T533</f>
        <v>3943.2645499999999</v>
      </c>
      <c r="AI446" s="89">
        <f>'DIY Grundmodell'!U533</f>
        <v>509.5</v>
      </c>
      <c r="AJ446" s="89">
        <f>'DIY Grundmodell'!V533</f>
        <v>3943.2645499999999</v>
      </c>
      <c r="AK446" s="989"/>
      <c r="AL446" s="33">
        <f>'DIY Grundmodell'!X533</f>
        <v>5509.0111100000004</v>
      </c>
    </row>
    <row r="447" spans="32:38" ht="14.1" customHeight="1" x14ac:dyDescent="0.45">
      <c r="AF447" s="988">
        <f>'DIY Grundmodell'!R534</f>
        <v>45476</v>
      </c>
      <c r="AG447" s="89">
        <f>'DIY Grundmodell'!S534</f>
        <v>509.96</v>
      </c>
      <c r="AH447" s="54">
        <f>'DIY Grundmodell'!T534</f>
        <v>3062.6234300000001</v>
      </c>
      <c r="AI447" s="89">
        <f>'DIY Grundmodell'!U534</f>
        <v>509.96</v>
      </c>
      <c r="AJ447" s="89">
        <f>'DIY Grundmodell'!V534</f>
        <v>3062.6234300000001</v>
      </c>
      <c r="AK447" s="989"/>
      <c r="AL447" s="33">
        <f>'DIY Grundmodell'!X534</f>
        <v>5537.0191299999997</v>
      </c>
    </row>
    <row r="448" spans="32:38" ht="14.1" customHeight="1" x14ac:dyDescent="0.45">
      <c r="AF448" s="988">
        <f>'DIY Grundmodell'!R535</f>
        <v>45477</v>
      </c>
      <c r="AG448" s="89" t="e">
        <f>'DIY Grundmodell'!S535</f>
        <v>#N/A</v>
      </c>
      <c r="AH448" s="54" t="e">
        <f>'DIY Grundmodell'!T535</f>
        <v>#N/A</v>
      </c>
      <c r="AI448" s="89">
        <f>'DIY Grundmodell'!U535</f>
        <v>509.96</v>
      </c>
      <c r="AJ448" s="89">
        <f>'DIY Grundmodell'!V535</f>
        <v>0</v>
      </c>
      <c r="AK448" s="989"/>
      <c r="AL448" s="33">
        <f>'DIY Grundmodell'!X535</f>
        <v>5537.0191299999997</v>
      </c>
    </row>
    <row r="449" spans="32:38" ht="14.1" customHeight="1" x14ac:dyDescent="0.45">
      <c r="AF449" s="988">
        <f>'DIY Grundmodell'!R536</f>
        <v>45478</v>
      </c>
      <c r="AG449" s="89">
        <f>'DIY Grundmodell'!S536</f>
        <v>539.91</v>
      </c>
      <c r="AH449" s="54">
        <f>'DIY Grundmodell'!T536</f>
        <v>11529.288350000001</v>
      </c>
      <c r="AI449" s="89">
        <f>'DIY Grundmodell'!U536</f>
        <v>539.91</v>
      </c>
      <c r="AJ449" s="89">
        <f>'DIY Grundmodell'!V536</f>
        <v>11529.288350000001</v>
      </c>
      <c r="AK449" s="989"/>
      <c r="AL449" s="33">
        <f>'DIY Grundmodell'!X536</f>
        <v>5567.1903899999998</v>
      </c>
    </row>
    <row r="450" spans="32:38" ht="14.1" customHeight="1" x14ac:dyDescent="0.45">
      <c r="AF450" s="988">
        <f>'DIY Grundmodell'!R537</f>
        <v>45479</v>
      </c>
      <c r="AG450" s="89" t="e">
        <f>'DIY Grundmodell'!S537</f>
        <v>#N/A</v>
      </c>
      <c r="AH450" s="54" t="e">
        <f>'DIY Grundmodell'!T537</f>
        <v>#N/A</v>
      </c>
      <c r="AI450" s="89">
        <f>'DIY Grundmodell'!U537</f>
        <v>539.91</v>
      </c>
      <c r="AJ450" s="89">
        <f>'DIY Grundmodell'!V537</f>
        <v>0</v>
      </c>
      <c r="AK450" s="989"/>
      <c r="AL450" s="33">
        <f>'DIY Grundmodell'!X537</f>
        <v>5567.1903899999998</v>
      </c>
    </row>
    <row r="451" spans="32:38" ht="14.1" customHeight="1" x14ac:dyDescent="0.45">
      <c r="AF451" s="988">
        <f>'DIY Grundmodell'!R538</f>
        <v>45480</v>
      </c>
      <c r="AG451" s="89" t="e">
        <f>'DIY Grundmodell'!S538</f>
        <v>#N/A</v>
      </c>
      <c r="AH451" s="54" t="e">
        <f>'DIY Grundmodell'!T538</f>
        <v>#N/A</v>
      </c>
      <c r="AI451" s="89">
        <f>'DIY Grundmodell'!U538</f>
        <v>539.91</v>
      </c>
      <c r="AJ451" s="89">
        <f>'DIY Grundmodell'!V538</f>
        <v>0</v>
      </c>
      <c r="AK451" s="989"/>
      <c r="AL451" s="33">
        <f>'DIY Grundmodell'!X538</f>
        <v>5567.1903899999998</v>
      </c>
    </row>
    <row r="452" spans="32:38" ht="14.1" customHeight="1" x14ac:dyDescent="0.45">
      <c r="AF452" s="988">
        <f>'DIY Grundmodell'!R539</f>
        <v>45481</v>
      </c>
      <c r="AG452" s="89">
        <f>'DIY Grundmodell'!S539</f>
        <v>529.32000000000005</v>
      </c>
      <c r="AH452" s="54">
        <f>'DIY Grundmodell'!T539</f>
        <v>7896.1284500000002</v>
      </c>
      <c r="AI452" s="89">
        <f>'DIY Grundmodell'!U539</f>
        <v>529.32000000000005</v>
      </c>
      <c r="AJ452" s="89">
        <f>'DIY Grundmodell'!V539</f>
        <v>7896.1284500000002</v>
      </c>
      <c r="AK452" s="989"/>
      <c r="AL452" s="33">
        <f>'DIY Grundmodell'!X539</f>
        <v>5572.8501999999999</v>
      </c>
    </row>
    <row r="453" spans="32:38" ht="14.1" customHeight="1" x14ac:dyDescent="0.45">
      <c r="AF453" s="988">
        <f>'DIY Grundmodell'!R540</f>
        <v>45482</v>
      </c>
      <c r="AG453" s="89">
        <f>'DIY Grundmodell'!S540</f>
        <v>530</v>
      </c>
      <c r="AH453" s="54">
        <f>'DIY Grundmodell'!T540</f>
        <v>4647.6166400000002</v>
      </c>
      <c r="AI453" s="89">
        <f>'DIY Grundmodell'!U540</f>
        <v>530</v>
      </c>
      <c r="AJ453" s="89">
        <f>'DIY Grundmodell'!V540</f>
        <v>4647.6166400000002</v>
      </c>
      <c r="AK453" s="989"/>
      <c r="AL453" s="33">
        <f>'DIY Grundmodell'!X540</f>
        <v>5576.9844999999996</v>
      </c>
    </row>
    <row r="454" spans="32:38" ht="14.1" customHeight="1" x14ac:dyDescent="0.45">
      <c r="AF454" s="988">
        <f>'DIY Grundmodell'!R541</f>
        <v>45483</v>
      </c>
      <c r="AG454" s="89">
        <f>'DIY Grundmodell'!S541</f>
        <v>534.69000000000005</v>
      </c>
      <c r="AH454" s="54">
        <f>'DIY Grundmodell'!T541</f>
        <v>5872.6478399999996</v>
      </c>
      <c r="AI454" s="89">
        <f>'DIY Grundmodell'!U541</f>
        <v>534.69000000000005</v>
      </c>
      <c r="AJ454" s="89">
        <f>'DIY Grundmodell'!V541</f>
        <v>5872.6478399999996</v>
      </c>
      <c r="AK454" s="989"/>
      <c r="AL454" s="33">
        <f>'DIY Grundmodell'!X541</f>
        <v>5633.9122100000004</v>
      </c>
    </row>
    <row r="455" spans="32:38" ht="14.1" customHeight="1" x14ac:dyDescent="0.45">
      <c r="AF455" s="988">
        <f>'DIY Grundmodell'!R542</f>
        <v>45484</v>
      </c>
      <c r="AG455" s="89">
        <f>'DIY Grundmodell'!S542</f>
        <v>512.70000000000005</v>
      </c>
      <c r="AH455" s="54">
        <f>'DIY Grundmodell'!T542</f>
        <v>8438.1463100000001</v>
      </c>
      <c r="AI455" s="89">
        <f>'DIY Grundmodell'!U542</f>
        <v>512.70000000000005</v>
      </c>
      <c r="AJ455" s="89">
        <f>'DIY Grundmodell'!V542</f>
        <v>8438.1463100000001</v>
      </c>
      <c r="AK455" s="989"/>
      <c r="AL455" s="33">
        <f>'DIY Grundmodell'!X542</f>
        <v>5584.5443299999997</v>
      </c>
    </row>
    <row r="456" spans="32:38" ht="14.1" customHeight="1" x14ac:dyDescent="0.45">
      <c r="AF456" s="988">
        <f>'DIY Grundmodell'!R543</f>
        <v>45485</v>
      </c>
      <c r="AG456" s="89">
        <f>'DIY Grundmodell'!S543</f>
        <v>498.87</v>
      </c>
      <c r="AH456" s="54">
        <f>'DIY Grundmodell'!T543</f>
        <v>9852.9538900000007</v>
      </c>
      <c r="AI456" s="89">
        <f>'DIY Grundmodell'!U543</f>
        <v>498.87</v>
      </c>
      <c r="AJ456" s="89">
        <f>'DIY Grundmodell'!V543</f>
        <v>9852.9538900000007</v>
      </c>
      <c r="AK456" s="989"/>
      <c r="AL456" s="33">
        <f>'DIY Grundmodell'!X543</f>
        <v>5615.3487599999999</v>
      </c>
    </row>
    <row r="457" spans="32:38" ht="14.1" customHeight="1" x14ac:dyDescent="0.45">
      <c r="AF457" s="988">
        <f>'DIY Grundmodell'!R544</f>
        <v>45486</v>
      </c>
      <c r="AG457" s="89" t="e">
        <f>'DIY Grundmodell'!S544</f>
        <v>#N/A</v>
      </c>
      <c r="AH457" s="54" t="e">
        <f>'DIY Grundmodell'!T544</f>
        <v>#N/A</v>
      </c>
      <c r="AI457" s="89">
        <f>'DIY Grundmodell'!U544</f>
        <v>498.87</v>
      </c>
      <c r="AJ457" s="89">
        <f>'DIY Grundmodell'!V544</f>
        <v>0</v>
      </c>
      <c r="AK457" s="989"/>
      <c r="AL457" s="33">
        <f>'DIY Grundmodell'!X544</f>
        <v>5615.3487599999999</v>
      </c>
    </row>
    <row r="458" spans="32:38" ht="14.1" customHeight="1" x14ac:dyDescent="0.45">
      <c r="AF458" s="988">
        <f>'DIY Grundmodell'!R545</f>
        <v>45487</v>
      </c>
      <c r="AG458" s="89" t="e">
        <f>'DIY Grundmodell'!S545</f>
        <v>#N/A</v>
      </c>
      <c r="AH458" s="54" t="e">
        <f>'DIY Grundmodell'!T545</f>
        <v>#N/A</v>
      </c>
      <c r="AI458" s="89">
        <f>'DIY Grundmodell'!U545</f>
        <v>498.87</v>
      </c>
      <c r="AJ458" s="89">
        <f>'DIY Grundmodell'!V545</f>
        <v>0</v>
      </c>
      <c r="AK458" s="989"/>
      <c r="AL458" s="33">
        <f>'DIY Grundmodell'!X545</f>
        <v>5615.3487599999999</v>
      </c>
    </row>
    <row r="459" spans="32:38" ht="14.1" customHeight="1" x14ac:dyDescent="0.45">
      <c r="AF459" s="988">
        <f>'DIY Grundmodell'!R546</f>
        <v>45488</v>
      </c>
      <c r="AG459" s="89">
        <f>'DIY Grundmodell'!S546</f>
        <v>496.16</v>
      </c>
      <c r="AH459" s="54">
        <f>'DIY Grundmodell'!T546</f>
        <v>6221.4311100000004</v>
      </c>
      <c r="AI459" s="89">
        <f>'DIY Grundmodell'!U546</f>
        <v>496.16</v>
      </c>
      <c r="AJ459" s="89">
        <f>'DIY Grundmodell'!V546</f>
        <v>6221.4311100000004</v>
      </c>
      <c r="AK459" s="989"/>
      <c r="AL459" s="33">
        <f>'DIY Grundmodell'!X546</f>
        <v>5631.2160400000002</v>
      </c>
    </row>
    <row r="460" spans="32:38" ht="14.1" customHeight="1" x14ac:dyDescent="0.45">
      <c r="AF460" s="988">
        <f>'DIY Grundmodell'!R547</f>
        <v>45489</v>
      </c>
      <c r="AG460" s="89">
        <f>'DIY Grundmodell'!S547</f>
        <v>489.79</v>
      </c>
      <c r="AH460" s="54">
        <f>'DIY Grundmodell'!T547</f>
        <v>6894.2022500000003</v>
      </c>
      <c r="AI460" s="89">
        <f>'DIY Grundmodell'!U547</f>
        <v>489.79</v>
      </c>
      <c r="AJ460" s="89">
        <f>'DIY Grundmodell'!V547</f>
        <v>6894.2022500000003</v>
      </c>
      <c r="AK460" s="989"/>
      <c r="AL460" s="33">
        <f>'DIY Grundmodell'!X547</f>
        <v>5667.19769</v>
      </c>
    </row>
    <row r="461" spans="32:38" ht="14.1" customHeight="1" x14ac:dyDescent="0.45">
      <c r="AF461" s="988">
        <f>'DIY Grundmodell'!R548</f>
        <v>45490</v>
      </c>
      <c r="AG461" s="89">
        <f>'DIY Grundmodell'!S548</f>
        <v>461.99</v>
      </c>
      <c r="AH461" s="54">
        <f>'DIY Grundmodell'!T548</f>
        <v>12971.10612</v>
      </c>
      <c r="AI461" s="89">
        <f>'DIY Grundmodell'!U548</f>
        <v>461.99</v>
      </c>
      <c r="AJ461" s="89">
        <f>'DIY Grundmodell'!V548</f>
        <v>12971.10612</v>
      </c>
      <c r="AK461" s="989"/>
      <c r="AL461" s="33">
        <f>'DIY Grundmodell'!X548</f>
        <v>5588.2716899999996</v>
      </c>
    </row>
    <row r="462" spans="32:38" ht="14.1" customHeight="1" x14ac:dyDescent="0.45">
      <c r="AF462" s="988">
        <f>'DIY Grundmodell'!R549</f>
        <v>45491</v>
      </c>
      <c r="AG462" s="89">
        <f>'DIY Grundmodell'!S549</f>
        <v>475.85</v>
      </c>
      <c r="AH462" s="54">
        <f>'DIY Grundmodell'!T549</f>
        <v>9168.2780899999998</v>
      </c>
      <c r="AI462" s="89">
        <f>'DIY Grundmodell'!U549</f>
        <v>475.85</v>
      </c>
      <c r="AJ462" s="89">
        <f>'DIY Grundmodell'!V549</f>
        <v>9168.2780899999998</v>
      </c>
      <c r="AK462" s="989"/>
      <c r="AL462" s="33">
        <f>'DIY Grundmodell'!X549</f>
        <v>5544.5932400000002</v>
      </c>
    </row>
    <row r="463" spans="32:38" ht="14.1" customHeight="1" x14ac:dyDescent="0.45">
      <c r="AF463" s="988">
        <f>'DIY Grundmodell'!R550</f>
        <v>45492</v>
      </c>
      <c r="AG463" s="89">
        <f>'DIY Grundmodell'!S550</f>
        <v>476.79</v>
      </c>
      <c r="AH463" s="54">
        <f>'DIY Grundmodell'!T550</f>
        <v>7223.0900600000004</v>
      </c>
      <c r="AI463" s="89">
        <f>'DIY Grundmodell'!U550</f>
        <v>476.79</v>
      </c>
      <c r="AJ463" s="89">
        <f>'DIY Grundmodell'!V550</f>
        <v>7223.0900600000004</v>
      </c>
      <c r="AK463" s="989"/>
      <c r="AL463" s="33">
        <f>'DIY Grundmodell'!X550</f>
        <v>5505.0030900000002</v>
      </c>
    </row>
    <row r="464" spans="32:38" ht="14.1" customHeight="1" x14ac:dyDescent="0.45">
      <c r="AF464" s="988">
        <f>'DIY Grundmodell'!R551</f>
        <v>45493</v>
      </c>
      <c r="AG464" s="89" t="e">
        <f>'DIY Grundmodell'!S551</f>
        <v>#N/A</v>
      </c>
      <c r="AH464" s="54" t="e">
        <f>'DIY Grundmodell'!T551</f>
        <v>#N/A</v>
      </c>
      <c r="AI464" s="89">
        <f>'DIY Grundmodell'!U551</f>
        <v>476.79</v>
      </c>
      <c r="AJ464" s="89">
        <f>'DIY Grundmodell'!V551</f>
        <v>0</v>
      </c>
      <c r="AK464" s="989"/>
      <c r="AL464" s="33">
        <f>'DIY Grundmodell'!X551</f>
        <v>5505.0030900000002</v>
      </c>
    </row>
    <row r="465" spans="32:38" ht="14.1" customHeight="1" x14ac:dyDescent="0.45">
      <c r="AF465" s="988">
        <f>'DIY Grundmodell'!R552</f>
        <v>45494</v>
      </c>
      <c r="AG465" s="89" t="e">
        <f>'DIY Grundmodell'!S552</f>
        <v>#N/A</v>
      </c>
      <c r="AH465" s="54" t="e">
        <f>'DIY Grundmodell'!T552</f>
        <v>#N/A</v>
      </c>
      <c r="AI465" s="89">
        <f>'DIY Grundmodell'!U552</f>
        <v>476.79</v>
      </c>
      <c r="AJ465" s="89">
        <f>'DIY Grundmodell'!V552</f>
        <v>0</v>
      </c>
      <c r="AK465" s="989"/>
      <c r="AL465" s="33">
        <f>'DIY Grundmodell'!X552</f>
        <v>5505.0030900000002</v>
      </c>
    </row>
    <row r="466" spans="32:38" ht="14.1" customHeight="1" x14ac:dyDescent="0.45">
      <c r="AF466" s="988">
        <f>'DIY Grundmodell'!R553</f>
        <v>45495</v>
      </c>
      <c r="AG466" s="89">
        <f>'DIY Grundmodell'!S553</f>
        <v>487.4</v>
      </c>
      <c r="AH466" s="54">
        <f>'DIY Grundmodell'!T553</f>
        <v>5860.0530900000003</v>
      </c>
      <c r="AI466" s="89">
        <f>'DIY Grundmodell'!U553</f>
        <v>487.4</v>
      </c>
      <c r="AJ466" s="89">
        <f>'DIY Grundmodell'!V553</f>
        <v>5860.0530900000003</v>
      </c>
      <c r="AK466" s="989"/>
      <c r="AL466" s="33">
        <f>'DIY Grundmodell'!X553</f>
        <v>5564.4128899999996</v>
      </c>
    </row>
    <row r="467" spans="32:38" ht="14.1" customHeight="1" x14ac:dyDescent="0.45">
      <c r="AF467" s="988">
        <f>'DIY Grundmodell'!R554</f>
        <v>45496</v>
      </c>
      <c r="AG467" s="89">
        <f>'DIY Grundmodell'!S554</f>
        <v>488.69</v>
      </c>
      <c r="AH467" s="54">
        <f>'DIY Grundmodell'!T554</f>
        <v>4620.8214900000003</v>
      </c>
      <c r="AI467" s="89">
        <f>'DIY Grundmodell'!U554</f>
        <v>488.69</v>
      </c>
      <c r="AJ467" s="89">
        <f>'DIY Grundmodell'!V554</f>
        <v>4620.8214900000003</v>
      </c>
      <c r="AK467" s="989"/>
      <c r="AL467" s="33">
        <f>'DIY Grundmodell'!X554</f>
        <v>5555.7436699999998</v>
      </c>
    </row>
    <row r="468" spans="32:38" ht="14.1" customHeight="1" x14ac:dyDescent="0.45">
      <c r="AF468" s="988">
        <f>'DIY Grundmodell'!R555</f>
        <v>45497</v>
      </c>
      <c r="AG468" s="89">
        <f>'DIY Grundmodell'!S555</f>
        <v>461.27</v>
      </c>
      <c r="AH468" s="54">
        <f>'DIY Grundmodell'!T555</f>
        <v>8141.2946499999998</v>
      </c>
      <c r="AI468" s="89">
        <f>'DIY Grundmodell'!U555</f>
        <v>461.27</v>
      </c>
      <c r="AJ468" s="89">
        <f>'DIY Grundmodell'!V555</f>
        <v>8141.2946499999998</v>
      </c>
      <c r="AK468" s="989"/>
      <c r="AL468" s="33">
        <f>'DIY Grundmodell'!X555</f>
        <v>5427.1276799999996</v>
      </c>
    </row>
    <row r="469" spans="32:38" ht="14.1" customHeight="1" x14ac:dyDescent="0.45">
      <c r="AF469" s="988">
        <f>'DIY Grundmodell'!R556</f>
        <v>45498</v>
      </c>
      <c r="AG469" s="89">
        <f>'DIY Grundmodell'!S556</f>
        <v>453.41</v>
      </c>
      <c r="AH469" s="54">
        <f>'DIY Grundmodell'!T556</f>
        <v>8270.4201200000007</v>
      </c>
      <c r="AI469" s="89">
        <f>'DIY Grundmodell'!U556</f>
        <v>453.41</v>
      </c>
      <c r="AJ469" s="89">
        <f>'DIY Grundmodell'!V556</f>
        <v>8270.4201200000007</v>
      </c>
      <c r="AK469" s="989"/>
      <c r="AL469" s="33">
        <f>'DIY Grundmodell'!X556</f>
        <v>5399.2224800000004</v>
      </c>
    </row>
    <row r="470" spans="32:38" ht="14.1" customHeight="1" x14ac:dyDescent="0.45">
      <c r="AF470" s="988">
        <f>'DIY Grundmodell'!R557</f>
        <v>45499</v>
      </c>
      <c r="AG470" s="89">
        <f>'DIY Grundmodell'!S557</f>
        <v>465.7</v>
      </c>
      <c r="AH470" s="54">
        <f>'DIY Grundmodell'!T557</f>
        <v>6623.3660900000004</v>
      </c>
      <c r="AI470" s="89">
        <f>'DIY Grundmodell'!U557</f>
        <v>465.7</v>
      </c>
      <c r="AJ470" s="89">
        <f>'DIY Grundmodell'!V557</f>
        <v>6623.3660900000004</v>
      </c>
      <c r="AK470" s="989"/>
      <c r="AL470" s="33">
        <f>'DIY Grundmodell'!X557</f>
        <v>5459.0973999999997</v>
      </c>
    </row>
    <row r="471" spans="32:38" ht="14.1" customHeight="1" x14ac:dyDescent="0.45">
      <c r="AF471" s="988">
        <f>'DIY Grundmodell'!R558</f>
        <v>45500</v>
      </c>
      <c r="AG471" s="89" t="e">
        <f>'DIY Grundmodell'!S558</f>
        <v>#N/A</v>
      </c>
      <c r="AH471" s="54" t="e">
        <f>'DIY Grundmodell'!T558</f>
        <v>#N/A</v>
      </c>
      <c r="AI471" s="89">
        <f>'DIY Grundmodell'!U558</f>
        <v>465.7</v>
      </c>
      <c r="AJ471" s="89">
        <f>'DIY Grundmodell'!V558</f>
        <v>0</v>
      </c>
      <c r="AK471" s="989"/>
      <c r="AL471" s="33">
        <f>'DIY Grundmodell'!X558</f>
        <v>5459.0973999999997</v>
      </c>
    </row>
    <row r="472" spans="32:38" ht="14.1" customHeight="1" x14ac:dyDescent="0.45">
      <c r="AF472" s="988">
        <f>'DIY Grundmodell'!R559</f>
        <v>45501</v>
      </c>
      <c r="AG472" s="89" t="e">
        <f>'DIY Grundmodell'!S559</f>
        <v>#N/A</v>
      </c>
      <c r="AH472" s="54" t="e">
        <f>'DIY Grundmodell'!T559</f>
        <v>#N/A</v>
      </c>
      <c r="AI472" s="89">
        <f>'DIY Grundmodell'!U559</f>
        <v>465.7</v>
      </c>
      <c r="AJ472" s="89">
        <f>'DIY Grundmodell'!V559</f>
        <v>0</v>
      </c>
      <c r="AK472" s="989"/>
      <c r="AL472" s="33">
        <f>'DIY Grundmodell'!X559</f>
        <v>5459.0973999999997</v>
      </c>
    </row>
    <row r="473" spans="32:38" ht="14.1" customHeight="1" x14ac:dyDescent="0.45">
      <c r="AF473" s="988">
        <f>'DIY Grundmodell'!R560</f>
        <v>45502</v>
      </c>
      <c r="AG473" s="89">
        <f>'DIY Grundmodell'!S560</f>
        <v>465.71</v>
      </c>
      <c r="AH473" s="54">
        <f>'DIY Grundmodell'!T560</f>
        <v>5280.9790899999998</v>
      </c>
      <c r="AI473" s="89">
        <f>'DIY Grundmodell'!U560</f>
        <v>465.71</v>
      </c>
      <c r="AJ473" s="89">
        <f>'DIY Grundmodell'!V560</f>
        <v>5280.9790899999998</v>
      </c>
      <c r="AK473" s="989"/>
      <c r="AL473" s="33">
        <f>'DIY Grundmodell'!X560</f>
        <v>5463.5384700000004</v>
      </c>
    </row>
    <row r="474" spans="32:38" ht="14.1" customHeight="1" x14ac:dyDescent="0.45">
      <c r="AF474" s="988">
        <f>'DIY Grundmodell'!R561</f>
        <v>45503</v>
      </c>
      <c r="AG474" s="89">
        <f>'DIY Grundmodell'!S561</f>
        <v>463.19</v>
      </c>
      <c r="AH474" s="54">
        <f>'DIY Grundmodell'!T561</f>
        <v>5275.9374399999997</v>
      </c>
      <c r="AI474" s="89">
        <f>'DIY Grundmodell'!U561</f>
        <v>463.19</v>
      </c>
      <c r="AJ474" s="89">
        <f>'DIY Grundmodell'!V561</f>
        <v>5275.9374399999997</v>
      </c>
      <c r="AK474" s="989"/>
      <c r="AL474" s="33">
        <f>'DIY Grundmodell'!X561</f>
        <v>5436.4440999999997</v>
      </c>
    </row>
    <row r="475" spans="32:38" ht="14.1" customHeight="1" x14ac:dyDescent="0.45">
      <c r="AF475" s="988">
        <f>'DIY Grundmodell'!R562</f>
        <v>45504</v>
      </c>
      <c r="AG475" s="89">
        <f>'DIY Grundmodell'!S562</f>
        <v>474.83</v>
      </c>
      <c r="AH475" s="54">
        <f>'DIY Grundmodell'!T562</f>
        <v>11531.61549</v>
      </c>
      <c r="AI475" s="89">
        <f>'DIY Grundmodell'!U562</f>
        <v>474.83</v>
      </c>
      <c r="AJ475" s="89">
        <f>'DIY Grundmodell'!V562</f>
        <v>11531.61549</v>
      </c>
      <c r="AK475" s="989"/>
      <c r="AL475" s="33">
        <f>'DIY Grundmodell'!X562</f>
        <v>5522.3018400000001</v>
      </c>
    </row>
    <row r="476" spans="32:38" ht="14.1" customHeight="1" x14ac:dyDescent="0.45">
      <c r="AF476" s="988">
        <f>'DIY Grundmodell'!R563</f>
        <v>45505</v>
      </c>
      <c r="AG476" s="89">
        <f>'DIY Grundmodell'!S563</f>
        <v>497.74</v>
      </c>
      <c r="AH476" s="54">
        <f>'DIY Grundmodell'!T563</f>
        <v>21444.17324</v>
      </c>
      <c r="AI476" s="89">
        <f>'DIY Grundmodell'!U563</f>
        <v>497.74</v>
      </c>
      <c r="AJ476" s="89">
        <f>'DIY Grundmodell'!V563</f>
        <v>21444.17324</v>
      </c>
      <c r="AK476" s="989"/>
      <c r="AL476" s="33">
        <f>'DIY Grundmodell'!X563</f>
        <v>5446.6843200000003</v>
      </c>
    </row>
    <row r="477" spans="32:38" ht="14.1" customHeight="1" x14ac:dyDescent="0.45">
      <c r="AF477" s="988">
        <f>'DIY Grundmodell'!R564</f>
        <v>45506</v>
      </c>
      <c r="AG477" s="89">
        <f>'DIY Grundmodell'!S564</f>
        <v>488.14</v>
      </c>
      <c r="AH477" s="54">
        <f>'DIY Grundmodell'!T564</f>
        <v>11737.15936</v>
      </c>
      <c r="AI477" s="89">
        <f>'DIY Grundmodell'!U564</f>
        <v>488.14</v>
      </c>
      <c r="AJ477" s="89">
        <f>'DIY Grundmodell'!V564</f>
        <v>11737.15936</v>
      </c>
      <c r="AK477" s="989"/>
      <c r="AL477" s="33">
        <f>'DIY Grundmodell'!X564</f>
        <v>5346.5632599999999</v>
      </c>
    </row>
    <row r="478" spans="32:38" ht="14.1" customHeight="1" x14ac:dyDescent="0.45">
      <c r="AF478" s="988">
        <f>'DIY Grundmodell'!R565</f>
        <v>45507</v>
      </c>
      <c r="AG478" s="89" t="e">
        <f>'DIY Grundmodell'!S565</f>
        <v>#N/A</v>
      </c>
      <c r="AH478" s="54" t="e">
        <f>'DIY Grundmodell'!T565</f>
        <v>#N/A</v>
      </c>
      <c r="AI478" s="89">
        <f>'DIY Grundmodell'!U565</f>
        <v>488.14</v>
      </c>
      <c r="AJ478" s="89">
        <f>'DIY Grundmodell'!V565</f>
        <v>0</v>
      </c>
      <c r="AK478" s="989"/>
      <c r="AL478" s="33">
        <f>'DIY Grundmodell'!X565</f>
        <v>5346.5632599999999</v>
      </c>
    </row>
    <row r="479" spans="32:38" ht="14.1" customHeight="1" x14ac:dyDescent="0.45">
      <c r="AF479" s="988">
        <f>'DIY Grundmodell'!R566</f>
        <v>45508</v>
      </c>
      <c r="AG479" s="89" t="e">
        <f>'DIY Grundmodell'!S566</f>
        <v>#N/A</v>
      </c>
      <c r="AH479" s="54" t="e">
        <f>'DIY Grundmodell'!T566</f>
        <v>#N/A</v>
      </c>
      <c r="AI479" s="89">
        <f>'DIY Grundmodell'!U566</f>
        <v>488.14</v>
      </c>
      <c r="AJ479" s="89">
        <f>'DIY Grundmodell'!V566</f>
        <v>0</v>
      </c>
      <c r="AK479" s="989"/>
      <c r="AL479" s="33">
        <f>'DIY Grundmodell'!X566</f>
        <v>5346.5632599999999</v>
      </c>
    </row>
    <row r="480" spans="32:38" ht="14.1" customHeight="1" x14ac:dyDescent="0.45">
      <c r="AF480" s="988">
        <f>'DIY Grundmodell'!R567</f>
        <v>45509</v>
      </c>
      <c r="AG480" s="89">
        <f>'DIY Grundmodell'!S567</f>
        <v>475.73</v>
      </c>
      <c r="AH480" s="54">
        <f>'DIY Grundmodell'!T567</f>
        <v>10178.809939999999</v>
      </c>
      <c r="AI480" s="89">
        <f>'DIY Grundmodell'!U567</f>
        <v>475.73</v>
      </c>
      <c r="AJ480" s="89">
        <f>'DIY Grundmodell'!V567</f>
        <v>10178.809939999999</v>
      </c>
      <c r="AK480" s="989"/>
      <c r="AL480" s="33">
        <f>'DIY Grundmodell'!X567</f>
        <v>5186.3304099999996</v>
      </c>
    </row>
    <row r="481" spans="32:38" ht="14.1" customHeight="1" x14ac:dyDescent="0.45">
      <c r="AF481" s="988">
        <f>'DIY Grundmodell'!R568</f>
        <v>45510</v>
      </c>
      <c r="AG481" s="89">
        <f>'DIY Grundmodell'!S568</f>
        <v>494.09</v>
      </c>
      <c r="AH481" s="54">
        <f>'DIY Grundmodell'!T568</f>
        <v>10353.635689999999</v>
      </c>
      <c r="AI481" s="89">
        <f>'DIY Grundmodell'!U568</f>
        <v>494.09</v>
      </c>
      <c r="AJ481" s="89">
        <f>'DIY Grundmodell'!V568</f>
        <v>10353.635689999999</v>
      </c>
      <c r="AK481" s="989"/>
      <c r="AL481" s="33">
        <f>'DIY Grundmodell'!X568</f>
        <v>5240.0261499999997</v>
      </c>
    </row>
    <row r="482" spans="32:38" ht="14.1" customHeight="1" x14ac:dyDescent="0.45">
      <c r="AF482" s="988">
        <f>'DIY Grundmodell'!R569</f>
        <v>45511</v>
      </c>
      <c r="AG482" s="89">
        <f>'DIY Grundmodell'!S569</f>
        <v>488.92</v>
      </c>
      <c r="AH482" s="54">
        <f>'DIY Grundmodell'!T569</f>
        <v>9829.8866999999991</v>
      </c>
      <c r="AI482" s="89">
        <f>'DIY Grundmodell'!U569</f>
        <v>488.92</v>
      </c>
      <c r="AJ482" s="89">
        <f>'DIY Grundmodell'!V569</f>
        <v>9829.8866999999991</v>
      </c>
      <c r="AK482" s="989"/>
      <c r="AL482" s="33">
        <f>'DIY Grundmodell'!X569</f>
        <v>5199.4999699999998</v>
      </c>
    </row>
    <row r="483" spans="32:38" ht="14.1" customHeight="1" x14ac:dyDescent="0.45">
      <c r="AF483" s="988">
        <f>'DIY Grundmodell'!R570</f>
        <v>45512</v>
      </c>
      <c r="AG483" s="89">
        <f>'DIY Grundmodell'!S570</f>
        <v>509.63</v>
      </c>
      <c r="AH483" s="54">
        <f>'DIY Grundmodell'!T570</f>
        <v>8234.0118999999995</v>
      </c>
      <c r="AI483" s="89">
        <f>'DIY Grundmodell'!U570</f>
        <v>509.63</v>
      </c>
      <c r="AJ483" s="89">
        <f>'DIY Grundmodell'!V570</f>
        <v>8234.0118999999995</v>
      </c>
      <c r="AK483" s="989"/>
      <c r="AL483" s="33">
        <f>'DIY Grundmodell'!X570</f>
        <v>5319.3081199999997</v>
      </c>
    </row>
    <row r="484" spans="32:38" ht="14.1" customHeight="1" x14ac:dyDescent="0.45">
      <c r="AF484" s="988">
        <f>'DIY Grundmodell'!R571</f>
        <v>45513</v>
      </c>
      <c r="AG484" s="89">
        <f>'DIY Grundmodell'!S571</f>
        <v>517.77</v>
      </c>
      <c r="AH484" s="54">
        <f>'DIY Grundmodell'!T571</f>
        <v>7091.7092899999998</v>
      </c>
      <c r="AI484" s="89">
        <f>'DIY Grundmodell'!U571</f>
        <v>517.77</v>
      </c>
      <c r="AJ484" s="89">
        <f>'DIY Grundmodell'!V571</f>
        <v>7091.7092899999998</v>
      </c>
      <c r="AK484" s="989"/>
      <c r="AL484" s="33">
        <f>'DIY Grundmodell'!X571</f>
        <v>5344.1643599999998</v>
      </c>
    </row>
    <row r="485" spans="32:38" ht="14.1" customHeight="1" x14ac:dyDescent="0.45">
      <c r="AF485" s="988">
        <f>'DIY Grundmodell'!R572</f>
        <v>45514</v>
      </c>
      <c r="AG485" s="89" t="e">
        <f>'DIY Grundmodell'!S572</f>
        <v>#N/A</v>
      </c>
      <c r="AH485" s="54" t="e">
        <f>'DIY Grundmodell'!T572</f>
        <v>#N/A</v>
      </c>
      <c r="AI485" s="89">
        <f>'DIY Grundmodell'!U572</f>
        <v>517.77</v>
      </c>
      <c r="AJ485" s="89">
        <f>'DIY Grundmodell'!V572</f>
        <v>0</v>
      </c>
      <c r="AK485" s="989"/>
      <c r="AL485" s="33">
        <f>'DIY Grundmodell'!X572</f>
        <v>5344.1643599999998</v>
      </c>
    </row>
    <row r="486" spans="32:38" ht="14.1" customHeight="1" x14ac:dyDescent="0.45">
      <c r="AF486" s="988">
        <f>'DIY Grundmodell'!R573</f>
        <v>45515</v>
      </c>
      <c r="AG486" s="89" t="e">
        <f>'DIY Grundmodell'!S573</f>
        <v>#N/A</v>
      </c>
      <c r="AH486" s="54" t="e">
        <f>'DIY Grundmodell'!T573</f>
        <v>#N/A</v>
      </c>
      <c r="AI486" s="89">
        <f>'DIY Grundmodell'!U573</f>
        <v>517.77</v>
      </c>
      <c r="AJ486" s="89">
        <f>'DIY Grundmodell'!V573</f>
        <v>0</v>
      </c>
      <c r="AK486" s="989"/>
      <c r="AL486" s="33">
        <f>'DIY Grundmodell'!X573</f>
        <v>5344.1643599999998</v>
      </c>
    </row>
    <row r="487" spans="32:38" ht="14.1" customHeight="1" x14ac:dyDescent="0.45">
      <c r="AF487" s="988">
        <f>'DIY Grundmodell'!R574</f>
        <v>45516</v>
      </c>
      <c r="AG487" s="89">
        <f>'DIY Grundmodell'!S574</f>
        <v>515.95000000000005</v>
      </c>
      <c r="AH487" s="54">
        <f>'DIY Grundmodell'!T574</f>
        <v>5039.5013799999997</v>
      </c>
      <c r="AI487" s="89">
        <f>'DIY Grundmodell'!U574</f>
        <v>515.95000000000005</v>
      </c>
      <c r="AJ487" s="89">
        <f>'DIY Grundmodell'!V574</f>
        <v>5039.5013799999997</v>
      </c>
      <c r="AK487" s="989"/>
      <c r="AL487" s="33">
        <f>'DIY Grundmodell'!X574</f>
        <v>5344.3851999999997</v>
      </c>
    </row>
    <row r="488" spans="32:38" ht="14.1" customHeight="1" x14ac:dyDescent="0.45">
      <c r="AF488" s="988">
        <f>'DIY Grundmodell'!R575</f>
        <v>45517</v>
      </c>
      <c r="AG488" s="89">
        <f>'DIY Grundmodell'!S575</f>
        <v>528.54</v>
      </c>
      <c r="AH488" s="54">
        <f>'DIY Grundmodell'!T575</f>
        <v>7264.16867</v>
      </c>
      <c r="AI488" s="89">
        <f>'DIY Grundmodell'!U575</f>
        <v>528.54</v>
      </c>
      <c r="AJ488" s="89">
        <f>'DIY Grundmodell'!V575</f>
        <v>7264.16867</v>
      </c>
      <c r="AK488" s="989"/>
      <c r="AL488" s="33">
        <f>'DIY Grundmodell'!X575</f>
        <v>5434.4328299999997</v>
      </c>
    </row>
    <row r="489" spans="32:38" ht="14.1" customHeight="1" x14ac:dyDescent="0.45">
      <c r="AF489" s="988">
        <f>'DIY Grundmodell'!R576</f>
        <v>45518</v>
      </c>
      <c r="AG489" s="89">
        <f>'DIY Grundmodell'!S576</f>
        <v>526.76</v>
      </c>
      <c r="AH489" s="54">
        <f>'DIY Grundmodell'!T576</f>
        <v>6028.3410000000003</v>
      </c>
      <c r="AI489" s="89">
        <f>'DIY Grundmodell'!U576</f>
        <v>526.76</v>
      </c>
      <c r="AJ489" s="89">
        <f>'DIY Grundmodell'!V576</f>
        <v>6028.3410000000003</v>
      </c>
      <c r="AK489" s="989"/>
      <c r="AL489" s="33">
        <f>'DIY Grundmodell'!X576</f>
        <v>5455.2120000000004</v>
      </c>
    </row>
    <row r="490" spans="32:38" ht="14.1" customHeight="1" x14ac:dyDescent="0.45">
      <c r="AF490" s="988">
        <f>'DIY Grundmodell'!R577</f>
        <v>45519</v>
      </c>
      <c r="AG490" s="89">
        <f>'DIY Grundmodell'!S577</f>
        <v>537.33000000000004</v>
      </c>
      <c r="AH490" s="54">
        <f>'DIY Grundmodell'!T577</f>
        <v>7244.3588200000004</v>
      </c>
      <c r="AI490" s="89">
        <f>'DIY Grundmodell'!U577</f>
        <v>537.33000000000004</v>
      </c>
      <c r="AJ490" s="89">
        <f>'DIY Grundmodell'!V577</f>
        <v>7244.3588200000004</v>
      </c>
      <c r="AK490" s="989"/>
      <c r="AL490" s="33">
        <f>'DIY Grundmodell'!X577</f>
        <v>5543.2182300000004</v>
      </c>
    </row>
    <row r="491" spans="32:38" ht="14.1" customHeight="1" x14ac:dyDescent="0.45">
      <c r="AF491" s="988">
        <f>'DIY Grundmodell'!R578</f>
        <v>45520</v>
      </c>
      <c r="AG491" s="89">
        <f>'DIY Grundmodell'!S578</f>
        <v>527.41999999999996</v>
      </c>
      <c r="AH491" s="54">
        <f>'DIY Grundmodell'!T578</f>
        <v>7793.5186800000001</v>
      </c>
      <c r="AI491" s="89">
        <f>'DIY Grundmodell'!U578</f>
        <v>527.41999999999996</v>
      </c>
      <c r="AJ491" s="89">
        <f>'DIY Grundmodell'!V578</f>
        <v>7793.5186800000001</v>
      </c>
      <c r="AK491" s="989"/>
      <c r="AL491" s="33">
        <f>'DIY Grundmodell'!X578</f>
        <v>5554.2510599999996</v>
      </c>
    </row>
    <row r="492" spans="32:38" ht="14.1" customHeight="1" x14ac:dyDescent="0.45">
      <c r="AF492" s="988">
        <f>'DIY Grundmodell'!R579</f>
        <v>45521</v>
      </c>
      <c r="AG492" s="89" t="e">
        <f>'DIY Grundmodell'!S579</f>
        <v>#N/A</v>
      </c>
      <c r="AH492" s="54" t="e">
        <f>'DIY Grundmodell'!T579</f>
        <v>#N/A</v>
      </c>
      <c r="AI492" s="89">
        <f>'DIY Grundmodell'!U579</f>
        <v>527.41999999999996</v>
      </c>
      <c r="AJ492" s="89">
        <f>'DIY Grundmodell'!V579</f>
        <v>0</v>
      </c>
      <c r="AK492" s="989"/>
      <c r="AL492" s="33">
        <f>'DIY Grundmodell'!X579</f>
        <v>5554.2510599999996</v>
      </c>
    </row>
    <row r="493" spans="32:38" ht="14.1" customHeight="1" x14ac:dyDescent="0.45">
      <c r="AF493" s="988">
        <f>'DIY Grundmodell'!R580</f>
        <v>45522</v>
      </c>
      <c r="AG493" s="89" t="e">
        <f>'DIY Grundmodell'!S580</f>
        <v>#N/A</v>
      </c>
      <c r="AH493" s="54" t="e">
        <f>'DIY Grundmodell'!T580</f>
        <v>#N/A</v>
      </c>
      <c r="AI493" s="89">
        <f>'DIY Grundmodell'!U580</f>
        <v>527.41999999999996</v>
      </c>
      <c r="AJ493" s="89">
        <f>'DIY Grundmodell'!V580</f>
        <v>0</v>
      </c>
      <c r="AK493" s="989"/>
      <c r="AL493" s="33">
        <f>'DIY Grundmodell'!X580</f>
        <v>5554.2510599999996</v>
      </c>
    </row>
    <row r="494" spans="32:38" ht="14.1" customHeight="1" x14ac:dyDescent="0.45">
      <c r="AF494" s="988">
        <f>'DIY Grundmodell'!R581</f>
        <v>45523</v>
      </c>
      <c r="AG494" s="89">
        <f>'DIY Grundmodell'!S581</f>
        <v>529.28</v>
      </c>
      <c r="AH494" s="54">
        <f>'DIY Grundmodell'!T581</f>
        <v>5229.1345000000001</v>
      </c>
      <c r="AI494" s="89">
        <f>'DIY Grundmodell'!U581</f>
        <v>529.28</v>
      </c>
      <c r="AJ494" s="89">
        <f>'DIY Grundmodell'!V581</f>
        <v>5229.1345000000001</v>
      </c>
      <c r="AK494" s="989"/>
      <c r="AL494" s="33">
        <f>'DIY Grundmodell'!X581</f>
        <v>5608.2472600000001</v>
      </c>
    </row>
    <row r="495" spans="32:38" ht="14.1" customHeight="1" x14ac:dyDescent="0.45">
      <c r="AF495" s="988">
        <f>'DIY Grundmodell'!R582</f>
        <v>45524</v>
      </c>
      <c r="AG495" s="89">
        <f>'DIY Grundmodell'!S582</f>
        <v>526.73</v>
      </c>
      <c r="AH495" s="54">
        <f>'DIY Grundmodell'!T582</f>
        <v>4184.54907</v>
      </c>
      <c r="AI495" s="89">
        <f>'DIY Grundmodell'!U582</f>
        <v>526.73</v>
      </c>
      <c r="AJ495" s="89">
        <f>'DIY Grundmodell'!V582</f>
        <v>4184.54907</v>
      </c>
      <c r="AK495" s="989"/>
      <c r="AL495" s="33">
        <f>'DIY Grundmodell'!X582</f>
        <v>5597.12482</v>
      </c>
    </row>
    <row r="496" spans="32:38" ht="14.1" customHeight="1" x14ac:dyDescent="0.45">
      <c r="AF496" s="988">
        <f>'DIY Grundmodell'!R583</f>
        <v>45525</v>
      </c>
      <c r="AG496" s="89">
        <f>'DIY Grundmodell'!S583</f>
        <v>535.16</v>
      </c>
      <c r="AH496" s="54">
        <f>'DIY Grundmodell'!T583</f>
        <v>7183.6089499999998</v>
      </c>
      <c r="AI496" s="89">
        <f>'DIY Grundmodell'!U583</f>
        <v>535.16</v>
      </c>
      <c r="AJ496" s="89">
        <f>'DIY Grundmodell'!V583</f>
        <v>7183.6089499999998</v>
      </c>
      <c r="AK496" s="989"/>
      <c r="AL496" s="33">
        <f>'DIY Grundmodell'!X583</f>
        <v>5620.8527199999999</v>
      </c>
    </row>
    <row r="497" spans="32:38" ht="14.1" customHeight="1" x14ac:dyDescent="0.45">
      <c r="AF497" s="988">
        <f>'DIY Grundmodell'!R584</f>
        <v>45526</v>
      </c>
      <c r="AG497" s="89">
        <f>'DIY Grundmodell'!S584</f>
        <v>531.92999999999995</v>
      </c>
      <c r="AH497" s="54">
        <f>'DIY Grundmodell'!T584</f>
        <v>8355.7117600000001</v>
      </c>
      <c r="AI497" s="89">
        <f>'DIY Grundmodell'!U584</f>
        <v>531.92999999999995</v>
      </c>
      <c r="AJ497" s="89">
        <f>'DIY Grundmodell'!V584</f>
        <v>8355.7117600000001</v>
      </c>
      <c r="AK497" s="989"/>
      <c r="AL497" s="33">
        <f>'DIY Grundmodell'!X584</f>
        <v>5570.6445700000004</v>
      </c>
    </row>
    <row r="498" spans="32:38" ht="14.1" customHeight="1" x14ac:dyDescent="0.45">
      <c r="AF498" s="988">
        <f>'DIY Grundmodell'!R585</f>
        <v>45527</v>
      </c>
      <c r="AG498" s="89">
        <f>'DIY Grundmodell'!S585</f>
        <v>528</v>
      </c>
      <c r="AH498" s="54">
        <f>'DIY Grundmodell'!T585</f>
        <v>5979.0382099999997</v>
      </c>
      <c r="AI498" s="89">
        <f>'DIY Grundmodell'!U585</f>
        <v>528</v>
      </c>
      <c r="AJ498" s="89">
        <f>'DIY Grundmodell'!V585</f>
        <v>5979.0382099999997</v>
      </c>
      <c r="AK498" s="989"/>
      <c r="AL498" s="33">
        <f>'DIY Grundmodell'!X585</f>
        <v>5634.6058499999999</v>
      </c>
    </row>
    <row r="499" spans="32:38" ht="14.1" customHeight="1" x14ac:dyDescent="0.45">
      <c r="AF499" s="988">
        <f>'DIY Grundmodell'!R586</f>
        <v>45528</v>
      </c>
      <c r="AG499" s="89" t="e">
        <f>'DIY Grundmodell'!S586</f>
        <v>#N/A</v>
      </c>
      <c r="AH499" s="54" t="e">
        <f>'DIY Grundmodell'!T586</f>
        <v>#N/A</v>
      </c>
      <c r="AI499" s="89">
        <f>'DIY Grundmodell'!U586</f>
        <v>528</v>
      </c>
      <c r="AJ499" s="89">
        <f>'DIY Grundmodell'!V586</f>
        <v>0</v>
      </c>
      <c r="AK499" s="989"/>
      <c r="AL499" s="33">
        <f>'DIY Grundmodell'!X586</f>
        <v>5634.6058499999999</v>
      </c>
    </row>
    <row r="500" spans="32:38" ht="14.1" customHeight="1" x14ac:dyDescent="0.45">
      <c r="AF500" s="988">
        <f>'DIY Grundmodell'!R587</f>
        <v>45529</v>
      </c>
      <c r="AG500" s="89" t="e">
        <f>'DIY Grundmodell'!S587</f>
        <v>#N/A</v>
      </c>
      <c r="AH500" s="54" t="e">
        <f>'DIY Grundmodell'!T587</f>
        <v>#N/A</v>
      </c>
      <c r="AI500" s="89">
        <f>'DIY Grundmodell'!U587</f>
        <v>528</v>
      </c>
      <c r="AJ500" s="89">
        <f>'DIY Grundmodell'!V587</f>
        <v>0</v>
      </c>
      <c r="AK500" s="989"/>
      <c r="AL500" s="33">
        <f>'DIY Grundmodell'!X587</f>
        <v>5634.6058499999999</v>
      </c>
    </row>
    <row r="501" spans="32:38" ht="14.1" customHeight="1" x14ac:dyDescent="0.45">
      <c r="AF501" s="988">
        <f>'DIY Grundmodell'!R588</f>
        <v>45530</v>
      </c>
      <c r="AG501" s="89">
        <f>'DIY Grundmodell'!S588</f>
        <v>521.12</v>
      </c>
      <c r="AH501" s="54">
        <f>'DIY Grundmodell'!T588</f>
        <v>4994.4151199999997</v>
      </c>
      <c r="AI501" s="89">
        <f>'DIY Grundmodell'!U588</f>
        <v>521.12</v>
      </c>
      <c r="AJ501" s="89">
        <f>'DIY Grundmodell'!V588</f>
        <v>4994.4151199999997</v>
      </c>
      <c r="AK501" s="989"/>
      <c r="AL501" s="33">
        <f>'DIY Grundmodell'!X588</f>
        <v>5616.8358500000004</v>
      </c>
    </row>
    <row r="502" spans="32:38" ht="14.1" customHeight="1" x14ac:dyDescent="0.45">
      <c r="AF502" s="988">
        <f>'DIY Grundmodell'!R589</f>
        <v>45531</v>
      </c>
      <c r="AG502" s="89">
        <f>'DIY Grundmodell'!S589</f>
        <v>519.1</v>
      </c>
      <c r="AH502" s="54">
        <f>'DIY Grundmodell'!T589</f>
        <v>3261.35995</v>
      </c>
      <c r="AI502" s="89">
        <f>'DIY Grundmodell'!U589</f>
        <v>519.1</v>
      </c>
      <c r="AJ502" s="89">
        <f>'DIY Grundmodell'!V589</f>
        <v>3261.35995</v>
      </c>
      <c r="AK502" s="989"/>
      <c r="AL502" s="33">
        <f>'DIY Grundmodell'!X589</f>
        <v>5625.8019599999998</v>
      </c>
    </row>
    <row r="503" spans="32:38" ht="14.1" customHeight="1" x14ac:dyDescent="0.45">
      <c r="AF503" s="988">
        <f>'DIY Grundmodell'!R590</f>
        <v>45532</v>
      </c>
      <c r="AG503" s="89">
        <f>'DIY Grundmodell'!S590</f>
        <v>516.78</v>
      </c>
      <c r="AH503" s="54">
        <f>'DIY Grundmodell'!T590</f>
        <v>4705.8384699999997</v>
      </c>
      <c r="AI503" s="89">
        <f>'DIY Grundmodell'!U590</f>
        <v>516.78</v>
      </c>
      <c r="AJ503" s="89">
        <f>'DIY Grundmodell'!V590</f>
        <v>4705.8384699999997</v>
      </c>
      <c r="AK503" s="989"/>
      <c r="AL503" s="33">
        <f>'DIY Grundmodell'!X590</f>
        <v>5592.1772099999998</v>
      </c>
    </row>
    <row r="504" spans="32:38" ht="14.1" customHeight="1" x14ac:dyDescent="0.45">
      <c r="AF504" s="988">
        <f>'DIY Grundmodell'!R591</f>
        <v>45533</v>
      </c>
      <c r="AG504" s="89">
        <f>'DIY Grundmodell'!S591</f>
        <v>518.22</v>
      </c>
      <c r="AH504" s="54">
        <f>'DIY Grundmodell'!T591</f>
        <v>4310.2554700000001</v>
      </c>
      <c r="AI504" s="89">
        <f>'DIY Grundmodell'!U591</f>
        <v>518.22</v>
      </c>
      <c r="AJ504" s="89">
        <f>'DIY Grundmodell'!V591</f>
        <v>4310.2554700000001</v>
      </c>
      <c r="AK504" s="989"/>
      <c r="AL504" s="33">
        <f>'DIY Grundmodell'!X591</f>
        <v>5591.9637199999997</v>
      </c>
    </row>
    <row r="505" spans="32:38" ht="14.1" customHeight="1" x14ac:dyDescent="0.45">
      <c r="AF505" s="988">
        <f>'DIY Grundmodell'!R592</f>
        <v>45534</v>
      </c>
      <c r="AG505" s="89">
        <f>'DIY Grundmodell'!S592</f>
        <v>521.30999999999995</v>
      </c>
      <c r="AH505" s="54">
        <f>'DIY Grundmodell'!T592</f>
        <v>4773.9177</v>
      </c>
      <c r="AI505" s="89">
        <f>'DIY Grundmodell'!U592</f>
        <v>521.30999999999995</v>
      </c>
      <c r="AJ505" s="89">
        <f>'DIY Grundmodell'!V592</f>
        <v>4773.9177</v>
      </c>
      <c r="AK505" s="989"/>
      <c r="AL505" s="33">
        <f>'DIY Grundmodell'!X592</f>
        <v>5648.3972400000002</v>
      </c>
    </row>
    <row r="506" spans="32:38" ht="14.1" customHeight="1" x14ac:dyDescent="0.45">
      <c r="AF506" s="988">
        <f>'DIY Grundmodell'!R593</f>
        <v>45535</v>
      </c>
      <c r="AG506" s="89" t="e">
        <f>'DIY Grundmodell'!S593</f>
        <v>#N/A</v>
      </c>
      <c r="AH506" s="54" t="e">
        <f>'DIY Grundmodell'!T593</f>
        <v>#N/A</v>
      </c>
      <c r="AI506" s="89">
        <f>'DIY Grundmodell'!U593</f>
        <v>521.30999999999995</v>
      </c>
      <c r="AJ506" s="89">
        <f>'DIY Grundmodell'!V593</f>
        <v>0</v>
      </c>
      <c r="AK506" s="989"/>
      <c r="AL506" s="33">
        <f>'DIY Grundmodell'!X593</f>
        <v>5648.3972400000002</v>
      </c>
    </row>
    <row r="507" spans="32:38" ht="14.1" customHeight="1" x14ac:dyDescent="0.45">
      <c r="AF507" s="988">
        <f>'DIY Grundmodell'!R594</f>
        <v>45536</v>
      </c>
      <c r="AG507" s="89" t="e">
        <f>'DIY Grundmodell'!S594</f>
        <v>#N/A</v>
      </c>
      <c r="AH507" s="54" t="e">
        <f>'DIY Grundmodell'!T594</f>
        <v>#N/A</v>
      </c>
      <c r="AI507" s="89">
        <f>'DIY Grundmodell'!U594</f>
        <v>521.30999999999995</v>
      </c>
      <c r="AJ507" s="89">
        <f>'DIY Grundmodell'!V594</f>
        <v>0</v>
      </c>
      <c r="AK507" s="989"/>
      <c r="AL507" s="33">
        <f>'DIY Grundmodell'!X594</f>
        <v>5648.3972400000002</v>
      </c>
    </row>
    <row r="508" spans="32:38" ht="14.1" customHeight="1" x14ac:dyDescent="0.45">
      <c r="AF508" s="988">
        <f>'DIY Grundmodell'!R595</f>
        <v>45537</v>
      </c>
      <c r="AG508" s="89" t="e">
        <f>'DIY Grundmodell'!S595</f>
        <v>#N/A</v>
      </c>
      <c r="AH508" s="54" t="e">
        <f>'DIY Grundmodell'!T595</f>
        <v>#N/A</v>
      </c>
      <c r="AI508" s="89">
        <f>'DIY Grundmodell'!U595</f>
        <v>521.30999999999995</v>
      </c>
      <c r="AJ508" s="89">
        <f>'DIY Grundmodell'!V595</f>
        <v>0</v>
      </c>
      <c r="AK508" s="989"/>
      <c r="AL508" s="33">
        <f>'DIY Grundmodell'!X595</f>
        <v>5648.3972400000002</v>
      </c>
    </row>
    <row r="509" spans="32:38" ht="14.1" customHeight="1" x14ac:dyDescent="0.45">
      <c r="AF509" s="988">
        <f>'DIY Grundmodell'!R596</f>
        <v>45538</v>
      </c>
      <c r="AG509" s="89">
        <f>'DIY Grundmodell'!S596</f>
        <v>511.76</v>
      </c>
      <c r="AH509" s="54">
        <f>'DIY Grundmodell'!T596</f>
        <v>6376.0756700000002</v>
      </c>
      <c r="AI509" s="89">
        <f>'DIY Grundmodell'!U596</f>
        <v>511.76</v>
      </c>
      <c r="AJ509" s="89">
        <f>'DIY Grundmodell'!V596</f>
        <v>6376.0756700000002</v>
      </c>
      <c r="AK509" s="989"/>
      <c r="AL509" s="33">
        <f>'DIY Grundmodell'!X596</f>
        <v>5528.9333999999999</v>
      </c>
    </row>
    <row r="510" spans="32:38" ht="14.1" customHeight="1" x14ac:dyDescent="0.45">
      <c r="AF510" s="988">
        <f>'DIY Grundmodell'!R597</f>
        <v>45539</v>
      </c>
      <c r="AG510" s="89">
        <f>'DIY Grundmodell'!S597</f>
        <v>512.74</v>
      </c>
      <c r="AH510" s="54">
        <f>'DIY Grundmodell'!T597</f>
        <v>4273.7940399999998</v>
      </c>
      <c r="AI510" s="89">
        <f>'DIY Grundmodell'!U597</f>
        <v>512.74</v>
      </c>
      <c r="AJ510" s="89">
        <f>'DIY Grundmodell'!V597</f>
        <v>4273.7940399999998</v>
      </c>
      <c r="AK510" s="989"/>
      <c r="AL510" s="33">
        <f>'DIY Grundmodell'!X597</f>
        <v>5520.0678200000002</v>
      </c>
    </row>
    <row r="511" spans="32:38" ht="14.1" customHeight="1" x14ac:dyDescent="0.45">
      <c r="AF511" s="988">
        <f>'DIY Grundmodell'!R598</f>
        <v>45540</v>
      </c>
      <c r="AG511" s="89">
        <f>'DIY Grundmodell'!S598</f>
        <v>516.86</v>
      </c>
      <c r="AH511" s="54">
        <f>'DIY Grundmodell'!T598</f>
        <v>4466.1293699999997</v>
      </c>
      <c r="AI511" s="89">
        <f>'DIY Grundmodell'!U598</f>
        <v>516.86</v>
      </c>
      <c r="AJ511" s="89">
        <f>'DIY Grundmodell'!V598</f>
        <v>4466.1293699999997</v>
      </c>
      <c r="AK511" s="989"/>
      <c r="AL511" s="33">
        <f>'DIY Grundmodell'!X598</f>
        <v>5503.4085699999996</v>
      </c>
    </row>
    <row r="512" spans="32:38" ht="14.1" customHeight="1" x14ac:dyDescent="0.45">
      <c r="AF512" s="988">
        <f>'DIY Grundmodell'!R599</f>
        <v>45541</v>
      </c>
      <c r="AG512" s="89">
        <f>'DIY Grundmodell'!S599</f>
        <v>500.27</v>
      </c>
      <c r="AH512" s="54">
        <f>'DIY Grundmodell'!T599</f>
        <v>7376.2415199999996</v>
      </c>
      <c r="AI512" s="89">
        <f>'DIY Grundmodell'!U599</f>
        <v>500.27</v>
      </c>
      <c r="AJ512" s="89">
        <f>'DIY Grundmodell'!V599</f>
        <v>7376.2415199999996</v>
      </c>
      <c r="AK512" s="989"/>
      <c r="AL512" s="33">
        <f>'DIY Grundmodell'!X599</f>
        <v>5408.4221399999997</v>
      </c>
    </row>
    <row r="513" spans="32:38" ht="14.1" customHeight="1" x14ac:dyDescent="0.45">
      <c r="AF513" s="988">
        <f>'DIY Grundmodell'!R600</f>
        <v>45542</v>
      </c>
      <c r="AG513" s="89" t="e">
        <f>'DIY Grundmodell'!S600</f>
        <v>#N/A</v>
      </c>
      <c r="AH513" s="54" t="e">
        <f>'DIY Grundmodell'!T600</f>
        <v>#N/A</v>
      </c>
      <c r="AI513" s="89">
        <f>'DIY Grundmodell'!U600</f>
        <v>500.27</v>
      </c>
      <c r="AJ513" s="89">
        <f>'DIY Grundmodell'!V600</f>
        <v>0</v>
      </c>
      <c r="AK513" s="989"/>
      <c r="AL513" s="33">
        <f>'DIY Grundmodell'!X600</f>
        <v>5408.4221399999997</v>
      </c>
    </row>
    <row r="514" spans="32:38" ht="14.1" customHeight="1" x14ac:dyDescent="0.45">
      <c r="AF514" s="988">
        <f>'DIY Grundmodell'!R601</f>
        <v>45543</v>
      </c>
      <c r="AG514" s="89" t="e">
        <f>'DIY Grundmodell'!S601</f>
        <v>#N/A</v>
      </c>
      <c r="AH514" s="54" t="e">
        <f>'DIY Grundmodell'!T601</f>
        <v>#N/A</v>
      </c>
      <c r="AI514" s="89">
        <f>'DIY Grundmodell'!U601</f>
        <v>500.27</v>
      </c>
      <c r="AJ514" s="89">
        <f>'DIY Grundmodell'!V601</f>
        <v>0</v>
      </c>
      <c r="AK514" s="989"/>
      <c r="AL514" s="33">
        <f>'DIY Grundmodell'!X601</f>
        <v>5408.4221399999997</v>
      </c>
    </row>
    <row r="515" spans="32:38" ht="14.1" customHeight="1" x14ac:dyDescent="0.45">
      <c r="AF515" s="988">
        <f>'DIY Grundmodell'!R602</f>
        <v>45544</v>
      </c>
      <c r="AG515" s="89">
        <f>'DIY Grundmodell'!S602</f>
        <v>504.79</v>
      </c>
      <c r="AH515" s="54">
        <f>'DIY Grundmodell'!T602</f>
        <v>5576.8330999999998</v>
      </c>
      <c r="AI515" s="89">
        <f>'DIY Grundmodell'!U602</f>
        <v>504.79</v>
      </c>
      <c r="AJ515" s="89">
        <f>'DIY Grundmodell'!V602</f>
        <v>5576.8330999999998</v>
      </c>
      <c r="AK515" s="989"/>
      <c r="AL515" s="33">
        <f>'DIY Grundmodell'!X602</f>
        <v>5471.0514499999999</v>
      </c>
    </row>
    <row r="516" spans="32:38" ht="14.1" customHeight="1" x14ac:dyDescent="0.45">
      <c r="AF516" s="988">
        <f>'DIY Grundmodell'!R603</f>
        <v>45545</v>
      </c>
      <c r="AG516" s="89" t="e">
        <f>'DIY Grundmodell'!S603</f>
        <v>#N/A</v>
      </c>
      <c r="AH516" s="54" t="e">
        <f>'DIY Grundmodell'!T603</f>
        <v>#N/A</v>
      </c>
      <c r="AI516" s="89">
        <f>'DIY Grundmodell'!U603</f>
        <v>504.79</v>
      </c>
      <c r="AJ516" s="89">
        <f>'DIY Grundmodell'!V603</f>
        <v>4996.9273199999998</v>
      </c>
      <c r="AK516" s="989"/>
      <c r="AL516" s="33">
        <f>'DIY Grundmodell'!X603</f>
        <v>5495.5194099999999</v>
      </c>
    </row>
    <row r="517" spans="32:38" ht="14.1" customHeight="1" x14ac:dyDescent="0.45">
      <c r="AF517" s="988">
        <f>'DIY Grundmodell'!R604</f>
        <v>45546</v>
      </c>
      <c r="AG517" s="89">
        <f>'DIY Grundmodell'!S604</f>
        <v>511.83</v>
      </c>
      <c r="AH517" s="54">
        <f>'DIY Grundmodell'!T604</f>
        <v>5518.8233499999997</v>
      </c>
      <c r="AI517" s="89">
        <f>'DIY Grundmodell'!U604</f>
        <v>511.83</v>
      </c>
      <c r="AJ517" s="89">
        <f>'DIY Grundmodell'!V604</f>
        <v>5518.8233499999997</v>
      </c>
      <c r="AK517" s="989"/>
      <c r="AL517" s="33">
        <f>'DIY Grundmodell'!X604</f>
        <v>5554.1324199999999</v>
      </c>
    </row>
    <row r="518" spans="32:38" ht="14.1" customHeight="1" x14ac:dyDescent="0.45">
      <c r="AF518" s="988">
        <f>'DIY Grundmodell'!R605</f>
        <v>45547</v>
      </c>
      <c r="AG518" s="89">
        <f>'DIY Grundmodell'!S605</f>
        <v>525.6</v>
      </c>
      <c r="AH518" s="54">
        <f>'DIY Grundmodell'!T605</f>
        <v>6303.7005600000002</v>
      </c>
      <c r="AI518" s="89">
        <f>'DIY Grundmodell'!U605</f>
        <v>525.6</v>
      </c>
      <c r="AJ518" s="89">
        <f>'DIY Grundmodell'!V605</f>
        <v>6303.7005600000002</v>
      </c>
      <c r="AK518" s="989"/>
      <c r="AL518" s="33">
        <f>'DIY Grundmodell'!X605</f>
        <v>5595.7634900000003</v>
      </c>
    </row>
    <row r="519" spans="32:38" ht="14.1" customHeight="1" x14ac:dyDescent="0.45">
      <c r="AF519" s="988">
        <f>'DIY Grundmodell'!R606</f>
        <v>45548</v>
      </c>
      <c r="AG519" s="89">
        <f>'DIY Grundmodell'!S606</f>
        <v>524.62</v>
      </c>
      <c r="AH519" s="54">
        <f>'DIY Grundmodell'!T606</f>
        <v>5414.8244100000002</v>
      </c>
      <c r="AI519" s="89">
        <f>'DIY Grundmodell'!U606</f>
        <v>524.62</v>
      </c>
      <c r="AJ519" s="89">
        <f>'DIY Grundmodell'!V606</f>
        <v>5414.8244100000002</v>
      </c>
      <c r="AK519" s="989"/>
      <c r="AL519" s="33">
        <f>'DIY Grundmodell'!X606</f>
        <v>5626.0186000000003</v>
      </c>
    </row>
    <row r="520" spans="32:38" ht="14.1" customHeight="1" x14ac:dyDescent="0.45">
      <c r="AF520" s="988">
        <f>'DIY Grundmodell'!R607</f>
        <v>45549</v>
      </c>
      <c r="AG520" s="89" t="e">
        <f>'DIY Grundmodell'!S607</f>
        <v>#N/A</v>
      </c>
      <c r="AH520" s="54" t="e">
        <f>'DIY Grundmodell'!T607</f>
        <v>#N/A</v>
      </c>
      <c r="AI520" s="89">
        <f>'DIY Grundmodell'!U607</f>
        <v>524.62</v>
      </c>
      <c r="AJ520" s="89">
        <f>'DIY Grundmodell'!V607</f>
        <v>0</v>
      </c>
      <c r="AK520" s="989"/>
      <c r="AL520" s="33">
        <f>'DIY Grundmodell'!X607</f>
        <v>5626.0186000000003</v>
      </c>
    </row>
    <row r="521" spans="32:38" ht="14.1" customHeight="1" x14ac:dyDescent="0.45">
      <c r="AF521" s="988">
        <f>'DIY Grundmodell'!R608</f>
        <v>45550</v>
      </c>
      <c r="AG521" s="89" t="e">
        <f>'DIY Grundmodell'!S608</f>
        <v>#N/A</v>
      </c>
      <c r="AH521" s="54" t="e">
        <f>'DIY Grundmodell'!T608</f>
        <v>#N/A</v>
      </c>
      <c r="AI521" s="89">
        <f>'DIY Grundmodell'!U608</f>
        <v>524.62</v>
      </c>
      <c r="AJ521" s="89">
        <f>'DIY Grundmodell'!V608</f>
        <v>0</v>
      </c>
      <c r="AK521" s="989"/>
      <c r="AL521" s="33">
        <f>'DIY Grundmodell'!X608</f>
        <v>5626.0186000000003</v>
      </c>
    </row>
    <row r="522" spans="32:38" ht="14.1" customHeight="1" x14ac:dyDescent="0.45">
      <c r="AF522" s="988">
        <f>'DIY Grundmodell'!R609</f>
        <v>45551</v>
      </c>
      <c r="AG522" s="89">
        <f>'DIY Grundmodell'!S609</f>
        <v>533.28</v>
      </c>
      <c r="AH522" s="54">
        <f>'DIY Grundmodell'!T609</f>
        <v>5080.9030599999996</v>
      </c>
      <c r="AI522" s="89">
        <f>'DIY Grundmodell'!U609</f>
        <v>533.28</v>
      </c>
      <c r="AJ522" s="89">
        <f>'DIY Grundmodell'!V609</f>
        <v>5080.9030599999996</v>
      </c>
      <c r="AK522" s="989"/>
      <c r="AL522" s="33">
        <f>'DIY Grundmodell'!X609</f>
        <v>5633.0877799999998</v>
      </c>
    </row>
    <row r="523" spans="32:38" ht="14.1" customHeight="1" x14ac:dyDescent="0.45">
      <c r="AF523" s="988">
        <f>'DIY Grundmodell'!R610</f>
        <v>45552</v>
      </c>
      <c r="AG523" s="89">
        <f>'DIY Grundmodell'!S610</f>
        <v>536.31500000000005</v>
      </c>
      <c r="AH523" s="54">
        <f>'DIY Grundmodell'!T610</f>
        <v>6269.9401399999997</v>
      </c>
      <c r="AI523" s="89">
        <f>'DIY Grundmodell'!U610</f>
        <v>536.31500000000005</v>
      </c>
      <c r="AJ523" s="89">
        <f>'DIY Grundmodell'!V610</f>
        <v>6269.9401399999997</v>
      </c>
      <c r="AK523" s="989"/>
      <c r="AL523" s="33">
        <f>'DIY Grundmodell'!X610</f>
        <v>5634.5804399999997</v>
      </c>
    </row>
    <row r="524" spans="32:38" ht="14.1" customHeight="1" x14ac:dyDescent="0.45">
      <c r="AF524" s="988">
        <f>'DIY Grundmodell'!R611</f>
        <v>45553</v>
      </c>
      <c r="AG524" s="89">
        <f>'DIY Grundmodell'!S611</f>
        <v>537.95000000000005</v>
      </c>
      <c r="AH524" s="54">
        <f>'DIY Grundmodell'!T611</f>
        <v>5553.54673</v>
      </c>
      <c r="AI524" s="89">
        <f>'DIY Grundmodell'!U611</f>
        <v>537.95000000000005</v>
      </c>
      <c r="AJ524" s="89">
        <f>'DIY Grundmodell'!V611</f>
        <v>5553.54673</v>
      </c>
      <c r="AK524" s="989"/>
      <c r="AL524" s="33">
        <f>'DIY Grundmodell'!X611</f>
        <v>5618.2590300000002</v>
      </c>
    </row>
    <row r="525" spans="32:38" ht="14.1" customHeight="1" x14ac:dyDescent="0.45">
      <c r="AF525" s="988">
        <f>'DIY Grundmodell'!R612</f>
        <v>45554</v>
      </c>
      <c r="AG525" s="89">
        <f>'DIY Grundmodell'!S612</f>
        <v>559.1</v>
      </c>
      <c r="AH525" s="54">
        <f>'DIY Grundmodell'!T612</f>
        <v>8748.2103000000006</v>
      </c>
      <c r="AI525" s="89">
        <f>'DIY Grundmodell'!U612</f>
        <v>559.1</v>
      </c>
      <c r="AJ525" s="89">
        <f>'DIY Grundmodell'!V612</f>
        <v>8748.2103000000006</v>
      </c>
      <c r="AK525" s="989"/>
      <c r="AL525" s="33">
        <f>'DIY Grundmodell'!X612</f>
        <v>5713.6410900000001</v>
      </c>
    </row>
    <row r="526" spans="32:38" ht="14.1" customHeight="1" x14ac:dyDescent="0.45">
      <c r="AF526" s="988">
        <f>'DIY Grundmodell'!R613</f>
        <v>45555</v>
      </c>
      <c r="AG526" s="89">
        <f>'DIY Grundmodell'!S613</f>
        <v>561.35</v>
      </c>
      <c r="AH526" s="54">
        <f>'DIY Grundmodell'!T613</f>
        <v>12387.20772</v>
      </c>
      <c r="AI526" s="89">
        <f>'DIY Grundmodell'!U613</f>
        <v>561.35</v>
      </c>
      <c r="AJ526" s="89">
        <f>'DIY Grundmodell'!V613</f>
        <v>12387.20772</v>
      </c>
      <c r="AK526" s="989"/>
      <c r="AL526" s="33">
        <f>'DIY Grundmodell'!X613</f>
        <v>5702.5476200000003</v>
      </c>
    </row>
    <row r="527" spans="32:38" ht="14.1" customHeight="1" x14ac:dyDescent="0.45">
      <c r="AF527" s="988">
        <f>'DIY Grundmodell'!R614</f>
        <v>45556</v>
      </c>
      <c r="AG527" s="89" t="e">
        <f>'DIY Grundmodell'!S614</f>
        <v>#N/A</v>
      </c>
      <c r="AH527" s="54" t="e">
        <f>'DIY Grundmodell'!T614</f>
        <v>#N/A</v>
      </c>
      <c r="AI527" s="89">
        <f>'DIY Grundmodell'!U614</f>
        <v>561.35</v>
      </c>
      <c r="AJ527" s="89">
        <f>'DIY Grundmodell'!V614</f>
        <v>0</v>
      </c>
      <c r="AK527" s="989"/>
      <c r="AL527" s="33">
        <f>'DIY Grundmodell'!X614</f>
        <v>5702.5476200000003</v>
      </c>
    </row>
    <row r="528" spans="32:38" ht="14.1" customHeight="1" x14ac:dyDescent="0.45">
      <c r="AF528" s="988">
        <f>'DIY Grundmodell'!R615</f>
        <v>45557</v>
      </c>
      <c r="AG528" s="89" t="e">
        <f>'DIY Grundmodell'!S615</f>
        <v>#N/A</v>
      </c>
      <c r="AH528" s="54" t="e">
        <f>'DIY Grundmodell'!T615</f>
        <v>#N/A</v>
      </c>
      <c r="AI528" s="89">
        <f>'DIY Grundmodell'!U615</f>
        <v>561.35</v>
      </c>
      <c r="AJ528" s="89">
        <f>'DIY Grundmodell'!V615</f>
        <v>0</v>
      </c>
      <c r="AK528" s="989"/>
      <c r="AL528" s="33">
        <f>'DIY Grundmodell'!X615</f>
        <v>5702.5476200000003</v>
      </c>
    </row>
    <row r="529" spans="32:38" ht="14.1" customHeight="1" x14ac:dyDescent="0.45">
      <c r="AF529" s="988">
        <f>'DIY Grundmodell'!R616</f>
        <v>45558</v>
      </c>
      <c r="AG529" s="89">
        <f>'DIY Grundmodell'!S616</f>
        <v>564.41</v>
      </c>
      <c r="AH529" s="54">
        <f>'DIY Grundmodell'!T616</f>
        <v>7241.7578899999999</v>
      </c>
      <c r="AI529" s="89">
        <f>'DIY Grundmodell'!U616</f>
        <v>564.41</v>
      </c>
      <c r="AJ529" s="89">
        <f>'DIY Grundmodell'!V616</f>
        <v>7241.7578899999999</v>
      </c>
      <c r="AK529" s="989"/>
      <c r="AL529" s="33">
        <f>'DIY Grundmodell'!X616</f>
        <v>5718.5664900000002</v>
      </c>
    </row>
    <row r="530" spans="32:38" ht="14.1" customHeight="1" x14ac:dyDescent="0.45">
      <c r="AF530" s="988">
        <f>'DIY Grundmodell'!R617</f>
        <v>45559</v>
      </c>
      <c r="AG530" s="89">
        <f>'DIY Grundmodell'!S617</f>
        <v>563.33000000000004</v>
      </c>
      <c r="AH530" s="54">
        <f>'DIY Grundmodell'!T617</f>
        <v>7319.3218999999999</v>
      </c>
      <c r="AI530" s="89">
        <f>'DIY Grundmodell'!U617</f>
        <v>563.33000000000004</v>
      </c>
      <c r="AJ530" s="89">
        <f>'DIY Grundmodell'!V617</f>
        <v>7319.3218999999999</v>
      </c>
      <c r="AK530" s="989"/>
      <c r="AL530" s="33">
        <f>'DIY Grundmodell'!X617</f>
        <v>5732.9273499999999</v>
      </c>
    </row>
    <row r="531" spans="32:38" ht="14.1" customHeight="1" x14ac:dyDescent="0.45">
      <c r="AF531" s="988">
        <f>'DIY Grundmodell'!R618</f>
        <v>45560</v>
      </c>
      <c r="AG531" s="89">
        <f>'DIY Grundmodell'!S618</f>
        <v>568.30999999999995</v>
      </c>
      <c r="AH531" s="54">
        <f>'DIY Grundmodell'!T618</f>
        <v>9401.7512399999996</v>
      </c>
      <c r="AI531" s="89">
        <f>'DIY Grundmodell'!U618</f>
        <v>568.30999999999995</v>
      </c>
      <c r="AJ531" s="89">
        <f>'DIY Grundmodell'!V618</f>
        <v>9401.7512399999996</v>
      </c>
      <c r="AK531" s="989"/>
      <c r="AL531" s="33">
        <f>'DIY Grundmodell'!X618</f>
        <v>5722.2605999999996</v>
      </c>
    </row>
    <row r="532" spans="32:38" ht="14.1" customHeight="1" x14ac:dyDescent="0.45">
      <c r="AF532" s="988">
        <f>'DIY Grundmodell'!R619</f>
        <v>45561</v>
      </c>
      <c r="AG532" s="89">
        <f>'DIY Grundmodell'!S619</f>
        <v>567.84</v>
      </c>
      <c r="AH532" s="54">
        <f>'DIY Grundmodell'!T619</f>
        <v>8177.3428899999999</v>
      </c>
      <c r="AI532" s="89">
        <f>'DIY Grundmodell'!U619</f>
        <v>567.84</v>
      </c>
      <c r="AJ532" s="89">
        <f>'DIY Grundmodell'!V619</f>
        <v>8177.3428899999999</v>
      </c>
      <c r="AK532" s="989"/>
      <c r="AL532" s="33">
        <f>'DIY Grundmodell'!X619</f>
        <v>5745.3660900000004</v>
      </c>
    </row>
    <row r="533" spans="32:38" ht="14.1" customHeight="1" x14ac:dyDescent="0.45">
      <c r="AF533" s="988">
        <f>'DIY Grundmodell'!R620</f>
        <v>45562</v>
      </c>
      <c r="AG533" s="89">
        <f>'DIY Grundmodell'!S620</f>
        <v>567.36</v>
      </c>
      <c r="AH533" s="54">
        <f>'DIY Grundmodell'!T620</f>
        <v>5332.2574999999997</v>
      </c>
      <c r="AI533" s="89">
        <f>'DIY Grundmodell'!U620</f>
        <v>567.36</v>
      </c>
      <c r="AJ533" s="89">
        <f>'DIY Grundmodell'!V620</f>
        <v>5332.2574999999997</v>
      </c>
      <c r="AK533" s="989"/>
      <c r="AL533" s="33">
        <f>'DIY Grundmodell'!X620</f>
        <v>5738.1717799999997</v>
      </c>
    </row>
    <row r="534" spans="32:38" ht="14.1" customHeight="1" x14ac:dyDescent="0.45">
      <c r="AF534" s="988">
        <f>'DIY Grundmodell'!R621</f>
        <v>45563</v>
      </c>
      <c r="AG534" s="89" t="e">
        <f>'DIY Grundmodell'!S621</f>
        <v>#N/A</v>
      </c>
      <c r="AH534" s="54" t="e">
        <f>'DIY Grundmodell'!T621</f>
        <v>#N/A</v>
      </c>
      <c r="AI534" s="89">
        <f>'DIY Grundmodell'!U621</f>
        <v>567.36</v>
      </c>
      <c r="AJ534" s="89">
        <f>'DIY Grundmodell'!V621</f>
        <v>0</v>
      </c>
      <c r="AK534" s="989"/>
      <c r="AL534" s="33">
        <f>'DIY Grundmodell'!X621</f>
        <v>5738.1717799999997</v>
      </c>
    </row>
    <row r="535" spans="32:38" ht="14.1" customHeight="1" x14ac:dyDescent="0.45">
      <c r="AF535" s="988">
        <f>'DIY Grundmodell'!R622</f>
        <v>45564</v>
      </c>
      <c r="AG535" s="89" t="e">
        <f>'DIY Grundmodell'!S622</f>
        <v>#N/A</v>
      </c>
      <c r="AH535" s="54" t="e">
        <f>'DIY Grundmodell'!T622</f>
        <v>#N/A</v>
      </c>
      <c r="AI535" s="89">
        <f>'DIY Grundmodell'!U622</f>
        <v>567.36</v>
      </c>
      <c r="AJ535" s="89">
        <f>'DIY Grundmodell'!V622</f>
        <v>0</v>
      </c>
      <c r="AK535" s="989"/>
      <c r="AL535" s="33">
        <f>'DIY Grundmodell'!X622</f>
        <v>5738.1717799999997</v>
      </c>
    </row>
    <row r="536" spans="32:38" ht="14.1" customHeight="1" x14ac:dyDescent="0.45">
      <c r="AF536" s="988">
        <f>'DIY Grundmodell'!R623</f>
        <v>45565</v>
      </c>
      <c r="AG536" s="89">
        <f>'DIY Grundmodell'!S623</f>
        <v>572.44000000000005</v>
      </c>
      <c r="AH536" s="54">
        <f>'DIY Grundmodell'!T623</f>
        <v>7331.357</v>
      </c>
      <c r="AI536" s="89">
        <f>'DIY Grundmodell'!U623</f>
        <v>572.44000000000005</v>
      </c>
      <c r="AJ536" s="89">
        <f>'DIY Grundmodell'!V623</f>
        <v>7331.357</v>
      </c>
      <c r="AK536" s="989"/>
      <c r="AL536" s="33">
        <f>'DIY Grundmodell'!X623</f>
        <v>5762.48488</v>
      </c>
    </row>
    <row r="537" spans="32:38" ht="14.1" customHeight="1" x14ac:dyDescent="0.45">
      <c r="AF537" s="988">
        <f>'DIY Grundmodell'!R624</f>
        <v>45566</v>
      </c>
      <c r="AG537" s="89">
        <f>'DIY Grundmodell'!S624</f>
        <v>576.47</v>
      </c>
      <c r="AH537" s="54">
        <f>'DIY Grundmodell'!T624</f>
        <v>8796.51368</v>
      </c>
      <c r="AI537" s="89">
        <f>'DIY Grundmodell'!U624</f>
        <v>576.47</v>
      </c>
      <c r="AJ537" s="89">
        <f>'DIY Grundmodell'!V624</f>
        <v>8796.51368</v>
      </c>
      <c r="AK537" s="989"/>
      <c r="AL537" s="33">
        <f>'DIY Grundmodell'!X624</f>
        <v>5708.7514799999999</v>
      </c>
    </row>
    <row r="538" spans="32:38" ht="14.1" customHeight="1" x14ac:dyDescent="0.45">
      <c r="AF538" s="988">
        <f>'DIY Grundmodell'!R625</f>
        <v>45567</v>
      </c>
      <c r="AG538" s="89">
        <f>'DIY Grundmodell'!S625</f>
        <v>572.80999999999995</v>
      </c>
      <c r="AH538" s="54">
        <f>'DIY Grundmodell'!T625</f>
        <v>3737.3847700000001</v>
      </c>
      <c r="AI538" s="89">
        <f>'DIY Grundmodell'!U625</f>
        <v>572.80999999999995</v>
      </c>
      <c r="AJ538" s="89">
        <f>'DIY Grundmodell'!V625</f>
        <v>3737.3847700000001</v>
      </c>
      <c r="AK538" s="989"/>
      <c r="AL538" s="33">
        <f>'DIY Grundmodell'!X625</f>
        <v>5709.5394399999996</v>
      </c>
    </row>
    <row r="539" spans="32:38" ht="14.1" customHeight="1" x14ac:dyDescent="0.45">
      <c r="AF539" s="988">
        <f>'DIY Grundmodell'!R626</f>
        <v>45568</v>
      </c>
      <c r="AG539" s="89">
        <f>'DIY Grundmodell'!S626</f>
        <v>582.77</v>
      </c>
      <c r="AH539" s="54">
        <f>'DIY Grundmodell'!T626</f>
        <v>6749.0477199999996</v>
      </c>
      <c r="AI539" s="89">
        <f>'DIY Grundmodell'!U626</f>
        <v>582.77</v>
      </c>
      <c r="AJ539" s="89">
        <f>'DIY Grundmodell'!V626</f>
        <v>6749.0477199999996</v>
      </c>
      <c r="AK539" s="989"/>
      <c r="AL539" s="33">
        <f>'DIY Grundmodell'!X626</f>
        <v>5699.94175</v>
      </c>
    </row>
    <row r="540" spans="32:38" ht="14.1" customHeight="1" x14ac:dyDescent="0.45">
      <c r="AF540" s="988">
        <f>'DIY Grundmodell'!R627</f>
        <v>45569</v>
      </c>
      <c r="AG540" s="89">
        <f>'DIY Grundmodell'!S627</f>
        <v>595.94000000000005</v>
      </c>
      <c r="AH540" s="54">
        <f>'DIY Grundmodell'!T627</f>
        <v>8462.2216599999992</v>
      </c>
      <c r="AI540" s="89">
        <f>'DIY Grundmodell'!U627</f>
        <v>595.94000000000005</v>
      </c>
      <c r="AJ540" s="89">
        <f>'DIY Grundmodell'!V627</f>
        <v>8462.2216599999992</v>
      </c>
      <c r="AK540" s="989"/>
      <c r="AL540" s="33">
        <f>'DIY Grundmodell'!X627</f>
        <v>5751.0681999999997</v>
      </c>
    </row>
    <row r="541" spans="32:38" ht="14.1" customHeight="1" x14ac:dyDescent="0.45">
      <c r="AF541" s="988">
        <f>'DIY Grundmodell'!R628</f>
        <v>45570</v>
      </c>
      <c r="AG541" s="89" t="e">
        <f>'DIY Grundmodell'!S628</f>
        <v>#N/A</v>
      </c>
      <c r="AH541" s="54" t="e">
        <f>'DIY Grundmodell'!T628</f>
        <v>#N/A</v>
      </c>
      <c r="AI541" s="89">
        <f>'DIY Grundmodell'!U628</f>
        <v>595.94000000000005</v>
      </c>
      <c r="AJ541" s="89">
        <f>'DIY Grundmodell'!V628</f>
        <v>0</v>
      </c>
      <c r="AK541" s="989"/>
      <c r="AL541" s="33">
        <f>'DIY Grundmodell'!X628</f>
        <v>5751.0681999999997</v>
      </c>
    </row>
    <row r="542" spans="32:38" ht="14.1" customHeight="1" x14ac:dyDescent="0.45">
      <c r="AF542" s="988">
        <f>'DIY Grundmodell'!R629</f>
        <v>45571</v>
      </c>
      <c r="AG542" s="89" t="e">
        <f>'DIY Grundmodell'!S629</f>
        <v>#N/A</v>
      </c>
      <c r="AH542" s="54" t="e">
        <f>'DIY Grundmodell'!T629</f>
        <v>#N/A</v>
      </c>
      <c r="AI542" s="89">
        <f>'DIY Grundmodell'!U629</f>
        <v>595.94000000000005</v>
      </c>
      <c r="AJ542" s="89">
        <f>'DIY Grundmodell'!V629</f>
        <v>0</v>
      </c>
      <c r="AK542" s="989"/>
      <c r="AL542" s="33">
        <f>'DIY Grundmodell'!X629</f>
        <v>5751.0681999999997</v>
      </c>
    </row>
    <row r="543" spans="32:38" ht="14.1" customHeight="1" x14ac:dyDescent="0.45">
      <c r="AF543" s="988">
        <f>'DIY Grundmodell'!R630</f>
        <v>45572</v>
      </c>
      <c r="AG543" s="89">
        <f>'DIY Grundmodell'!S630</f>
        <v>584.78</v>
      </c>
      <c r="AH543" s="54">
        <f>'DIY Grundmodell'!T630</f>
        <v>7025.6627099999996</v>
      </c>
      <c r="AI543" s="89">
        <f>'DIY Grundmodell'!U630</f>
        <v>584.78</v>
      </c>
      <c r="AJ543" s="89">
        <f>'DIY Grundmodell'!V630</f>
        <v>7025.6627099999996</v>
      </c>
      <c r="AK543" s="989"/>
      <c r="AL543" s="33">
        <f>'DIY Grundmodell'!X630</f>
        <v>5695.9434199999996</v>
      </c>
    </row>
    <row r="544" spans="32:38" ht="14.1" customHeight="1" x14ac:dyDescent="0.45">
      <c r="AF544" s="988">
        <f>'DIY Grundmodell'!R631</f>
        <v>45573</v>
      </c>
      <c r="AG544" s="89">
        <f>'DIY Grundmodell'!S631</f>
        <v>592.89</v>
      </c>
      <c r="AH544" s="54">
        <f>'DIY Grundmodell'!T631</f>
        <v>4658.5602500000005</v>
      </c>
      <c r="AI544" s="89">
        <f>'DIY Grundmodell'!U631</f>
        <v>592.89</v>
      </c>
      <c r="AJ544" s="89">
        <f>'DIY Grundmodell'!V631</f>
        <v>4658.5602500000005</v>
      </c>
      <c r="AK544" s="989"/>
      <c r="AL544" s="33">
        <f>'DIY Grundmodell'!X631</f>
        <v>5751.1328899999999</v>
      </c>
    </row>
    <row r="545" spans="32:38" ht="14.1" customHeight="1" x14ac:dyDescent="0.45">
      <c r="AF545" s="988">
        <f>'DIY Grundmodell'!R632</f>
        <v>45574</v>
      </c>
      <c r="AG545" s="89">
        <f>'DIY Grundmodell'!S632</f>
        <v>590.51</v>
      </c>
      <c r="AH545" s="54">
        <f>'DIY Grundmodell'!T632</f>
        <v>5627.3872799999999</v>
      </c>
      <c r="AI545" s="89">
        <f>'DIY Grundmodell'!U632</f>
        <v>590.51</v>
      </c>
      <c r="AJ545" s="89">
        <f>'DIY Grundmodell'!V632</f>
        <v>5627.3872799999999</v>
      </c>
      <c r="AK545" s="989"/>
      <c r="AL545" s="33">
        <f>'DIY Grundmodell'!X632</f>
        <v>5792.0414799999999</v>
      </c>
    </row>
    <row r="546" spans="32:38" ht="14.1" customHeight="1" x14ac:dyDescent="0.45">
      <c r="AF546" s="988">
        <f>'DIY Grundmodell'!R633</f>
        <v>45575</v>
      </c>
      <c r="AG546" s="89">
        <f>'DIY Grundmodell'!S633</f>
        <v>583.83000000000004</v>
      </c>
      <c r="AH546" s="54">
        <f>'DIY Grundmodell'!T633</f>
        <v>4519.1063400000003</v>
      </c>
      <c r="AI546" s="89">
        <f>'DIY Grundmodell'!U633</f>
        <v>583.83000000000004</v>
      </c>
      <c r="AJ546" s="89">
        <f>'DIY Grundmodell'!V633</f>
        <v>4519.1063400000003</v>
      </c>
      <c r="AK546" s="989"/>
      <c r="AL546" s="33">
        <f>'DIY Grundmodell'!X633</f>
        <v>5780.0512900000003</v>
      </c>
    </row>
    <row r="547" spans="32:38" ht="14.1" customHeight="1" x14ac:dyDescent="0.45">
      <c r="AF547" s="988">
        <f>'DIY Grundmodell'!R634</f>
        <v>45576</v>
      </c>
      <c r="AG547" s="89">
        <f>'DIY Grundmodell'!S634</f>
        <v>589.95000000000005</v>
      </c>
      <c r="AH547" s="54">
        <f>'DIY Grundmodell'!T634</f>
        <v>5065.9307399999998</v>
      </c>
      <c r="AI547" s="89">
        <f>'DIY Grundmodell'!U634</f>
        <v>589.95000000000005</v>
      </c>
      <c r="AJ547" s="89">
        <f>'DIY Grundmodell'!V634</f>
        <v>5065.9307399999998</v>
      </c>
      <c r="AK547" s="989"/>
      <c r="AL547" s="33">
        <f>'DIY Grundmodell'!X634</f>
        <v>5815.03341</v>
      </c>
    </row>
    <row r="548" spans="32:38" ht="14.1" customHeight="1" x14ac:dyDescent="0.45">
      <c r="AF548" s="988">
        <f>'DIY Grundmodell'!R635</f>
        <v>45577</v>
      </c>
      <c r="AG548" s="89" t="e">
        <f>'DIY Grundmodell'!S635</f>
        <v>#N/A</v>
      </c>
      <c r="AH548" s="54" t="e">
        <f>'DIY Grundmodell'!T635</f>
        <v>#N/A</v>
      </c>
      <c r="AI548" s="89">
        <f>'DIY Grundmodell'!U635</f>
        <v>589.95000000000005</v>
      </c>
      <c r="AJ548" s="89">
        <f>'DIY Grundmodell'!V635</f>
        <v>0</v>
      </c>
      <c r="AK548" s="989"/>
      <c r="AL548" s="33">
        <f>'DIY Grundmodell'!X635</f>
        <v>5815.03341</v>
      </c>
    </row>
    <row r="549" spans="32:38" ht="14.1" customHeight="1" x14ac:dyDescent="0.45">
      <c r="AF549" s="988">
        <f>'DIY Grundmodell'!R636</f>
        <v>45578</v>
      </c>
      <c r="AG549" s="89" t="e">
        <f>'DIY Grundmodell'!S636</f>
        <v>#N/A</v>
      </c>
      <c r="AH549" s="54" t="e">
        <f>'DIY Grundmodell'!T636</f>
        <v>#N/A</v>
      </c>
      <c r="AI549" s="89">
        <f>'DIY Grundmodell'!U636</f>
        <v>589.95000000000005</v>
      </c>
      <c r="AJ549" s="89">
        <f>'DIY Grundmodell'!V636</f>
        <v>0</v>
      </c>
      <c r="AK549" s="989"/>
      <c r="AL549" s="33">
        <f>'DIY Grundmodell'!X636</f>
        <v>5815.03341</v>
      </c>
    </row>
    <row r="550" spans="32:38" ht="14.1" customHeight="1" x14ac:dyDescent="0.45">
      <c r="AF550" s="988">
        <f>'DIY Grundmodell'!R637</f>
        <v>45579</v>
      </c>
      <c r="AG550" s="89">
        <f>'DIY Grundmodell'!S637</f>
        <v>590.41999999999996</v>
      </c>
      <c r="AH550" s="54">
        <f>'DIY Grundmodell'!T637</f>
        <v>4872.1287199999997</v>
      </c>
      <c r="AI550" s="89">
        <f>'DIY Grundmodell'!U637</f>
        <v>590.41999999999996</v>
      </c>
      <c r="AJ550" s="89">
        <f>'DIY Grundmodell'!V637</f>
        <v>4872.1287199999997</v>
      </c>
      <c r="AK550" s="989"/>
      <c r="AL550" s="33">
        <f>'DIY Grundmodell'!X637</f>
        <v>5859.8501500000002</v>
      </c>
    </row>
    <row r="551" spans="32:38" ht="14.1" customHeight="1" x14ac:dyDescent="0.45">
      <c r="AF551" s="988">
        <f>'DIY Grundmodell'!R638</f>
        <v>45580</v>
      </c>
      <c r="AG551" s="89">
        <f>'DIY Grundmodell'!S638</f>
        <v>586.27</v>
      </c>
      <c r="AH551" s="54">
        <f>'DIY Grundmodell'!T638</f>
        <v>5607.2246400000004</v>
      </c>
      <c r="AI551" s="89">
        <f>'DIY Grundmodell'!U638</f>
        <v>586.27</v>
      </c>
      <c r="AJ551" s="89">
        <f>'DIY Grundmodell'!V638</f>
        <v>5607.2246400000004</v>
      </c>
      <c r="AK551" s="989"/>
      <c r="AL551" s="33">
        <f>'DIY Grundmodell'!X638</f>
        <v>5815.2599399999999</v>
      </c>
    </row>
    <row r="552" spans="32:38" ht="14.1" customHeight="1" x14ac:dyDescent="0.45">
      <c r="AF552" s="988">
        <f>'DIY Grundmodell'!R639</f>
        <v>45581</v>
      </c>
      <c r="AG552" s="89">
        <f>'DIY Grundmodell'!S639</f>
        <v>576.79</v>
      </c>
      <c r="AH552" s="54">
        <f>'DIY Grundmodell'!T639</f>
        <v>6499.4912100000001</v>
      </c>
      <c r="AI552" s="89">
        <f>'DIY Grundmodell'!U639</f>
        <v>576.79</v>
      </c>
      <c r="AJ552" s="89">
        <f>'DIY Grundmodell'!V639</f>
        <v>6499.4912100000001</v>
      </c>
      <c r="AK552" s="989"/>
      <c r="AL552" s="33">
        <f>'DIY Grundmodell'!X639</f>
        <v>5842.4745199999998</v>
      </c>
    </row>
    <row r="553" spans="32:38" ht="14.1" customHeight="1" x14ac:dyDescent="0.45">
      <c r="AF553" s="988">
        <f>'DIY Grundmodell'!R640</f>
        <v>45582</v>
      </c>
      <c r="AG553" s="89">
        <f>'DIY Grundmodell'!S640</f>
        <v>576.92999999999995</v>
      </c>
      <c r="AH553" s="54">
        <f>'DIY Grundmodell'!T640</f>
        <v>5019.9590900000003</v>
      </c>
      <c r="AI553" s="89">
        <f>'DIY Grundmodell'!U640</f>
        <v>576.92999999999995</v>
      </c>
      <c r="AJ553" s="89">
        <f>'DIY Grundmodell'!V640</f>
        <v>5019.9590900000003</v>
      </c>
      <c r="AK553" s="989"/>
      <c r="AL553" s="33">
        <f>'DIY Grundmodell'!X640</f>
        <v>5841.4724100000003</v>
      </c>
    </row>
    <row r="554" spans="32:38" ht="14.1" customHeight="1" x14ac:dyDescent="0.45">
      <c r="AF554" s="988">
        <f>'DIY Grundmodell'!R641</f>
        <v>45583</v>
      </c>
      <c r="AG554" s="89">
        <f>'DIY Grundmodell'!S641</f>
        <v>576.47</v>
      </c>
      <c r="AH554" s="54">
        <f>'DIY Grundmodell'!T641</f>
        <v>4435.5181300000004</v>
      </c>
      <c r="AI554" s="89">
        <f>'DIY Grundmodell'!U641</f>
        <v>576.47</v>
      </c>
      <c r="AJ554" s="89">
        <f>'DIY Grundmodell'!V641</f>
        <v>4435.5181300000004</v>
      </c>
      <c r="AK554" s="989"/>
      <c r="AL554" s="33">
        <f>'DIY Grundmodell'!X641</f>
        <v>5864.6679100000001</v>
      </c>
    </row>
    <row r="555" spans="32:38" ht="14.1" customHeight="1" x14ac:dyDescent="0.45">
      <c r="AF555" s="988">
        <f>'DIY Grundmodell'!R642</f>
        <v>45584</v>
      </c>
      <c r="AG555" s="89" t="e">
        <f>'DIY Grundmodell'!S642</f>
        <v>#N/A</v>
      </c>
      <c r="AH555" s="54" t="e">
        <f>'DIY Grundmodell'!T642</f>
        <v>#N/A</v>
      </c>
      <c r="AI555" s="89">
        <f>'DIY Grundmodell'!U642</f>
        <v>576.47</v>
      </c>
      <c r="AJ555" s="89">
        <f>'DIY Grundmodell'!V642</f>
        <v>0</v>
      </c>
      <c r="AK555" s="989"/>
      <c r="AL555" s="33">
        <f>'DIY Grundmodell'!X642</f>
        <v>5864.6679100000001</v>
      </c>
    </row>
    <row r="556" spans="32:38" ht="14.1" customHeight="1" x14ac:dyDescent="0.45">
      <c r="AF556" s="988">
        <f>'DIY Grundmodell'!R643</f>
        <v>45585</v>
      </c>
      <c r="AG556" s="89" t="e">
        <f>'DIY Grundmodell'!S643</f>
        <v>#N/A</v>
      </c>
      <c r="AH556" s="54" t="e">
        <f>'DIY Grundmodell'!T643</f>
        <v>#N/A</v>
      </c>
      <c r="AI556" s="89">
        <f>'DIY Grundmodell'!U643</f>
        <v>576.47</v>
      </c>
      <c r="AJ556" s="89">
        <f>'DIY Grundmodell'!V643</f>
        <v>0</v>
      </c>
      <c r="AK556" s="989"/>
      <c r="AL556" s="33">
        <f>'DIY Grundmodell'!X643</f>
        <v>5864.6679100000001</v>
      </c>
    </row>
    <row r="557" spans="32:38" ht="14.1" customHeight="1" x14ac:dyDescent="0.45">
      <c r="AF557" s="988">
        <f>'DIY Grundmodell'!R644</f>
        <v>45586</v>
      </c>
      <c r="AG557" s="89">
        <f>'DIY Grundmodell'!S644</f>
        <v>575.16</v>
      </c>
      <c r="AH557" s="54">
        <f>'DIY Grundmodell'!T644</f>
        <v>4700.1379299999999</v>
      </c>
      <c r="AI557" s="89">
        <f>'DIY Grundmodell'!U644</f>
        <v>575.16</v>
      </c>
      <c r="AJ557" s="89">
        <f>'DIY Grundmodell'!V644</f>
        <v>4700.1379299999999</v>
      </c>
      <c r="AK557" s="989"/>
      <c r="AL557" s="33">
        <f>'DIY Grundmodell'!X644</f>
        <v>5853.9822299999996</v>
      </c>
    </row>
    <row r="558" spans="32:38" ht="14.1" customHeight="1" x14ac:dyDescent="0.45">
      <c r="AF558" s="988">
        <f>'DIY Grundmodell'!R645</f>
        <v>45587</v>
      </c>
      <c r="AG558" s="89">
        <f>'DIY Grundmodell'!S645</f>
        <v>582.01</v>
      </c>
      <c r="AH558" s="54">
        <f>'DIY Grundmodell'!T645</f>
        <v>4972.9629100000002</v>
      </c>
      <c r="AI558" s="89">
        <f>'DIY Grundmodell'!U645</f>
        <v>582.01</v>
      </c>
      <c r="AJ558" s="89">
        <f>'DIY Grundmodell'!V645</f>
        <v>4972.9629100000002</v>
      </c>
      <c r="AK558" s="989"/>
      <c r="AL558" s="33">
        <f>'DIY Grundmodell'!X645</f>
        <v>5851.2023600000002</v>
      </c>
    </row>
    <row r="559" spans="32:38" ht="14.1" customHeight="1" x14ac:dyDescent="0.45">
      <c r="AF559" s="988">
        <f>'DIY Grundmodell'!R646</f>
        <v>45588</v>
      </c>
      <c r="AG559" s="89">
        <f>'DIY Grundmodell'!S646</f>
        <v>563.69000000000005</v>
      </c>
      <c r="AH559" s="54">
        <f>'DIY Grundmodell'!T646</f>
        <v>8031.6913100000002</v>
      </c>
      <c r="AI559" s="89">
        <f>'DIY Grundmodell'!U646</f>
        <v>563.69000000000005</v>
      </c>
      <c r="AJ559" s="89">
        <f>'DIY Grundmodell'!V646</f>
        <v>8031.6913100000002</v>
      </c>
      <c r="AK559" s="989"/>
      <c r="AL559" s="33">
        <f>'DIY Grundmodell'!X646</f>
        <v>5797.4225900000001</v>
      </c>
    </row>
    <row r="560" spans="32:38" ht="14.1" customHeight="1" x14ac:dyDescent="0.45">
      <c r="AF560" s="988">
        <f>'DIY Grundmodell'!R647</f>
        <v>45589</v>
      </c>
      <c r="AG560" s="89">
        <f>'DIY Grundmodell'!S647</f>
        <v>567.78</v>
      </c>
      <c r="AH560" s="54">
        <f>'DIY Grundmodell'!T647</f>
        <v>4079.3011499999998</v>
      </c>
      <c r="AI560" s="89">
        <f>'DIY Grundmodell'!U647</f>
        <v>567.78</v>
      </c>
      <c r="AJ560" s="89">
        <f>'DIY Grundmodell'!V647</f>
        <v>4079.3011499999998</v>
      </c>
      <c r="AK560" s="989"/>
      <c r="AL560" s="33">
        <f>'DIY Grundmodell'!X647</f>
        <v>5809.8592200000003</v>
      </c>
    </row>
    <row r="561" spans="32:38" ht="14.1" customHeight="1" x14ac:dyDescent="0.45">
      <c r="AF561" s="988">
        <f>'DIY Grundmodell'!R648</f>
        <v>45590</v>
      </c>
      <c r="AG561" s="89">
        <f>'DIY Grundmodell'!S648</f>
        <v>573.25</v>
      </c>
      <c r="AH561" s="54">
        <f>'DIY Grundmodell'!T648</f>
        <v>6499.4362700000001</v>
      </c>
      <c r="AI561" s="89">
        <f>'DIY Grundmodell'!U648</f>
        <v>573.25</v>
      </c>
      <c r="AJ561" s="89">
        <f>'DIY Grundmodell'!V648</f>
        <v>6499.4362700000001</v>
      </c>
      <c r="AK561" s="989"/>
      <c r="AL561" s="33">
        <f>'DIY Grundmodell'!X648</f>
        <v>5808.1170099999999</v>
      </c>
    </row>
    <row r="562" spans="32:38" ht="14.1" customHeight="1" x14ac:dyDescent="0.45">
      <c r="AF562" s="988">
        <f>'DIY Grundmodell'!R649</f>
        <v>45591</v>
      </c>
      <c r="AG562" s="89" t="e">
        <f>'DIY Grundmodell'!S649</f>
        <v>#N/A</v>
      </c>
      <c r="AH562" s="54" t="e">
        <f>'DIY Grundmodell'!T649</f>
        <v>#N/A</v>
      </c>
      <c r="AI562" s="89">
        <f>'DIY Grundmodell'!U649</f>
        <v>573.25</v>
      </c>
      <c r="AJ562" s="89">
        <f>'DIY Grundmodell'!V649</f>
        <v>0</v>
      </c>
      <c r="AK562" s="989"/>
      <c r="AL562" s="33">
        <f>'DIY Grundmodell'!X649</f>
        <v>5808.1170099999999</v>
      </c>
    </row>
    <row r="563" spans="32:38" ht="14.1" customHeight="1" x14ac:dyDescent="0.45">
      <c r="AF563" s="988">
        <f>'DIY Grundmodell'!R650</f>
        <v>45592</v>
      </c>
      <c r="AG563" s="89" t="e">
        <f>'DIY Grundmodell'!S650</f>
        <v>#N/A</v>
      </c>
      <c r="AH563" s="54" t="e">
        <f>'DIY Grundmodell'!T650</f>
        <v>#N/A</v>
      </c>
      <c r="AI563" s="89">
        <f>'DIY Grundmodell'!U650</f>
        <v>573.25</v>
      </c>
      <c r="AJ563" s="89">
        <f>'DIY Grundmodell'!V650</f>
        <v>0</v>
      </c>
      <c r="AK563" s="989"/>
      <c r="AL563" s="33">
        <f>'DIY Grundmodell'!X650</f>
        <v>5808.1170099999999</v>
      </c>
    </row>
    <row r="564" spans="32:38" ht="14.1" customHeight="1" x14ac:dyDescent="0.45">
      <c r="AF564" s="988">
        <f>'DIY Grundmodell'!R651</f>
        <v>45593</v>
      </c>
      <c r="AG564" s="89">
        <f>'DIY Grundmodell'!S651</f>
        <v>578.16</v>
      </c>
      <c r="AH564" s="54">
        <f>'DIY Grundmodell'!T651</f>
        <v>6316.4737400000004</v>
      </c>
      <c r="AI564" s="89">
        <f>'DIY Grundmodell'!U651</f>
        <v>578.16</v>
      </c>
      <c r="AJ564" s="89">
        <f>'DIY Grundmodell'!V651</f>
        <v>6316.4737400000004</v>
      </c>
      <c r="AK564" s="989"/>
      <c r="AL564" s="33">
        <f>'DIY Grundmodell'!X651</f>
        <v>5823.51775</v>
      </c>
    </row>
    <row r="565" spans="32:38" ht="14.1" customHeight="1" x14ac:dyDescent="0.45">
      <c r="AF565" s="988">
        <f>'DIY Grundmodell'!R652</f>
        <v>45594</v>
      </c>
      <c r="AG565" s="89">
        <f>'DIY Grundmodell'!S652</f>
        <v>593.28</v>
      </c>
      <c r="AH565" s="54">
        <f>'DIY Grundmodell'!T652</f>
        <v>7723.9669000000004</v>
      </c>
      <c r="AI565" s="89">
        <f>'DIY Grundmodell'!U652</f>
        <v>593.28</v>
      </c>
      <c r="AJ565" s="89">
        <f>'DIY Grundmodell'!V652</f>
        <v>7723.9669000000004</v>
      </c>
      <c r="AK565" s="989"/>
      <c r="AL565" s="33">
        <f>'DIY Grundmodell'!X652</f>
        <v>5832.91705</v>
      </c>
    </row>
    <row r="566" spans="32:38" ht="14.1" customHeight="1" x14ac:dyDescent="0.45">
      <c r="AF566" s="988">
        <f>'DIY Grundmodell'!R653</f>
        <v>45595</v>
      </c>
      <c r="AG566" s="89">
        <f>'DIY Grundmodell'!S653</f>
        <v>591.79999999999995</v>
      </c>
      <c r="AH566" s="54">
        <f>'DIY Grundmodell'!T653</f>
        <v>15898.662619999999</v>
      </c>
      <c r="AI566" s="89">
        <f>'DIY Grundmodell'!U653</f>
        <v>591.79999999999995</v>
      </c>
      <c r="AJ566" s="89">
        <f>'DIY Grundmodell'!V653</f>
        <v>15898.662619999999</v>
      </c>
      <c r="AK566" s="989"/>
      <c r="AL566" s="33">
        <f>'DIY Grundmodell'!X653</f>
        <v>5813.6697000000004</v>
      </c>
    </row>
    <row r="567" spans="32:38" ht="14.1" customHeight="1" x14ac:dyDescent="0.45">
      <c r="AF567" s="988">
        <f>'DIY Grundmodell'!R654</f>
        <v>45596</v>
      </c>
      <c r="AG567" s="89">
        <f>'DIY Grundmodell'!S654</f>
        <v>567.58000000000004</v>
      </c>
      <c r="AH567" s="54">
        <f>'DIY Grundmodell'!T654</f>
        <v>15232.936229999999</v>
      </c>
      <c r="AI567" s="89">
        <f>'DIY Grundmodell'!U654</f>
        <v>567.58000000000004</v>
      </c>
      <c r="AJ567" s="89">
        <f>'DIY Grundmodell'!V654</f>
        <v>15232.936229999999</v>
      </c>
      <c r="AK567" s="989"/>
      <c r="AL567" s="33">
        <f>'DIY Grundmodell'!X654</f>
        <v>5705.4479199999996</v>
      </c>
    </row>
    <row r="568" spans="32:38" ht="14.1" customHeight="1" x14ac:dyDescent="0.45">
      <c r="AF568" s="988">
        <f>'DIY Grundmodell'!R655</f>
        <v>45597</v>
      </c>
      <c r="AG568" s="89">
        <f>'DIY Grundmodell'!S655</f>
        <v>567.16</v>
      </c>
      <c r="AH568" s="54">
        <f>'DIY Grundmodell'!T655</f>
        <v>8679.3827600000004</v>
      </c>
      <c r="AI568" s="89">
        <f>'DIY Grundmodell'!U655</f>
        <v>567.16</v>
      </c>
      <c r="AJ568" s="89">
        <f>'DIY Grundmodell'!V655</f>
        <v>8679.3827600000004</v>
      </c>
      <c r="AK568" s="989"/>
      <c r="AL568" s="33">
        <f>'DIY Grundmodell'!X655</f>
        <v>5728.8013600000004</v>
      </c>
    </row>
    <row r="569" spans="32:38" ht="14.1" customHeight="1" x14ac:dyDescent="0.45">
      <c r="AF569" s="988">
        <f>'DIY Grundmodell'!R656</f>
        <v>45598</v>
      </c>
      <c r="AG569" s="89" t="e">
        <f>'DIY Grundmodell'!S656</f>
        <v>#N/A</v>
      </c>
      <c r="AH569" s="54" t="e">
        <f>'DIY Grundmodell'!T656</f>
        <v>#N/A</v>
      </c>
      <c r="AI569" s="89">
        <f>'DIY Grundmodell'!U656</f>
        <v>567.16</v>
      </c>
      <c r="AJ569" s="89">
        <f>'DIY Grundmodell'!V656</f>
        <v>0</v>
      </c>
      <c r="AK569" s="989"/>
      <c r="AL569" s="33">
        <f>'DIY Grundmodell'!X656</f>
        <v>5728.8013600000004</v>
      </c>
    </row>
    <row r="570" spans="32:38" ht="14.1" customHeight="1" x14ac:dyDescent="0.45">
      <c r="AF570" s="988">
        <f>'DIY Grundmodell'!R657</f>
        <v>45599</v>
      </c>
      <c r="AG570" s="89" t="e">
        <f>'DIY Grundmodell'!S657</f>
        <v>#N/A</v>
      </c>
      <c r="AH570" s="54" t="e">
        <f>'DIY Grundmodell'!T657</f>
        <v>#N/A</v>
      </c>
      <c r="AI570" s="89">
        <f>'DIY Grundmodell'!U657</f>
        <v>567.16</v>
      </c>
      <c r="AJ570" s="89">
        <f>'DIY Grundmodell'!V657</f>
        <v>0</v>
      </c>
      <c r="AK570" s="989"/>
      <c r="AL570" s="33">
        <f>'DIY Grundmodell'!X657</f>
        <v>5728.8013600000004</v>
      </c>
    </row>
    <row r="571" spans="32:38" ht="14.1" customHeight="1" x14ac:dyDescent="0.45">
      <c r="AF571" s="988">
        <f>'DIY Grundmodell'!R658</f>
        <v>45600</v>
      </c>
      <c r="AG571" s="89">
        <f>'DIY Grundmodell'!S658</f>
        <v>560.67999999999995</v>
      </c>
      <c r="AH571" s="54">
        <f>'DIY Grundmodell'!T658</f>
        <v>6764.3804899999996</v>
      </c>
      <c r="AI571" s="89">
        <f>'DIY Grundmodell'!U658</f>
        <v>560.67999999999995</v>
      </c>
      <c r="AJ571" s="89">
        <f>'DIY Grundmodell'!V658</f>
        <v>6764.3804899999996</v>
      </c>
      <c r="AK571" s="989"/>
      <c r="AL571" s="33">
        <f>'DIY Grundmodell'!X658</f>
        <v>5712.6883399999997</v>
      </c>
    </row>
    <row r="572" spans="32:38" ht="14.1" customHeight="1" x14ac:dyDescent="0.45">
      <c r="AF572" s="988">
        <f>'DIY Grundmodell'!R659</f>
        <v>45601</v>
      </c>
      <c r="AG572" s="89">
        <f>'DIY Grundmodell'!S659</f>
        <v>572.42999999999995</v>
      </c>
      <c r="AH572" s="54">
        <f>'DIY Grundmodell'!T659</f>
        <v>5595.7201999999997</v>
      </c>
      <c r="AI572" s="89">
        <f>'DIY Grundmodell'!U659</f>
        <v>572.42999999999995</v>
      </c>
      <c r="AJ572" s="89">
        <f>'DIY Grundmodell'!V659</f>
        <v>5595.7201999999997</v>
      </c>
      <c r="AK572" s="989"/>
      <c r="AL572" s="33">
        <f>'DIY Grundmodell'!X659</f>
        <v>5782.7558099999997</v>
      </c>
    </row>
    <row r="573" spans="32:38" ht="14.1" customHeight="1" x14ac:dyDescent="0.45">
      <c r="AF573" s="988">
        <f>'DIY Grundmodell'!R660</f>
        <v>45602</v>
      </c>
      <c r="AG573" s="89">
        <f>'DIY Grundmodell'!S660</f>
        <v>572.04999999999995</v>
      </c>
      <c r="AH573" s="54">
        <f>'DIY Grundmodell'!T660</f>
        <v>10471.62066</v>
      </c>
      <c r="AI573" s="89">
        <f>'DIY Grundmodell'!U660</f>
        <v>572.04999999999995</v>
      </c>
      <c r="AJ573" s="89">
        <f>'DIY Grundmodell'!V660</f>
        <v>10471.62066</v>
      </c>
      <c r="AK573" s="989"/>
      <c r="AL573" s="33">
        <f>'DIY Grundmodell'!X660</f>
        <v>5929.0442400000002</v>
      </c>
    </row>
    <row r="574" spans="32:38" ht="14.1" customHeight="1" x14ac:dyDescent="0.45">
      <c r="AF574" s="988">
        <f>'DIY Grundmodell'!R661</f>
        <v>45603</v>
      </c>
      <c r="AG574" s="89">
        <f>'DIY Grundmodell'!S661</f>
        <v>591.70000000000005</v>
      </c>
      <c r="AH574" s="54">
        <f>'DIY Grundmodell'!T661</f>
        <v>8670.5990199999997</v>
      </c>
      <c r="AI574" s="89">
        <f>'DIY Grundmodell'!U661</f>
        <v>591.70000000000005</v>
      </c>
      <c r="AJ574" s="89">
        <f>'DIY Grundmodell'!V661</f>
        <v>8670.5990199999997</v>
      </c>
      <c r="AK574" s="989"/>
      <c r="AL574" s="33">
        <f>'DIY Grundmodell'!X661</f>
        <v>5973.1031599999997</v>
      </c>
    </row>
    <row r="575" spans="32:38" ht="14.1" customHeight="1" x14ac:dyDescent="0.45">
      <c r="AF575" s="988">
        <f>'DIY Grundmodell'!R662</f>
        <v>45604</v>
      </c>
      <c r="AG575" s="89">
        <f>'DIY Grundmodell'!S662</f>
        <v>589.34</v>
      </c>
      <c r="AH575" s="54">
        <f>'DIY Grundmodell'!T662</f>
        <v>5549.0480500000003</v>
      </c>
      <c r="AI575" s="89">
        <f>'DIY Grundmodell'!U662</f>
        <v>589.34</v>
      </c>
      <c r="AJ575" s="89">
        <f>'DIY Grundmodell'!V662</f>
        <v>5549.0480500000003</v>
      </c>
      <c r="AK575" s="989"/>
      <c r="AL575" s="33">
        <f>'DIY Grundmodell'!X662</f>
        <v>5995.5373399999999</v>
      </c>
    </row>
    <row r="576" spans="32:38" ht="14.1" customHeight="1" x14ac:dyDescent="0.45">
      <c r="AF576" s="988">
        <f>'DIY Grundmodell'!R663</f>
        <v>45605</v>
      </c>
      <c r="AG576" s="89" t="e">
        <f>'DIY Grundmodell'!S663</f>
        <v>#N/A</v>
      </c>
      <c r="AH576" s="54" t="e">
        <f>'DIY Grundmodell'!T663</f>
        <v>#N/A</v>
      </c>
      <c r="AI576" s="89">
        <f>'DIY Grundmodell'!U663</f>
        <v>589.34</v>
      </c>
      <c r="AJ576" s="89">
        <f>'DIY Grundmodell'!V663</f>
        <v>0</v>
      </c>
      <c r="AK576" s="989"/>
      <c r="AL576" s="33">
        <f>'DIY Grundmodell'!X663</f>
        <v>5995.5373399999999</v>
      </c>
    </row>
    <row r="577" spans="32:38" ht="14.1" customHeight="1" x14ac:dyDescent="0.45">
      <c r="AF577" s="988">
        <f>'DIY Grundmodell'!R664</f>
        <v>45606</v>
      </c>
      <c r="AG577" s="89" t="e">
        <f>'DIY Grundmodell'!S664</f>
        <v>#N/A</v>
      </c>
      <c r="AH577" s="54" t="e">
        <f>'DIY Grundmodell'!T664</f>
        <v>#N/A</v>
      </c>
      <c r="AI577" s="89">
        <f>'DIY Grundmodell'!U664</f>
        <v>589.34</v>
      </c>
      <c r="AJ577" s="89">
        <f>'DIY Grundmodell'!V664</f>
        <v>0</v>
      </c>
      <c r="AK577" s="989"/>
      <c r="AL577" s="33">
        <f>'DIY Grundmodell'!X664</f>
        <v>5995.5373399999999</v>
      </c>
    </row>
    <row r="578" spans="32:38" ht="14.1" customHeight="1" x14ac:dyDescent="0.45">
      <c r="AF578" s="988">
        <f>'DIY Grundmodell'!R665</f>
        <v>45607</v>
      </c>
      <c r="AG578" s="89">
        <f>'DIY Grundmodell'!S665</f>
        <v>583.16999999999996</v>
      </c>
      <c r="AH578" s="54">
        <f>'DIY Grundmodell'!T665</f>
        <v>5953.6122699999996</v>
      </c>
      <c r="AI578" s="89">
        <f>'DIY Grundmodell'!U665</f>
        <v>583.16999999999996</v>
      </c>
      <c r="AJ578" s="89">
        <f>'DIY Grundmodell'!V665</f>
        <v>5953.6122699999996</v>
      </c>
      <c r="AK578" s="989"/>
      <c r="AL578" s="33">
        <f>'DIY Grundmodell'!X665</f>
        <v>6001.34699</v>
      </c>
    </row>
    <row r="579" spans="32:38" ht="14.1" customHeight="1" x14ac:dyDescent="0.45">
      <c r="AF579" s="988">
        <f>'DIY Grundmodell'!R666</f>
        <v>45608</v>
      </c>
      <c r="AG579" s="89">
        <f>'DIY Grundmodell'!S666</f>
        <v>584.82000000000005</v>
      </c>
      <c r="AH579" s="54">
        <f>'DIY Grundmodell'!T666</f>
        <v>9525.3867499999997</v>
      </c>
      <c r="AI579" s="89">
        <f>'DIY Grundmodell'!U666</f>
        <v>584.82000000000005</v>
      </c>
      <c r="AJ579" s="89">
        <f>'DIY Grundmodell'!V666</f>
        <v>9525.3867499999997</v>
      </c>
      <c r="AK579" s="989"/>
      <c r="AL579" s="33">
        <f>'DIY Grundmodell'!X666</f>
        <v>5983.9898599999997</v>
      </c>
    </row>
    <row r="580" spans="32:38" ht="14.1" customHeight="1" x14ac:dyDescent="0.45">
      <c r="AF580" s="988">
        <f>'DIY Grundmodell'!R667</f>
        <v>45609</v>
      </c>
      <c r="AG580" s="89">
        <f>'DIY Grundmodell'!S667</f>
        <v>580</v>
      </c>
      <c r="AH580" s="54">
        <f>'DIY Grundmodell'!T667</f>
        <v>6239.3981400000002</v>
      </c>
      <c r="AI580" s="89">
        <f>'DIY Grundmodell'!U667</f>
        <v>580</v>
      </c>
      <c r="AJ580" s="89">
        <f>'DIY Grundmodell'!V667</f>
        <v>6239.3981400000002</v>
      </c>
      <c r="AK580" s="989"/>
      <c r="AL580" s="33">
        <f>'DIY Grundmodell'!X667</f>
        <v>5985.3780100000004</v>
      </c>
    </row>
    <row r="581" spans="32:38" ht="14.1" customHeight="1" x14ac:dyDescent="0.45">
      <c r="AF581" s="988">
        <f>'DIY Grundmodell'!R668</f>
        <v>45610</v>
      </c>
      <c r="AG581" s="89">
        <f>'DIY Grundmodell'!S668</f>
        <v>577.16</v>
      </c>
      <c r="AH581" s="54">
        <f>'DIY Grundmodell'!T668</f>
        <v>6379.7783099999997</v>
      </c>
      <c r="AI581" s="89">
        <f>'DIY Grundmodell'!U668</f>
        <v>577.16</v>
      </c>
      <c r="AJ581" s="89">
        <f>'DIY Grundmodell'!V668</f>
        <v>6379.7783099999997</v>
      </c>
      <c r="AK581" s="989"/>
      <c r="AL581" s="33">
        <f>'DIY Grundmodell'!X668</f>
        <v>5949.1709199999996</v>
      </c>
    </row>
    <row r="582" spans="32:38" ht="14.1" customHeight="1" x14ac:dyDescent="0.45">
      <c r="AF582" s="988">
        <f>'DIY Grundmodell'!R669</f>
        <v>45611</v>
      </c>
      <c r="AG582" s="89">
        <f>'DIY Grundmodell'!S669</f>
        <v>554.08000000000004</v>
      </c>
      <c r="AH582" s="54">
        <f>'DIY Grundmodell'!T669</f>
        <v>9814.3436899999997</v>
      </c>
      <c r="AI582" s="89">
        <f>'DIY Grundmodell'!U669</f>
        <v>554.08000000000004</v>
      </c>
      <c r="AJ582" s="89">
        <f>'DIY Grundmodell'!V669</f>
        <v>9814.3436899999997</v>
      </c>
      <c r="AK582" s="989"/>
      <c r="AL582" s="33">
        <f>'DIY Grundmodell'!X669</f>
        <v>5870.6164099999996</v>
      </c>
    </row>
    <row r="583" spans="32:38" ht="14.1" customHeight="1" x14ac:dyDescent="0.45">
      <c r="AF583" s="988">
        <f>'DIY Grundmodell'!R670</f>
        <v>45612</v>
      </c>
      <c r="AG583" s="89" t="e">
        <f>'DIY Grundmodell'!S670</f>
        <v>#N/A</v>
      </c>
      <c r="AH583" s="54" t="e">
        <f>'DIY Grundmodell'!T670</f>
        <v>#N/A</v>
      </c>
      <c r="AI583" s="89">
        <f>'DIY Grundmodell'!U670</f>
        <v>554.08000000000004</v>
      </c>
      <c r="AJ583" s="89">
        <f>'DIY Grundmodell'!V670</f>
        <v>0</v>
      </c>
      <c r="AK583" s="989"/>
      <c r="AL583" s="33">
        <f>'DIY Grundmodell'!X670</f>
        <v>5870.6164099999996</v>
      </c>
    </row>
    <row r="584" spans="32:38" ht="14.1" customHeight="1" x14ac:dyDescent="0.45">
      <c r="AF584" s="988">
        <f>'DIY Grundmodell'!R671</f>
        <v>45613</v>
      </c>
      <c r="AG584" s="89" t="e">
        <f>'DIY Grundmodell'!S671</f>
        <v>#N/A</v>
      </c>
      <c r="AH584" s="54" t="e">
        <f>'DIY Grundmodell'!T671</f>
        <v>#N/A</v>
      </c>
      <c r="AI584" s="89">
        <f>'DIY Grundmodell'!U671</f>
        <v>554.08000000000004</v>
      </c>
      <c r="AJ584" s="89">
        <f>'DIY Grundmodell'!V671</f>
        <v>0</v>
      </c>
      <c r="AK584" s="989"/>
      <c r="AL584" s="33">
        <f>'DIY Grundmodell'!X671</f>
        <v>5870.6164099999996</v>
      </c>
    </row>
    <row r="585" spans="32:38" ht="14.1" customHeight="1" x14ac:dyDescent="0.45">
      <c r="AF585" s="988">
        <f>'DIY Grundmodell'!R672</f>
        <v>45614</v>
      </c>
      <c r="AG585" s="89">
        <f>'DIY Grundmodell'!S672</f>
        <v>554.4</v>
      </c>
      <c r="AH585" s="54">
        <f>'DIY Grundmodell'!T672</f>
        <v>7953.8188</v>
      </c>
      <c r="AI585" s="89">
        <f>'DIY Grundmodell'!U672</f>
        <v>554.4</v>
      </c>
      <c r="AJ585" s="89">
        <f>'DIY Grundmodell'!V672</f>
        <v>7953.8188</v>
      </c>
      <c r="AK585" s="989"/>
      <c r="AL585" s="33">
        <f>'DIY Grundmodell'!X672</f>
        <v>5893.62345</v>
      </c>
    </row>
    <row r="586" spans="32:38" ht="14.1" customHeight="1" x14ac:dyDescent="0.45">
      <c r="AF586" s="988">
        <f>'DIY Grundmodell'!R673</f>
        <v>45615</v>
      </c>
      <c r="AG586" s="89">
        <f>'DIY Grundmodell'!S673</f>
        <v>561.09</v>
      </c>
      <c r="AH586" s="54">
        <f>'DIY Grundmodell'!T673</f>
        <v>5342.9486699999998</v>
      </c>
      <c r="AI586" s="89">
        <f>'DIY Grundmodell'!U673</f>
        <v>561.09</v>
      </c>
      <c r="AJ586" s="89">
        <f>'DIY Grundmodell'!V673</f>
        <v>5342.9486699999998</v>
      </c>
      <c r="AK586" s="989"/>
      <c r="AL586" s="33">
        <f>'DIY Grundmodell'!X673</f>
        <v>5916.9773500000001</v>
      </c>
    </row>
    <row r="587" spans="32:38" ht="14.1" customHeight="1" x14ac:dyDescent="0.45">
      <c r="AF587" s="988">
        <f>'DIY Grundmodell'!R674</f>
        <v>45616</v>
      </c>
      <c r="AG587" s="89">
        <f>'DIY Grundmodell'!S674</f>
        <v>565.52</v>
      </c>
      <c r="AH587" s="54">
        <f>'DIY Grundmodell'!T674</f>
        <v>5540.5911500000002</v>
      </c>
      <c r="AI587" s="89">
        <f>'DIY Grundmodell'!U674</f>
        <v>565.52</v>
      </c>
      <c r="AJ587" s="89">
        <f>'DIY Grundmodell'!V674</f>
        <v>5540.5911500000002</v>
      </c>
      <c r="AK587" s="989"/>
      <c r="AL587" s="33">
        <f>'DIY Grundmodell'!X674</f>
        <v>5917.1110500000004</v>
      </c>
    </row>
    <row r="588" spans="32:38" ht="14.1" customHeight="1" x14ac:dyDescent="0.45">
      <c r="AF588" s="988">
        <f>'DIY Grundmodell'!R675</f>
        <v>45617</v>
      </c>
      <c r="AG588" s="89">
        <f>'DIY Grundmodell'!S675</f>
        <v>563.09</v>
      </c>
      <c r="AH588" s="54">
        <f>'DIY Grundmodell'!T675</f>
        <v>6281.1276099999995</v>
      </c>
      <c r="AI588" s="89">
        <f>'DIY Grundmodell'!U675</f>
        <v>563.09</v>
      </c>
      <c r="AJ588" s="89">
        <f>'DIY Grundmodell'!V675</f>
        <v>6281.1276099999995</v>
      </c>
      <c r="AK588" s="989"/>
      <c r="AL588" s="33">
        <f>'DIY Grundmodell'!X675</f>
        <v>5948.7072200000002</v>
      </c>
    </row>
    <row r="589" spans="32:38" ht="14.1" customHeight="1" x14ac:dyDescent="0.45">
      <c r="AF589" s="988">
        <f>'DIY Grundmodell'!R676</f>
        <v>45618</v>
      </c>
      <c r="AG589" s="89">
        <f>'DIY Grundmodell'!S676</f>
        <v>559.14</v>
      </c>
      <c r="AH589" s="54">
        <f>'DIY Grundmodell'!T676</f>
        <v>5123.9611999999997</v>
      </c>
      <c r="AI589" s="89">
        <f>'DIY Grundmodell'!U676</f>
        <v>559.14</v>
      </c>
      <c r="AJ589" s="89">
        <f>'DIY Grundmodell'!V676</f>
        <v>5123.9611999999997</v>
      </c>
      <c r="AK589" s="989"/>
      <c r="AL589" s="33">
        <f>'DIY Grundmodell'!X676</f>
        <v>5969.3430799999996</v>
      </c>
    </row>
    <row r="590" spans="32:38" ht="14.1" customHeight="1" x14ac:dyDescent="0.45">
      <c r="AF590" s="988">
        <f>'DIY Grundmodell'!R677</f>
        <v>45619</v>
      </c>
      <c r="AG590" s="89" t="e">
        <f>'DIY Grundmodell'!S677</f>
        <v>#N/A</v>
      </c>
      <c r="AH590" s="54" t="e">
        <f>'DIY Grundmodell'!T677</f>
        <v>#N/A</v>
      </c>
      <c r="AI590" s="89">
        <f>'DIY Grundmodell'!U677</f>
        <v>559.14</v>
      </c>
      <c r="AJ590" s="89">
        <f>'DIY Grundmodell'!V677</f>
        <v>0</v>
      </c>
      <c r="AK590" s="989"/>
      <c r="AL590" s="33">
        <f>'DIY Grundmodell'!X677</f>
        <v>5969.3430799999996</v>
      </c>
    </row>
    <row r="591" spans="32:38" ht="14.1" customHeight="1" x14ac:dyDescent="0.45">
      <c r="AF591" s="988">
        <f>'DIY Grundmodell'!R678</f>
        <v>45620</v>
      </c>
      <c r="AG591" s="89" t="e">
        <f>'DIY Grundmodell'!S678</f>
        <v>#N/A</v>
      </c>
      <c r="AH591" s="54" t="e">
        <f>'DIY Grundmodell'!T678</f>
        <v>#N/A</v>
      </c>
      <c r="AI591" s="89">
        <f>'DIY Grundmodell'!U678</f>
        <v>559.14</v>
      </c>
      <c r="AJ591" s="89">
        <f>'DIY Grundmodell'!V678</f>
        <v>0</v>
      </c>
      <c r="AK591" s="989"/>
      <c r="AL591" s="33">
        <f>'DIY Grundmodell'!X678</f>
        <v>5969.3430799999996</v>
      </c>
    </row>
    <row r="592" spans="32:38" ht="14.1" customHeight="1" x14ac:dyDescent="0.45">
      <c r="AF592" s="988">
        <f>'DIY Grundmodell'!R679</f>
        <v>45621</v>
      </c>
      <c r="AG592" s="89">
        <f>'DIY Grundmodell'!S679</f>
        <v>565.11</v>
      </c>
      <c r="AH592" s="54">
        <f>'DIY Grundmodell'!T679</f>
        <v>7685.3999299999996</v>
      </c>
      <c r="AI592" s="89">
        <f>'DIY Grundmodell'!U679</f>
        <v>565.11</v>
      </c>
      <c r="AJ592" s="89">
        <f>'DIY Grundmodell'!V679</f>
        <v>7685.3999299999996</v>
      </c>
      <c r="AK592" s="989"/>
      <c r="AL592" s="33">
        <f>'DIY Grundmodell'!X679</f>
        <v>5987.3663500000002</v>
      </c>
    </row>
    <row r="593" spans="32:38" ht="14.1" customHeight="1" x14ac:dyDescent="0.45">
      <c r="AF593" s="988">
        <f>'DIY Grundmodell'!R680</f>
        <v>45622</v>
      </c>
      <c r="AG593" s="89">
        <f>'DIY Grundmodell'!S680</f>
        <v>573.54</v>
      </c>
      <c r="AH593" s="54">
        <f>'DIY Grundmodell'!T680</f>
        <v>5939.8956900000003</v>
      </c>
      <c r="AI593" s="89">
        <f>'DIY Grundmodell'!U680</f>
        <v>573.54</v>
      </c>
      <c r="AJ593" s="89">
        <f>'DIY Grundmodell'!V680</f>
        <v>5939.8956900000003</v>
      </c>
      <c r="AK593" s="989"/>
      <c r="AL593" s="33">
        <f>'DIY Grundmodell'!X680</f>
        <v>6021.6325900000002</v>
      </c>
    </row>
    <row r="594" spans="32:38" ht="14.1" customHeight="1" x14ac:dyDescent="0.45">
      <c r="AF594" s="988">
        <f>'DIY Grundmodell'!R681</f>
        <v>45623</v>
      </c>
      <c r="AG594" s="89">
        <f>'DIY Grundmodell'!S681</f>
        <v>569.20000000000005</v>
      </c>
      <c r="AH594" s="54">
        <f>'DIY Grundmodell'!T681</f>
        <v>4098.36978</v>
      </c>
      <c r="AI594" s="89">
        <f>'DIY Grundmodell'!U681</f>
        <v>569.20000000000005</v>
      </c>
      <c r="AJ594" s="89">
        <f>'DIY Grundmodell'!V681</f>
        <v>4098.36978</v>
      </c>
      <c r="AK594" s="989"/>
      <c r="AL594" s="33">
        <f>'DIY Grundmodell'!X681</f>
        <v>5998.7380499999999</v>
      </c>
    </row>
    <row r="595" spans="32:38" ht="14.1" customHeight="1" x14ac:dyDescent="0.45">
      <c r="AF595" s="988">
        <f>'DIY Grundmodell'!R682</f>
        <v>45624</v>
      </c>
      <c r="AG595" s="89" t="e">
        <f>'DIY Grundmodell'!S682</f>
        <v>#N/A</v>
      </c>
      <c r="AH595" s="54" t="e">
        <f>'DIY Grundmodell'!T682</f>
        <v>#N/A</v>
      </c>
      <c r="AI595" s="89">
        <f>'DIY Grundmodell'!U682</f>
        <v>569.20000000000005</v>
      </c>
      <c r="AJ595" s="89">
        <f>'DIY Grundmodell'!V682</f>
        <v>0</v>
      </c>
      <c r="AK595" s="989"/>
      <c r="AL595" s="33">
        <f>'DIY Grundmodell'!X682</f>
        <v>5998.7380499999999</v>
      </c>
    </row>
    <row r="596" spans="32:38" ht="14.1" customHeight="1" x14ac:dyDescent="0.45">
      <c r="AF596" s="988">
        <f>'DIY Grundmodell'!R683</f>
        <v>45625</v>
      </c>
      <c r="AG596" s="89">
        <f>'DIY Grundmodell'!S683</f>
        <v>574.32000000000005</v>
      </c>
      <c r="AH596" s="54">
        <f>'DIY Grundmodell'!T683</f>
        <v>4095.19967</v>
      </c>
      <c r="AI596" s="89">
        <f>'DIY Grundmodell'!U683</f>
        <v>574.32000000000005</v>
      </c>
      <c r="AJ596" s="89">
        <f>'DIY Grundmodell'!V683</f>
        <v>4095.19967</v>
      </c>
      <c r="AK596" s="989"/>
      <c r="AL596" s="33">
        <f>'DIY Grundmodell'!X683</f>
        <v>6032.3844099999997</v>
      </c>
    </row>
    <row r="597" spans="32:38" ht="14.1" customHeight="1" x14ac:dyDescent="0.45">
      <c r="AF597" s="988">
        <f>'DIY Grundmodell'!R684</f>
        <v>45626</v>
      </c>
      <c r="AG597" s="89" t="e">
        <f>'DIY Grundmodell'!S684</f>
        <v>#N/A</v>
      </c>
      <c r="AH597" s="54" t="e">
        <f>'DIY Grundmodell'!T684</f>
        <v>#N/A</v>
      </c>
      <c r="AI597" s="89">
        <f>'DIY Grundmodell'!U684</f>
        <v>574.32000000000005</v>
      </c>
      <c r="AJ597" s="89">
        <f>'DIY Grundmodell'!V684</f>
        <v>0</v>
      </c>
      <c r="AK597" s="989"/>
      <c r="AL597" s="33">
        <f>'DIY Grundmodell'!X684</f>
        <v>6032.3844099999997</v>
      </c>
    </row>
    <row r="598" spans="32:38" ht="14.1" customHeight="1" x14ac:dyDescent="0.45">
      <c r="AF598" s="988">
        <f>'DIY Grundmodell'!R685</f>
        <v>45627</v>
      </c>
      <c r="AG598" s="89" t="e">
        <f>'DIY Grundmodell'!S685</f>
        <v>#N/A</v>
      </c>
      <c r="AH598" s="54" t="e">
        <f>'DIY Grundmodell'!T685</f>
        <v>#N/A</v>
      </c>
      <c r="AI598" s="89">
        <f>'DIY Grundmodell'!U685</f>
        <v>574.32000000000005</v>
      </c>
      <c r="AJ598" s="89">
        <f>'DIY Grundmodell'!V685</f>
        <v>0</v>
      </c>
      <c r="AK598" s="989"/>
      <c r="AL598" s="33">
        <f>'DIY Grundmodell'!X685</f>
        <v>6032.3844099999997</v>
      </c>
    </row>
    <row r="599" spans="32:38" ht="14.1" customHeight="1" x14ac:dyDescent="0.45">
      <c r="AF599" s="988">
        <f>'DIY Grundmodell'!R686</f>
        <v>45628</v>
      </c>
      <c r="AG599" s="89">
        <f>'DIY Grundmodell'!S686</f>
        <v>592.83000000000004</v>
      </c>
      <c r="AH599" s="54">
        <f>'DIY Grundmodell'!T686</f>
        <v>7423.6372000000001</v>
      </c>
      <c r="AI599" s="89">
        <f>'DIY Grundmodell'!U686</f>
        <v>592.83000000000004</v>
      </c>
      <c r="AJ599" s="89">
        <f>'DIY Grundmodell'!V686</f>
        <v>7423.6372000000001</v>
      </c>
      <c r="AK599" s="989"/>
      <c r="AL599" s="33">
        <f>'DIY Grundmodell'!X686</f>
        <v>6047.1458400000001</v>
      </c>
    </row>
    <row r="600" spans="32:38" ht="14.1" customHeight="1" x14ac:dyDescent="0.45">
      <c r="AF600" s="988">
        <f>'DIY Grundmodell'!R687</f>
        <v>45629</v>
      </c>
      <c r="AG600" s="89">
        <f>'DIY Grundmodell'!S687</f>
        <v>613.65</v>
      </c>
      <c r="AH600" s="54">
        <f>'DIY Grundmodell'!T687</f>
        <v>9147.7811899999997</v>
      </c>
      <c r="AI600" s="89">
        <f>'DIY Grundmodell'!U687</f>
        <v>613.65</v>
      </c>
      <c r="AJ600" s="89">
        <f>'DIY Grundmodell'!V687</f>
        <v>9147.7811899999997</v>
      </c>
      <c r="AK600" s="989"/>
      <c r="AL600" s="33">
        <f>'DIY Grundmodell'!X687</f>
        <v>6049.8817499999996</v>
      </c>
    </row>
    <row r="601" spans="32:38" ht="14.1" customHeight="1" x14ac:dyDescent="0.45">
      <c r="AF601" s="988">
        <f>'DIY Grundmodell'!R688</f>
        <v>45630</v>
      </c>
      <c r="AG601" s="89">
        <f>'DIY Grundmodell'!S688</f>
        <v>613.78</v>
      </c>
      <c r="AH601" s="54">
        <f>'DIY Grundmodell'!T688</f>
        <v>9020.7283399999997</v>
      </c>
      <c r="AI601" s="89">
        <f>'DIY Grundmodell'!U688</f>
        <v>613.78</v>
      </c>
      <c r="AJ601" s="89">
        <f>'DIY Grundmodell'!V688</f>
        <v>9020.7283399999997</v>
      </c>
      <c r="AK601" s="989"/>
      <c r="AL601" s="33">
        <f>'DIY Grundmodell'!X688</f>
        <v>6086.4872599999999</v>
      </c>
    </row>
    <row r="602" spans="32:38" ht="14.1" customHeight="1" x14ac:dyDescent="0.45">
      <c r="AF602" s="988">
        <f>'DIY Grundmodell'!R689</f>
        <v>45631</v>
      </c>
      <c r="AG602" s="89">
        <f>'DIY Grundmodell'!S689</f>
        <v>608.92999999999995</v>
      </c>
      <c r="AH602" s="54">
        <f>'DIY Grundmodell'!T689</f>
        <v>4920.8924200000001</v>
      </c>
      <c r="AI602" s="89">
        <f>'DIY Grundmodell'!U689</f>
        <v>608.92999999999995</v>
      </c>
      <c r="AJ602" s="89">
        <f>'DIY Grundmodell'!V689</f>
        <v>4920.8924200000001</v>
      </c>
      <c r="AK602" s="989"/>
      <c r="AL602" s="33">
        <f>'DIY Grundmodell'!X689</f>
        <v>6075.10707</v>
      </c>
    </row>
    <row r="603" spans="32:38" ht="14.1" customHeight="1" x14ac:dyDescent="0.45">
      <c r="AF603" s="988">
        <f>'DIY Grundmodell'!R690</f>
        <v>45632</v>
      </c>
      <c r="AG603" s="89">
        <f>'DIY Grundmodell'!S690</f>
        <v>623.77</v>
      </c>
      <c r="AH603" s="54">
        <f>'DIY Grundmodell'!T690</f>
        <v>10563.85871</v>
      </c>
      <c r="AI603" s="89">
        <f>'DIY Grundmodell'!U690</f>
        <v>623.77</v>
      </c>
      <c r="AJ603" s="89">
        <f>'DIY Grundmodell'!V690</f>
        <v>10563.85871</v>
      </c>
      <c r="AK603" s="989"/>
      <c r="AL603" s="33">
        <f>'DIY Grundmodell'!X690</f>
        <v>6090.2704700000004</v>
      </c>
    </row>
    <row r="604" spans="32:38" ht="14.1" customHeight="1" x14ac:dyDescent="0.45">
      <c r="AF604" s="988">
        <f>'DIY Grundmodell'!R691</f>
        <v>45633</v>
      </c>
      <c r="AG604" s="89" t="e">
        <f>'DIY Grundmodell'!S691</f>
        <v>#N/A</v>
      </c>
      <c r="AH604" s="54" t="e">
        <f>'DIY Grundmodell'!T691</f>
        <v>#N/A</v>
      </c>
      <c r="AI604" s="89">
        <f>'DIY Grundmodell'!U691</f>
        <v>623.77</v>
      </c>
      <c r="AJ604" s="89">
        <f>'DIY Grundmodell'!V691</f>
        <v>0</v>
      </c>
      <c r="AK604" s="989"/>
      <c r="AL604" s="33">
        <f>'DIY Grundmodell'!X691</f>
        <v>6090.2704700000004</v>
      </c>
    </row>
    <row r="605" spans="32:38" ht="14.1" customHeight="1" x14ac:dyDescent="0.45">
      <c r="AF605" s="988">
        <f>'DIY Grundmodell'!R692</f>
        <v>45634</v>
      </c>
      <c r="AG605" s="89" t="e">
        <f>'DIY Grundmodell'!S692</f>
        <v>#N/A</v>
      </c>
      <c r="AH605" s="54" t="e">
        <f>'DIY Grundmodell'!T692</f>
        <v>#N/A</v>
      </c>
      <c r="AI605" s="89">
        <f>'DIY Grundmodell'!U692</f>
        <v>623.77</v>
      </c>
      <c r="AJ605" s="89">
        <f>'DIY Grundmodell'!V692</f>
        <v>0</v>
      </c>
      <c r="AK605" s="989"/>
      <c r="AL605" s="33">
        <f>'DIY Grundmodell'!X692</f>
        <v>6090.2704700000004</v>
      </c>
    </row>
    <row r="606" spans="32:38" ht="14.1" customHeight="1" x14ac:dyDescent="0.45">
      <c r="AF606" s="988">
        <f>'DIY Grundmodell'!R693</f>
        <v>45635</v>
      </c>
      <c r="AG606" s="89">
        <f>'DIY Grundmodell'!S693</f>
        <v>613.57000000000005</v>
      </c>
      <c r="AH606" s="54">
        <f>'DIY Grundmodell'!T693</f>
        <v>7010.6600200000003</v>
      </c>
      <c r="AI606" s="89">
        <f>'DIY Grundmodell'!U693</f>
        <v>613.57000000000005</v>
      </c>
      <c r="AJ606" s="89">
        <f>'DIY Grundmodell'!V693</f>
        <v>7010.6600200000003</v>
      </c>
      <c r="AK606" s="989"/>
      <c r="AL606" s="33">
        <f>'DIY Grundmodell'!X693</f>
        <v>6052.8485600000004</v>
      </c>
    </row>
    <row r="607" spans="32:38" ht="14.1" customHeight="1" x14ac:dyDescent="0.45">
      <c r="AF607" s="988">
        <f>'DIY Grundmodell'!R694</f>
        <v>45636</v>
      </c>
      <c r="AG607" s="89">
        <f>'DIY Grundmodell'!S694</f>
        <v>619.32000000000005</v>
      </c>
      <c r="AH607" s="54">
        <f>'DIY Grundmodell'!T694</f>
        <v>6774.6510600000001</v>
      </c>
      <c r="AI607" s="89">
        <f>'DIY Grundmodell'!U694</f>
        <v>619.32000000000005</v>
      </c>
      <c r="AJ607" s="89">
        <f>'DIY Grundmodell'!V694</f>
        <v>6774.6510600000001</v>
      </c>
      <c r="AK607" s="989"/>
      <c r="AL607" s="33">
        <f>'DIY Grundmodell'!X694</f>
        <v>6034.9122799999996</v>
      </c>
    </row>
    <row r="608" spans="32:38" ht="14.1" customHeight="1" x14ac:dyDescent="0.45">
      <c r="AF608" s="988">
        <f>'DIY Grundmodell'!R695</f>
        <v>45637</v>
      </c>
      <c r="AG608" s="89">
        <f>'DIY Grundmodell'!S695</f>
        <v>632.67999999999995</v>
      </c>
      <c r="AH608" s="54">
        <f>'DIY Grundmodell'!T695</f>
        <v>6856.4974099999999</v>
      </c>
      <c r="AI608" s="89">
        <f>'DIY Grundmodell'!U695</f>
        <v>632.67999999999995</v>
      </c>
      <c r="AJ608" s="89">
        <f>'DIY Grundmodell'!V695</f>
        <v>6856.4974099999999</v>
      </c>
      <c r="AK608" s="989"/>
      <c r="AL608" s="33">
        <f>'DIY Grundmodell'!X695</f>
        <v>6084.1894899999998</v>
      </c>
    </row>
    <row r="609" spans="32:38" ht="14.1" customHeight="1" x14ac:dyDescent="0.45">
      <c r="AF609" s="988">
        <f>'DIY Grundmodell'!R696</f>
        <v>45638</v>
      </c>
      <c r="AG609" s="89">
        <f>'DIY Grundmodell'!S696</f>
        <v>630.79</v>
      </c>
      <c r="AH609" s="54">
        <f>'DIY Grundmodell'!T696</f>
        <v>4714.9767400000001</v>
      </c>
      <c r="AI609" s="89">
        <f>'DIY Grundmodell'!U696</f>
        <v>630.79</v>
      </c>
      <c r="AJ609" s="89">
        <f>'DIY Grundmodell'!V696</f>
        <v>4714.9767400000001</v>
      </c>
      <c r="AK609" s="989"/>
      <c r="AL609" s="33">
        <f>'DIY Grundmodell'!X696</f>
        <v>6051.2473</v>
      </c>
    </row>
    <row r="610" spans="32:38" ht="14.1" customHeight="1" x14ac:dyDescent="0.45">
      <c r="AF610" s="988">
        <f>'DIY Grundmodell'!R697</f>
        <v>45639</v>
      </c>
      <c r="AG610" s="89">
        <f>'DIY Grundmodell'!S697</f>
        <v>620.35</v>
      </c>
      <c r="AH610" s="54">
        <f>'DIY Grundmodell'!T697</f>
        <v>5244.0350500000004</v>
      </c>
      <c r="AI610" s="89">
        <f>'DIY Grundmodell'!U697</f>
        <v>620.35</v>
      </c>
      <c r="AJ610" s="89">
        <f>'DIY Grundmodell'!V697</f>
        <v>5244.0350500000004</v>
      </c>
      <c r="AK610" s="989"/>
      <c r="AL610" s="33">
        <f>'DIY Grundmodell'!X697</f>
        <v>6051.09202</v>
      </c>
    </row>
    <row r="611" spans="32:38" ht="14.1" customHeight="1" x14ac:dyDescent="0.45">
      <c r="AF611" s="988">
        <f>'DIY Grundmodell'!R698</f>
        <v>45640</v>
      </c>
      <c r="AG611" s="89" t="e">
        <f>'DIY Grundmodell'!S698</f>
        <v>#N/A</v>
      </c>
      <c r="AH611" s="54" t="e">
        <f>'DIY Grundmodell'!T698</f>
        <v>#N/A</v>
      </c>
      <c r="AI611" s="89">
        <f>'DIY Grundmodell'!U698</f>
        <v>620.35</v>
      </c>
      <c r="AJ611" s="89">
        <f>'DIY Grundmodell'!V698</f>
        <v>0</v>
      </c>
      <c r="AK611" s="989"/>
      <c r="AL611" s="33">
        <f>'DIY Grundmodell'!X698</f>
        <v>6051.09202</v>
      </c>
    </row>
    <row r="612" spans="32:38" ht="14.1" customHeight="1" x14ac:dyDescent="0.45">
      <c r="AF612" s="988">
        <f>'DIY Grundmodell'!R699</f>
        <v>45641</v>
      </c>
      <c r="AG612" s="89" t="e">
        <f>'DIY Grundmodell'!S699</f>
        <v>#N/A</v>
      </c>
      <c r="AH612" s="54" t="e">
        <f>'DIY Grundmodell'!T699</f>
        <v>#N/A</v>
      </c>
      <c r="AI612" s="89">
        <f>'DIY Grundmodell'!U699</f>
        <v>620.35</v>
      </c>
      <c r="AJ612" s="89">
        <f>'DIY Grundmodell'!V699</f>
        <v>0</v>
      </c>
      <c r="AK612" s="989"/>
      <c r="AL612" s="33">
        <f>'DIY Grundmodell'!X699</f>
        <v>6051.09202</v>
      </c>
    </row>
    <row r="613" spans="32:38" ht="14.1" customHeight="1" x14ac:dyDescent="0.45">
      <c r="AF613" s="988">
        <f>'DIY Grundmodell'!R700</f>
        <v>45642</v>
      </c>
      <c r="AG613" s="89">
        <f>'DIY Grundmodell'!S700</f>
        <v>624.24</v>
      </c>
      <c r="AH613" s="54">
        <f>'DIY Grundmodell'!T700</f>
        <v>6795.2425499999999</v>
      </c>
      <c r="AI613" s="89">
        <f>'DIY Grundmodell'!U700</f>
        <v>624.24</v>
      </c>
      <c r="AJ613" s="89">
        <f>'DIY Grundmodell'!V700</f>
        <v>6795.2425499999999</v>
      </c>
      <c r="AK613" s="989"/>
      <c r="AL613" s="33">
        <f>'DIY Grundmodell'!X700</f>
        <v>6074.0834699999996</v>
      </c>
    </row>
    <row r="614" spans="32:38" ht="14.1" customHeight="1" x14ac:dyDescent="0.45">
      <c r="AF614" s="988">
        <f>'DIY Grundmodell'!R701</f>
        <v>45643</v>
      </c>
      <c r="AG614" s="89">
        <f>'DIY Grundmodell'!S701</f>
        <v>619.44000000000005</v>
      </c>
      <c r="AH614" s="54">
        <f>'DIY Grundmodell'!T701</f>
        <v>7989.4392500000004</v>
      </c>
      <c r="AI614" s="89">
        <f>'DIY Grundmodell'!U701</f>
        <v>619.44000000000005</v>
      </c>
      <c r="AJ614" s="89">
        <f>'DIY Grundmodell'!V701</f>
        <v>7989.4392500000004</v>
      </c>
      <c r="AK614" s="989"/>
      <c r="AL614" s="33">
        <f>'DIY Grundmodell'!X701</f>
        <v>6050.6105399999997</v>
      </c>
    </row>
    <row r="615" spans="32:38" ht="14.1" customHeight="1" x14ac:dyDescent="0.45">
      <c r="AF615" s="988">
        <f>'DIY Grundmodell'!R702</f>
        <v>45644</v>
      </c>
      <c r="AG615" s="89">
        <f>'DIY Grundmodell'!S702</f>
        <v>597.19000000000005</v>
      </c>
      <c r="AH615" s="54">
        <f>'DIY Grundmodell'!T702</f>
        <v>10197.305899999999</v>
      </c>
      <c r="AI615" s="89">
        <f>'DIY Grundmodell'!U702</f>
        <v>597.19000000000005</v>
      </c>
      <c r="AJ615" s="89">
        <f>'DIY Grundmodell'!V702</f>
        <v>10197.305899999999</v>
      </c>
      <c r="AK615" s="989"/>
      <c r="AL615" s="33">
        <f>'DIY Grundmodell'!X702</f>
        <v>5872.15985</v>
      </c>
    </row>
    <row r="616" spans="32:38" ht="14.1" customHeight="1" x14ac:dyDescent="0.45">
      <c r="AF616" s="988">
        <f>'DIY Grundmodell'!R703</f>
        <v>45645</v>
      </c>
      <c r="AG616" s="89">
        <f>'DIY Grundmodell'!S703</f>
        <v>595.57000000000005</v>
      </c>
      <c r="AH616" s="54">
        <f>'DIY Grundmodell'!T703</f>
        <v>8908.5848999999998</v>
      </c>
      <c r="AI616" s="89">
        <f>'DIY Grundmodell'!U703</f>
        <v>595.57000000000005</v>
      </c>
      <c r="AJ616" s="89">
        <f>'DIY Grundmodell'!V703</f>
        <v>8908.5848999999998</v>
      </c>
      <c r="AK616" s="989"/>
      <c r="AL616" s="33">
        <f>'DIY Grundmodell'!X703</f>
        <v>5867.0769899999996</v>
      </c>
    </row>
    <row r="617" spans="32:38" ht="14.1" customHeight="1" x14ac:dyDescent="0.45">
      <c r="AF617" s="988">
        <f>'DIY Grundmodell'!R704</f>
        <v>45646</v>
      </c>
      <c r="AG617" s="89">
        <f>'DIY Grundmodell'!S704</f>
        <v>585.25</v>
      </c>
      <c r="AH617" s="54">
        <f>'DIY Grundmodell'!T704</f>
        <v>28671.040499999999</v>
      </c>
      <c r="AI617" s="89">
        <f>'DIY Grundmodell'!U704</f>
        <v>585.25</v>
      </c>
      <c r="AJ617" s="89">
        <f>'DIY Grundmodell'!V704</f>
        <v>28671.040499999999</v>
      </c>
      <c r="AK617" s="989"/>
      <c r="AL617" s="33">
        <f>'DIY Grundmodell'!X704</f>
        <v>5930.8501399999996</v>
      </c>
    </row>
    <row r="618" spans="32:38" ht="14.1" customHeight="1" x14ac:dyDescent="0.45">
      <c r="AF618" s="988">
        <f>'DIY Grundmodell'!R705</f>
        <v>45647</v>
      </c>
      <c r="AG618" s="89" t="e">
        <f>'DIY Grundmodell'!S705</f>
        <v>#N/A</v>
      </c>
      <c r="AH618" s="54" t="e">
        <f>'DIY Grundmodell'!T705</f>
        <v>#N/A</v>
      </c>
      <c r="AI618" s="89">
        <f>'DIY Grundmodell'!U705</f>
        <v>585.25</v>
      </c>
      <c r="AJ618" s="89">
        <f>'DIY Grundmodell'!V705</f>
        <v>0</v>
      </c>
      <c r="AK618" s="989"/>
      <c r="AL618" s="33">
        <f>'DIY Grundmodell'!X705</f>
        <v>5930.8501399999996</v>
      </c>
    </row>
    <row r="619" spans="32:38" ht="14.1" customHeight="1" x14ac:dyDescent="0.45">
      <c r="AF619" s="988">
        <f>'DIY Grundmodell'!R706</f>
        <v>45648</v>
      </c>
      <c r="AG619" s="89" t="e">
        <f>'DIY Grundmodell'!S706</f>
        <v>#N/A</v>
      </c>
      <c r="AH619" s="54" t="e">
        <f>'DIY Grundmodell'!T706</f>
        <v>#N/A</v>
      </c>
      <c r="AI619" s="89">
        <f>'DIY Grundmodell'!U706</f>
        <v>585.25</v>
      </c>
      <c r="AJ619" s="89">
        <f>'DIY Grundmodell'!V706</f>
        <v>0</v>
      </c>
      <c r="AK619" s="989"/>
      <c r="AL619" s="33">
        <f>'DIY Grundmodell'!X706</f>
        <v>5930.8501399999996</v>
      </c>
    </row>
    <row r="620" spans="32:38" ht="14.1" customHeight="1" x14ac:dyDescent="0.45">
      <c r="AF620" s="988">
        <f>'DIY Grundmodell'!R707</f>
        <v>45649</v>
      </c>
      <c r="AG620" s="89">
        <f>'DIY Grundmodell'!S707</f>
        <v>599.85</v>
      </c>
      <c r="AH620" s="54">
        <f>'DIY Grundmodell'!T707</f>
        <v>6121.91914</v>
      </c>
      <c r="AI620" s="89">
        <f>'DIY Grundmodell'!U707</f>
        <v>599.85</v>
      </c>
      <c r="AJ620" s="89">
        <f>'DIY Grundmodell'!V707</f>
        <v>6121.91914</v>
      </c>
      <c r="AK620" s="989"/>
      <c r="AL620" s="33">
        <f>'DIY Grundmodell'!X707</f>
        <v>5974.0730700000004</v>
      </c>
    </row>
    <row r="621" spans="32:38" ht="14.1" customHeight="1" x14ac:dyDescent="0.45">
      <c r="AF621" s="988">
        <f>'DIY Grundmodell'!R708</f>
        <v>45650</v>
      </c>
      <c r="AG621" s="89">
        <f>'DIY Grundmodell'!S708</f>
        <v>607.75</v>
      </c>
      <c r="AH621" s="54">
        <f>'DIY Grundmodell'!T708</f>
        <v>2872.26053</v>
      </c>
      <c r="AI621" s="89">
        <f>'DIY Grundmodell'!U708</f>
        <v>607.75</v>
      </c>
      <c r="AJ621" s="89">
        <f>'DIY Grundmodell'!V708</f>
        <v>2872.26053</v>
      </c>
      <c r="AK621" s="989"/>
      <c r="AL621" s="33">
        <f>'DIY Grundmodell'!X708</f>
        <v>6040.0355799999998</v>
      </c>
    </row>
    <row r="622" spans="32:38" ht="14.1" customHeight="1" x14ac:dyDescent="0.45">
      <c r="AF622" s="988">
        <f>'DIY Grundmodell'!R709</f>
        <v>45651</v>
      </c>
      <c r="AG622" s="89" t="e">
        <f>'DIY Grundmodell'!S709</f>
        <v>#N/A</v>
      </c>
      <c r="AH622" s="54" t="e">
        <f>'DIY Grundmodell'!T709</f>
        <v>#N/A</v>
      </c>
      <c r="AI622" s="89">
        <f>'DIY Grundmodell'!U709</f>
        <v>607.75</v>
      </c>
      <c r="AJ622" s="89">
        <f>'DIY Grundmodell'!V709</f>
        <v>0</v>
      </c>
      <c r="AK622" s="989"/>
      <c r="AL622" s="33">
        <f>'DIY Grundmodell'!X709</f>
        <v>6040.0355799999998</v>
      </c>
    </row>
    <row r="623" spans="32:38" ht="14.1" customHeight="1" x14ac:dyDescent="0.45">
      <c r="AF623" s="988">
        <f>'DIY Grundmodell'!R710</f>
        <v>45652</v>
      </c>
      <c r="AG623" s="89">
        <f>'DIY Grundmodell'!S710</f>
        <v>603.35</v>
      </c>
      <c r="AH623" s="54">
        <f>'DIY Grundmodell'!T710</f>
        <v>3675.14905</v>
      </c>
      <c r="AI623" s="89">
        <f>'DIY Grundmodell'!U710</f>
        <v>603.35</v>
      </c>
      <c r="AJ623" s="89">
        <f>'DIY Grundmodell'!V710</f>
        <v>3675.14905</v>
      </c>
      <c r="AK623" s="989"/>
      <c r="AL623" s="33">
        <f>'DIY Grundmodell'!X710</f>
        <v>6037.5908600000002</v>
      </c>
    </row>
    <row r="624" spans="32:38" ht="14.1" customHeight="1" x14ac:dyDescent="0.45">
      <c r="AF624" s="988">
        <f>'DIY Grundmodell'!R711</f>
        <v>45653</v>
      </c>
      <c r="AG624" s="89">
        <f>'DIY Grundmodell'!S711</f>
        <v>599.80999999999995</v>
      </c>
      <c r="AH624" s="54">
        <f>'DIY Grundmodell'!T711</f>
        <v>4849.0014000000001</v>
      </c>
      <c r="AI624" s="89">
        <f>'DIY Grundmodell'!U711</f>
        <v>599.80999999999995</v>
      </c>
      <c r="AJ624" s="89">
        <f>'DIY Grundmodell'!V711</f>
        <v>4849.0014000000001</v>
      </c>
      <c r="AK624" s="989"/>
      <c r="AL624" s="33">
        <f>'DIY Grundmodell'!X711</f>
        <v>5970.8376399999997</v>
      </c>
    </row>
    <row r="625" spans="32:38" ht="14.1" customHeight="1" x14ac:dyDescent="0.45">
      <c r="AF625" s="988">
        <f>'DIY Grundmodell'!R712</f>
        <v>45654</v>
      </c>
      <c r="AG625" s="89" t="e">
        <f>'DIY Grundmodell'!S712</f>
        <v>#N/A</v>
      </c>
      <c r="AH625" s="54" t="e">
        <f>'DIY Grundmodell'!T712</f>
        <v>#N/A</v>
      </c>
      <c r="AI625" s="89">
        <f>'DIY Grundmodell'!U712</f>
        <v>599.80999999999995</v>
      </c>
      <c r="AJ625" s="89">
        <f>'DIY Grundmodell'!V712</f>
        <v>0</v>
      </c>
      <c r="AK625" s="989"/>
      <c r="AL625" s="33">
        <f>'DIY Grundmodell'!X712</f>
        <v>5970.8376399999997</v>
      </c>
    </row>
    <row r="626" spans="32:38" ht="14.1" customHeight="1" x14ac:dyDescent="0.45">
      <c r="AF626" s="988">
        <f>'DIY Grundmodell'!R713</f>
        <v>45655</v>
      </c>
      <c r="AG626" s="89" t="e">
        <f>'DIY Grundmodell'!S713</f>
        <v>#N/A</v>
      </c>
      <c r="AH626" s="54" t="e">
        <f>'DIY Grundmodell'!T713</f>
        <v>#N/A</v>
      </c>
      <c r="AI626" s="89">
        <f>'DIY Grundmodell'!U713</f>
        <v>599.80999999999995</v>
      </c>
      <c r="AJ626" s="89">
        <f>'DIY Grundmodell'!V713</f>
        <v>0</v>
      </c>
      <c r="AK626" s="989"/>
      <c r="AL626" s="33">
        <f>'DIY Grundmodell'!X713</f>
        <v>5970.8376399999997</v>
      </c>
    </row>
    <row r="627" spans="32:38" ht="14.1" customHeight="1" x14ac:dyDescent="0.45">
      <c r="AF627" s="988">
        <f>'DIY Grundmodell'!R714</f>
        <v>45656</v>
      </c>
      <c r="AG627" s="89">
        <f>'DIY Grundmodell'!S714</f>
        <v>591.24</v>
      </c>
      <c r="AH627" s="54">
        <f>'DIY Grundmodell'!T714</f>
        <v>4153.9718300000004</v>
      </c>
      <c r="AI627" s="89">
        <f>'DIY Grundmodell'!U714</f>
        <v>591.24</v>
      </c>
      <c r="AJ627" s="89">
        <f>'DIY Grundmodell'!V714</f>
        <v>4153.9718300000004</v>
      </c>
      <c r="AK627" s="989"/>
      <c r="AL627" s="33">
        <f>'DIY Grundmodell'!X714</f>
        <v>5906.9355999999998</v>
      </c>
    </row>
    <row r="628" spans="32:38" ht="14.1" customHeight="1" x14ac:dyDescent="0.45">
      <c r="AF628" s="988">
        <f>'DIY Grundmodell'!R715</f>
        <v>45657</v>
      </c>
      <c r="AG628" s="89">
        <f>'DIY Grundmodell'!S715</f>
        <v>585.51</v>
      </c>
      <c r="AH628" s="54">
        <f>'DIY Grundmodell'!T715</f>
        <v>3524.4891600000001</v>
      </c>
      <c r="AI628" s="89">
        <f>'DIY Grundmodell'!U715</f>
        <v>585.51</v>
      </c>
      <c r="AJ628" s="89">
        <f>'DIY Grundmodell'!V715</f>
        <v>3524.4891600000001</v>
      </c>
      <c r="AK628" s="989"/>
      <c r="AL628" s="33">
        <f>'DIY Grundmodell'!X715</f>
        <v>5881.6276500000004</v>
      </c>
    </row>
    <row r="629" spans="32:38" ht="14.1" customHeight="1" x14ac:dyDescent="0.45">
      <c r="AF629" s="988">
        <f>'DIY Grundmodell'!R716</f>
        <v>45658</v>
      </c>
      <c r="AG629" s="89" t="e">
        <f>'DIY Grundmodell'!S716</f>
        <v>#N/A</v>
      </c>
      <c r="AH629" s="54" t="e">
        <f>'DIY Grundmodell'!T716</f>
        <v>#N/A</v>
      </c>
      <c r="AI629" s="89">
        <f>'DIY Grundmodell'!U716</f>
        <v>585.51</v>
      </c>
      <c r="AJ629" s="89">
        <f>'DIY Grundmodell'!V716</f>
        <v>0</v>
      </c>
      <c r="AK629" s="989"/>
      <c r="AL629" s="33">
        <f>'DIY Grundmodell'!X716</f>
        <v>5881.6276500000004</v>
      </c>
    </row>
    <row r="630" spans="32:38" ht="14.1" customHeight="1" x14ac:dyDescent="0.45">
      <c r="AF630" s="988">
        <f>'DIY Grundmodell'!R717</f>
        <v>45659</v>
      </c>
      <c r="AG630" s="89">
        <f>'DIY Grundmodell'!S717</f>
        <v>599.24</v>
      </c>
      <c r="AH630" s="54">
        <f>'DIY Grundmodell'!T717</f>
        <v>7599.7228800000003</v>
      </c>
      <c r="AI630" s="89">
        <f>'DIY Grundmodell'!U717</f>
        <v>599.24</v>
      </c>
      <c r="AJ630" s="89">
        <f>'DIY Grundmodell'!V717</f>
        <v>7599.7228800000003</v>
      </c>
      <c r="AK630" s="989"/>
      <c r="AL630" s="33">
        <f>'DIY Grundmodell'!X717</f>
        <v>5868.5513199999996</v>
      </c>
    </row>
    <row r="631" spans="32:38" ht="14.1" customHeight="1" x14ac:dyDescent="0.45">
      <c r="AF631" s="988">
        <f>'DIY Grundmodell'!R718</f>
        <v>45660</v>
      </c>
      <c r="AG631" s="89">
        <f>'DIY Grundmodell'!S718</f>
        <v>604.63</v>
      </c>
      <c r="AH631" s="54">
        <f>'DIY Grundmodell'!T718</f>
        <v>6915.0227100000002</v>
      </c>
      <c r="AI631" s="89">
        <f>'DIY Grundmodell'!U718</f>
        <v>604.63</v>
      </c>
      <c r="AJ631" s="89">
        <f>'DIY Grundmodell'!V718</f>
        <v>6915.0227100000002</v>
      </c>
      <c r="AK631" s="989"/>
      <c r="AL631" s="33">
        <f>'DIY Grundmodell'!X718</f>
        <v>5942.4724999999999</v>
      </c>
    </row>
    <row r="632" spans="32:38" ht="14.1" customHeight="1" x14ac:dyDescent="0.45">
      <c r="AF632" s="988">
        <f>'DIY Grundmodell'!R719</f>
        <v>45661</v>
      </c>
      <c r="AG632" s="89" t="e">
        <f>'DIY Grundmodell'!S719</f>
        <v>#N/A</v>
      </c>
      <c r="AH632" s="54" t="e">
        <f>'DIY Grundmodell'!T719</f>
        <v>#N/A</v>
      </c>
      <c r="AI632" s="89">
        <f>'DIY Grundmodell'!U719</f>
        <v>604.63</v>
      </c>
      <c r="AJ632" s="89">
        <f>'DIY Grundmodell'!V719</f>
        <v>0</v>
      </c>
      <c r="AK632" s="989"/>
      <c r="AL632" s="33">
        <f>'DIY Grundmodell'!X719</f>
        <v>5942.4724999999999</v>
      </c>
    </row>
    <row r="633" spans="32:38" ht="14.1" customHeight="1" x14ac:dyDescent="0.45">
      <c r="AF633" s="988">
        <f>'DIY Grundmodell'!R720</f>
        <v>45662</v>
      </c>
      <c r="AG633" s="89" t="e">
        <f>'DIY Grundmodell'!S720</f>
        <v>#N/A</v>
      </c>
      <c r="AH633" s="54" t="e">
        <f>'DIY Grundmodell'!T720</f>
        <v>#N/A</v>
      </c>
      <c r="AI633" s="89">
        <f>'DIY Grundmodell'!U720</f>
        <v>604.63</v>
      </c>
      <c r="AJ633" s="89">
        <f>'DIY Grundmodell'!V720</f>
        <v>0</v>
      </c>
      <c r="AK633" s="989"/>
      <c r="AL633" s="33">
        <f>'DIY Grundmodell'!X720</f>
        <v>5942.4724999999999</v>
      </c>
    </row>
    <row r="634" spans="32:38" ht="14.1" customHeight="1" x14ac:dyDescent="0.45">
      <c r="AF634" s="988">
        <f>'DIY Grundmodell'!R721</f>
        <v>45663</v>
      </c>
      <c r="AG634" s="89">
        <f>'DIY Grundmodell'!S721</f>
        <v>630.20000000000005</v>
      </c>
      <c r="AH634" s="54">
        <f>'DIY Grundmodell'!T721</f>
        <v>9176.1871699999992</v>
      </c>
      <c r="AI634" s="89">
        <f>'DIY Grundmodell'!U721</f>
        <v>630.20000000000005</v>
      </c>
      <c r="AJ634" s="89">
        <f>'DIY Grundmodell'!V721</f>
        <v>9176.1871699999992</v>
      </c>
      <c r="AK634" s="989"/>
      <c r="AL634" s="33">
        <f>'DIY Grundmodell'!X721</f>
        <v>5975.3755300000003</v>
      </c>
    </row>
    <row r="635" spans="32:38" ht="14.1" customHeight="1" x14ac:dyDescent="0.45">
      <c r="AF635" s="988">
        <f>'DIY Grundmodell'!R722</f>
        <v>45664</v>
      </c>
      <c r="AG635" s="89">
        <f>'DIY Grundmodell'!S722</f>
        <v>617.89</v>
      </c>
      <c r="AH635" s="54">
        <f>'DIY Grundmodell'!T722</f>
        <v>7458.8461600000001</v>
      </c>
      <c r="AI635" s="89">
        <f>'DIY Grundmodell'!U722</f>
        <v>617.89</v>
      </c>
      <c r="AJ635" s="89">
        <f>'DIY Grundmodell'!V722</f>
        <v>7458.8461600000001</v>
      </c>
      <c r="AK635" s="989"/>
      <c r="AL635" s="33">
        <f>'DIY Grundmodell'!X722</f>
        <v>5909.0307499999999</v>
      </c>
    </row>
    <row r="636" spans="32:38" ht="14.1" customHeight="1" x14ac:dyDescent="0.45">
      <c r="AF636" s="988">
        <f>'DIY Grundmodell'!R723</f>
        <v>45665</v>
      </c>
      <c r="AG636" s="89">
        <f>'DIY Grundmodell'!S723</f>
        <v>610.72</v>
      </c>
      <c r="AH636" s="54">
        <f>'DIY Grundmodell'!T723</f>
        <v>6159.6278700000003</v>
      </c>
      <c r="AI636" s="89">
        <f>'DIY Grundmodell'!U723</f>
        <v>610.72</v>
      </c>
      <c r="AJ636" s="89">
        <f>'DIY Grundmodell'!V723</f>
        <v>6159.6278700000003</v>
      </c>
      <c r="AK636" s="989"/>
      <c r="AL636" s="33">
        <f>'DIY Grundmodell'!X723</f>
        <v>5918.2478300000002</v>
      </c>
    </row>
    <row r="637" spans="32:38" ht="14.1" customHeight="1" x14ac:dyDescent="0.45">
      <c r="AF637" s="988">
        <f>'DIY Grundmodell'!R724</f>
        <v>45666</v>
      </c>
      <c r="AG637" s="89" t="e">
        <f>'DIY Grundmodell'!S724</f>
        <v>#N/A</v>
      </c>
      <c r="AH637" s="54" t="e">
        <f>'DIY Grundmodell'!T724</f>
        <v>#N/A</v>
      </c>
      <c r="AI637" s="89">
        <f>'DIY Grundmodell'!U724</f>
        <v>610.72</v>
      </c>
      <c r="AJ637" s="89">
        <f>'DIY Grundmodell'!V724</f>
        <v>0</v>
      </c>
      <c r="AK637" s="989"/>
      <c r="AL637" s="33">
        <f>'DIY Grundmodell'!X724</f>
        <v>5918.2478300000002</v>
      </c>
    </row>
    <row r="638" spans="32:38" ht="14.1" customHeight="1" x14ac:dyDescent="0.45">
      <c r="AF638" s="988">
        <f>'DIY Grundmodell'!R725</f>
        <v>45667</v>
      </c>
      <c r="AG638" s="89">
        <f>'DIY Grundmodell'!S725</f>
        <v>615.86</v>
      </c>
      <c r="AH638" s="54">
        <f>'DIY Grundmodell'!T725</f>
        <v>11859.34751</v>
      </c>
      <c r="AI638" s="89">
        <f>'DIY Grundmodell'!U725</f>
        <v>615.86</v>
      </c>
      <c r="AJ638" s="89">
        <f>'DIY Grundmodell'!V725</f>
        <v>11859.34751</v>
      </c>
      <c r="AK638" s="989"/>
      <c r="AL638" s="33">
        <f>'DIY Grundmodell'!X725</f>
        <v>5827.0444299999999</v>
      </c>
    </row>
    <row r="639" spans="32:38" ht="14.1" customHeight="1" x14ac:dyDescent="0.45">
      <c r="AF639" s="988">
        <f>'DIY Grundmodell'!R726</f>
        <v>45668</v>
      </c>
      <c r="AG639" s="89" t="e">
        <f>'DIY Grundmodell'!S726</f>
        <v>#N/A</v>
      </c>
      <c r="AH639" s="54" t="e">
        <f>'DIY Grundmodell'!T726</f>
        <v>#N/A</v>
      </c>
      <c r="AI639" s="89">
        <f>'DIY Grundmodell'!U726</f>
        <v>615.86</v>
      </c>
      <c r="AJ639" s="89">
        <f>'DIY Grundmodell'!V726</f>
        <v>0</v>
      </c>
      <c r="AK639" s="989"/>
      <c r="AL639" s="33">
        <f>'DIY Grundmodell'!X726</f>
        <v>5827.0444299999999</v>
      </c>
    </row>
    <row r="640" spans="32:38" ht="14.1" customHeight="1" x14ac:dyDescent="0.45">
      <c r="AF640" s="988">
        <f>'DIY Grundmodell'!R727</f>
        <v>45669</v>
      </c>
      <c r="AG640" s="89" t="e">
        <f>'DIY Grundmodell'!S727</f>
        <v>#N/A</v>
      </c>
      <c r="AH640" s="54" t="e">
        <f>'DIY Grundmodell'!T727</f>
        <v>#N/A</v>
      </c>
      <c r="AI640" s="89">
        <f>'DIY Grundmodell'!U727</f>
        <v>615.86</v>
      </c>
      <c r="AJ640" s="89">
        <f>'DIY Grundmodell'!V727</f>
        <v>0</v>
      </c>
      <c r="AK640" s="989"/>
      <c r="AL640" s="33">
        <f>'DIY Grundmodell'!X727</f>
        <v>5827.0444299999999</v>
      </c>
    </row>
    <row r="641" spans="32:38" ht="14.1" customHeight="1" x14ac:dyDescent="0.45">
      <c r="AF641" s="988">
        <f>'DIY Grundmodell'!R728</f>
        <v>45670</v>
      </c>
      <c r="AG641" s="89">
        <f>'DIY Grundmodell'!S728</f>
        <v>608.33000000000004</v>
      </c>
      <c r="AH641" s="54">
        <f>'DIY Grundmodell'!T728</f>
        <v>6560.8579099999997</v>
      </c>
      <c r="AI641" s="89">
        <f>'DIY Grundmodell'!U728</f>
        <v>608.33000000000004</v>
      </c>
      <c r="AJ641" s="89">
        <f>'DIY Grundmodell'!V728</f>
        <v>6560.8579099999997</v>
      </c>
      <c r="AK641" s="989"/>
      <c r="AL641" s="33">
        <f>'DIY Grundmodell'!X728</f>
        <v>5836.2178700000004</v>
      </c>
    </row>
    <row r="642" spans="32:38" ht="14.1" customHeight="1" x14ac:dyDescent="0.45">
      <c r="AF642" s="988">
        <f>'DIY Grundmodell'!R729</f>
        <v>45671</v>
      </c>
      <c r="AG642" s="89">
        <f>'DIY Grundmodell'!S729</f>
        <v>594.25</v>
      </c>
      <c r="AH642" s="54">
        <f>'DIY Grundmodell'!T729</f>
        <v>8080.6067499999999</v>
      </c>
      <c r="AI642" s="89">
        <f>'DIY Grundmodell'!U729</f>
        <v>594.25</v>
      </c>
      <c r="AJ642" s="89">
        <f>'DIY Grundmodell'!V729</f>
        <v>8080.6067499999999</v>
      </c>
      <c r="AK642" s="989"/>
      <c r="AL642" s="33">
        <f>'DIY Grundmodell'!X729</f>
        <v>5842.9107400000003</v>
      </c>
    </row>
    <row r="643" spans="32:38" ht="14.1" customHeight="1" x14ac:dyDescent="0.45">
      <c r="AF643" s="988">
        <f>'DIY Grundmodell'!R730</f>
        <v>45672</v>
      </c>
      <c r="AG643" s="89">
        <f>'DIY Grundmodell'!S730</f>
        <v>617.12</v>
      </c>
      <c r="AH643" s="54">
        <f>'DIY Grundmodell'!T730</f>
        <v>9580.3572499999991</v>
      </c>
      <c r="AI643" s="89">
        <f>'DIY Grundmodell'!U730</f>
        <v>617.12</v>
      </c>
      <c r="AJ643" s="89">
        <f>'DIY Grundmodell'!V730</f>
        <v>9580.3572499999991</v>
      </c>
      <c r="AK643" s="989"/>
      <c r="AL643" s="33">
        <f>'DIY Grundmodell'!X730</f>
        <v>5949.9111199999998</v>
      </c>
    </row>
    <row r="644" spans="32:38" ht="14.1" customHeight="1" x14ac:dyDescent="0.45">
      <c r="AF644" s="988">
        <f>'DIY Grundmodell'!R731</f>
        <v>45673</v>
      </c>
      <c r="AG644" s="89">
        <f>'DIY Grundmodell'!S731</f>
        <v>611.29999999999995</v>
      </c>
      <c r="AH644" s="54">
        <f>'DIY Grundmodell'!T731</f>
        <v>5107.6248400000004</v>
      </c>
      <c r="AI644" s="89">
        <f>'DIY Grundmodell'!U731</f>
        <v>611.29999999999995</v>
      </c>
      <c r="AJ644" s="89">
        <f>'DIY Grundmodell'!V731</f>
        <v>5107.6248400000004</v>
      </c>
      <c r="AK644" s="989"/>
      <c r="AL644" s="33">
        <f>'DIY Grundmodell'!X731</f>
        <v>5937.3404899999996</v>
      </c>
    </row>
    <row r="645" spans="32:38" ht="14.1" customHeight="1" x14ac:dyDescent="0.45">
      <c r="AF645" s="988">
        <f>'DIY Grundmodell'!R732</f>
        <v>45674</v>
      </c>
      <c r="AG645" s="89">
        <f>'DIY Grundmodell'!S732</f>
        <v>612.77</v>
      </c>
      <c r="AH645" s="54">
        <f>'DIY Grundmodell'!T732</f>
        <v>10589.03326</v>
      </c>
      <c r="AI645" s="89">
        <f>'DIY Grundmodell'!U732</f>
        <v>612.77</v>
      </c>
      <c r="AJ645" s="89">
        <f>'DIY Grundmodell'!V732</f>
        <v>10589.03326</v>
      </c>
      <c r="AK645" s="989"/>
      <c r="AL645" s="33">
        <f>'DIY Grundmodell'!X732</f>
        <v>5996.6647499999999</v>
      </c>
    </row>
    <row r="646" spans="32:38" ht="14.1" customHeight="1" x14ac:dyDescent="0.45">
      <c r="AF646" s="988">
        <f>'DIY Grundmodell'!R733</f>
        <v>45675</v>
      </c>
      <c r="AG646" s="89" t="e">
        <f>'DIY Grundmodell'!S733</f>
        <v>#N/A</v>
      </c>
      <c r="AH646" s="54" t="e">
        <f>'DIY Grundmodell'!T733</f>
        <v>#N/A</v>
      </c>
      <c r="AI646" s="89">
        <f>'DIY Grundmodell'!U733</f>
        <v>612.77</v>
      </c>
      <c r="AJ646" s="89">
        <f>'DIY Grundmodell'!V733</f>
        <v>0</v>
      </c>
      <c r="AK646" s="989"/>
      <c r="AL646" s="33">
        <f>'DIY Grundmodell'!X733</f>
        <v>5996.6647499999999</v>
      </c>
    </row>
    <row r="647" spans="32:38" ht="14.1" customHeight="1" x14ac:dyDescent="0.45">
      <c r="AF647" s="988">
        <f>'DIY Grundmodell'!R734</f>
        <v>45676</v>
      </c>
      <c r="AG647" s="89" t="e">
        <f>'DIY Grundmodell'!S734</f>
        <v>#N/A</v>
      </c>
      <c r="AH647" s="54" t="e">
        <f>'DIY Grundmodell'!T734</f>
        <v>#N/A</v>
      </c>
      <c r="AI647" s="89">
        <f>'DIY Grundmodell'!U734</f>
        <v>612.77</v>
      </c>
      <c r="AJ647" s="89">
        <f>'DIY Grundmodell'!V734</f>
        <v>0</v>
      </c>
      <c r="AK647" s="989"/>
      <c r="AL647" s="33">
        <f>'DIY Grundmodell'!X734</f>
        <v>5996.6647499999999</v>
      </c>
    </row>
    <row r="648" spans="32:38" ht="14.1" customHeight="1" x14ac:dyDescent="0.45">
      <c r="AF648" s="988">
        <f>'DIY Grundmodell'!R735</f>
        <v>45677</v>
      </c>
      <c r="AG648" s="89" t="e">
        <f>'DIY Grundmodell'!S735</f>
        <v>#N/A</v>
      </c>
      <c r="AH648" s="54" t="e">
        <f>'DIY Grundmodell'!T735</f>
        <v>#N/A</v>
      </c>
      <c r="AI648" s="89">
        <f>'DIY Grundmodell'!U735</f>
        <v>612.77</v>
      </c>
      <c r="AJ648" s="89">
        <f>'DIY Grundmodell'!V735</f>
        <v>0</v>
      </c>
      <c r="AK648" s="989"/>
      <c r="AL648" s="33">
        <f>'DIY Grundmodell'!X735</f>
        <v>5996.6647499999999</v>
      </c>
    </row>
    <row r="649" spans="32:38" ht="14.1" customHeight="1" x14ac:dyDescent="0.45">
      <c r="AF649" s="988">
        <f>'DIY Grundmodell'!R736</f>
        <v>45678</v>
      </c>
      <c r="AG649" s="89">
        <f>'DIY Grundmodell'!S736</f>
        <v>616.46</v>
      </c>
      <c r="AH649" s="54">
        <f>'DIY Grundmodell'!T736</f>
        <v>7196.5639000000001</v>
      </c>
      <c r="AI649" s="89">
        <f>'DIY Grundmodell'!U736</f>
        <v>616.46</v>
      </c>
      <c r="AJ649" s="89">
        <f>'DIY Grundmodell'!V736</f>
        <v>7196.5639000000001</v>
      </c>
      <c r="AK649" s="989"/>
      <c r="AL649" s="33">
        <f>'DIY Grundmodell'!X736</f>
        <v>6049.24208</v>
      </c>
    </row>
    <row r="650" spans="32:38" ht="14.1" customHeight="1" x14ac:dyDescent="0.45">
      <c r="AF650" s="988">
        <f>'DIY Grundmodell'!R737</f>
        <v>45679</v>
      </c>
      <c r="AG650" s="89">
        <f>'DIY Grundmodell'!S737</f>
        <v>623.5</v>
      </c>
      <c r="AH650" s="54">
        <f>'DIY Grundmodell'!T737</f>
        <v>7652.8458600000004</v>
      </c>
      <c r="AI650" s="89">
        <f>'DIY Grundmodell'!U737</f>
        <v>623.5</v>
      </c>
      <c r="AJ650" s="89">
        <f>'DIY Grundmodell'!V737</f>
        <v>7652.8458600000004</v>
      </c>
      <c r="AK650" s="989"/>
      <c r="AL650" s="33">
        <f>'DIY Grundmodell'!X737</f>
        <v>6086.3696300000001</v>
      </c>
    </row>
    <row r="651" spans="32:38" ht="14.1" customHeight="1" x14ac:dyDescent="0.45">
      <c r="AF651" s="988">
        <f>'DIY Grundmodell'!R738</f>
        <v>45680</v>
      </c>
      <c r="AG651" s="89">
        <f>'DIY Grundmodell'!S738</f>
        <v>636.45000000000005</v>
      </c>
      <c r="AH651" s="54">
        <f>'DIY Grundmodell'!T738</f>
        <v>6307.3232399999997</v>
      </c>
      <c r="AI651" s="89">
        <f>'DIY Grundmodell'!U738</f>
        <v>636.45000000000005</v>
      </c>
      <c r="AJ651" s="89">
        <f>'DIY Grundmodell'!V738</f>
        <v>6307.3232399999997</v>
      </c>
      <c r="AK651" s="989"/>
      <c r="AL651" s="33">
        <f>'DIY Grundmodell'!X738</f>
        <v>6118.7063500000004</v>
      </c>
    </row>
    <row r="652" spans="32:38" ht="14.1" customHeight="1" x14ac:dyDescent="0.45">
      <c r="AF652" s="988">
        <f>'DIY Grundmodell'!R739</f>
        <v>45681</v>
      </c>
      <c r="AG652" s="89">
        <f>'DIY Grundmodell'!S739</f>
        <v>647.49</v>
      </c>
      <c r="AH652" s="54">
        <f>'DIY Grundmodell'!T739</f>
        <v>12344.60987</v>
      </c>
      <c r="AI652" s="89">
        <f>'DIY Grundmodell'!U739</f>
        <v>647.49</v>
      </c>
      <c r="AJ652" s="89">
        <f>'DIY Grundmodell'!V739</f>
        <v>12344.60987</v>
      </c>
      <c r="AK652" s="989"/>
      <c r="AL652" s="33">
        <f>'DIY Grundmodell'!X739</f>
        <v>6101.2429300000003</v>
      </c>
    </row>
    <row r="653" spans="32:38" ht="14.1" customHeight="1" x14ac:dyDescent="0.45">
      <c r="AF653" s="988">
        <f>'DIY Grundmodell'!R740</f>
        <v>45682</v>
      </c>
      <c r="AG653" s="89" t="e">
        <f>'DIY Grundmodell'!S740</f>
        <v>#N/A</v>
      </c>
      <c r="AH653" s="54" t="e">
        <f>'DIY Grundmodell'!T740</f>
        <v>#N/A</v>
      </c>
      <c r="AI653" s="89">
        <f>'DIY Grundmodell'!U740</f>
        <v>647.49</v>
      </c>
      <c r="AJ653" s="89">
        <f>'DIY Grundmodell'!V740</f>
        <v>0</v>
      </c>
      <c r="AK653" s="989"/>
      <c r="AL653" s="33">
        <f>'DIY Grundmodell'!X740</f>
        <v>6101.2429300000003</v>
      </c>
    </row>
    <row r="654" spans="32:38" ht="14.1" customHeight="1" x14ac:dyDescent="0.45">
      <c r="AF654" s="988">
        <f>'DIY Grundmodell'!R741</f>
        <v>45683</v>
      </c>
      <c r="AG654" s="89" t="e">
        <f>'DIY Grundmodell'!S741</f>
        <v>#N/A</v>
      </c>
      <c r="AH654" s="54" t="e">
        <f>'DIY Grundmodell'!T741</f>
        <v>#N/A</v>
      </c>
      <c r="AI654" s="89">
        <f>'DIY Grundmodell'!U741</f>
        <v>647.49</v>
      </c>
      <c r="AJ654" s="89">
        <f>'DIY Grundmodell'!V741</f>
        <v>0</v>
      </c>
      <c r="AK654" s="989"/>
      <c r="AL654" s="33">
        <f>'DIY Grundmodell'!X741</f>
        <v>6101.2429300000003</v>
      </c>
    </row>
    <row r="655" spans="32:38" ht="14.1" customHeight="1" x14ac:dyDescent="0.45">
      <c r="AF655" s="988">
        <f>'DIY Grundmodell'!R742</f>
        <v>45684</v>
      </c>
      <c r="AG655" s="89">
        <f>'DIY Grundmodell'!S742</f>
        <v>659.88</v>
      </c>
      <c r="AH655" s="54">
        <f>'DIY Grundmodell'!T742</f>
        <v>18740.057499999999</v>
      </c>
      <c r="AI655" s="89">
        <f>'DIY Grundmodell'!U742</f>
        <v>659.88</v>
      </c>
      <c r="AJ655" s="89">
        <f>'DIY Grundmodell'!V742</f>
        <v>18740.057499999999</v>
      </c>
      <c r="AK655" s="989"/>
      <c r="AL655" s="33">
        <f>'DIY Grundmodell'!X742</f>
        <v>6012.2769200000002</v>
      </c>
    </row>
    <row r="656" spans="32:38" ht="14.1" customHeight="1" x14ac:dyDescent="0.45">
      <c r="AF656" s="988">
        <f>'DIY Grundmodell'!R743</f>
        <v>45685</v>
      </c>
      <c r="AG656" s="89">
        <f>'DIY Grundmodell'!S743</f>
        <v>674.33</v>
      </c>
      <c r="AH656" s="54">
        <f>'DIY Grundmodell'!T743</f>
        <v>14127.28565</v>
      </c>
      <c r="AI656" s="89">
        <f>'DIY Grundmodell'!U743</f>
        <v>674.33</v>
      </c>
      <c r="AJ656" s="89">
        <f>'DIY Grundmodell'!V743</f>
        <v>14127.28565</v>
      </c>
      <c r="AK656" s="989"/>
      <c r="AL656" s="33">
        <f>'DIY Grundmodell'!X743</f>
        <v>6067.69949</v>
      </c>
    </row>
    <row r="657" spans="32:38" ht="14.1" customHeight="1" x14ac:dyDescent="0.45">
      <c r="AF657" s="988">
        <f>'DIY Grundmodell'!R744</f>
        <v>45686</v>
      </c>
      <c r="AG657" s="89">
        <f>'DIY Grundmodell'!S744</f>
        <v>676.49</v>
      </c>
      <c r="AH657" s="54">
        <f>'DIY Grundmodell'!T744</f>
        <v>14461.881450000001</v>
      </c>
      <c r="AI657" s="89">
        <f>'DIY Grundmodell'!U744</f>
        <v>676.49</v>
      </c>
      <c r="AJ657" s="89">
        <f>'DIY Grundmodell'!V744</f>
        <v>14461.881450000001</v>
      </c>
      <c r="AK657" s="989"/>
      <c r="AL657" s="33">
        <f>'DIY Grundmodell'!X744</f>
        <v>6039.3114999999998</v>
      </c>
    </row>
    <row r="658" spans="32:38" ht="14.1" customHeight="1" x14ac:dyDescent="0.45">
      <c r="AF658" s="988">
        <f>'DIY Grundmodell'!R745</f>
        <v>45687</v>
      </c>
      <c r="AG658" s="89">
        <f>'DIY Grundmodell'!S745</f>
        <v>687</v>
      </c>
      <c r="AH658" s="54">
        <f>'DIY Grundmodell'!T745</f>
        <v>20144.83093</v>
      </c>
      <c r="AI658" s="89">
        <f>'DIY Grundmodell'!U745</f>
        <v>687</v>
      </c>
      <c r="AJ658" s="89">
        <f>'DIY Grundmodell'!V745</f>
        <v>20144.83093</v>
      </c>
      <c r="AK658" s="989"/>
      <c r="AL658" s="33">
        <f>'DIY Grundmodell'!X745</f>
        <v>6071.17454</v>
      </c>
    </row>
    <row r="659" spans="32:38" ht="14.1" customHeight="1" x14ac:dyDescent="0.45">
      <c r="AF659" s="988">
        <f>'DIY Grundmodell'!R746</f>
        <v>45688</v>
      </c>
      <c r="AG659" s="89">
        <f>'DIY Grundmodell'!S746</f>
        <v>689.18</v>
      </c>
      <c r="AH659" s="54">
        <f>'DIY Grundmodell'!T746</f>
        <v>13322.99344</v>
      </c>
      <c r="AI659" s="89">
        <f>'DIY Grundmodell'!U746</f>
        <v>689.18</v>
      </c>
      <c r="AJ659" s="89">
        <f>'DIY Grundmodell'!V746</f>
        <v>13322.99344</v>
      </c>
      <c r="AK659" s="989"/>
      <c r="AL659" s="33">
        <f>'DIY Grundmodell'!X746</f>
        <v>6040.5259299999998</v>
      </c>
    </row>
    <row r="660" spans="32:38" ht="14.1" customHeight="1" x14ac:dyDescent="0.45">
      <c r="AF660" s="988">
        <f>'DIY Grundmodell'!R747</f>
        <v>45689</v>
      </c>
      <c r="AG660" s="89" t="e">
        <f>'DIY Grundmodell'!S747</f>
        <v>#N/A</v>
      </c>
      <c r="AH660" s="54" t="e">
        <f>'DIY Grundmodell'!T747</f>
        <v>#N/A</v>
      </c>
      <c r="AI660" s="89">
        <f>'DIY Grundmodell'!U747</f>
        <v>689.18</v>
      </c>
      <c r="AJ660" s="89">
        <f>'DIY Grundmodell'!V747</f>
        <v>0</v>
      </c>
      <c r="AK660" s="989"/>
      <c r="AL660" s="33">
        <f>'DIY Grundmodell'!X747</f>
        <v>6040.5259299999998</v>
      </c>
    </row>
    <row r="661" spans="32:38" ht="14.1" customHeight="1" x14ac:dyDescent="0.45">
      <c r="AF661" s="988">
        <f>'DIY Grundmodell'!R748</f>
        <v>45690</v>
      </c>
      <c r="AG661" s="89" t="e">
        <f>'DIY Grundmodell'!S748</f>
        <v>#N/A</v>
      </c>
      <c r="AH661" s="54" t="e">
        <f>'DIY Grundmodell'!T748</f>
        <v>#N/A</v>
      </c>
      <c r="AI661" s="89">
        <f>'DIY Grundmodell'!U748</f>
        <v>689.18</v>
      </c>
      <c r="AJ661" s="89">
        <f>'DIY Grundmodell'!V748</f>
        <v>0</v>
      </c>
      <c r="AK661" s="989"/>
      <c r="AL661" s="33">
        <f>'DIY Grundmodell'!X748</f>
        <v>6040.5259299999998</v>
      </c>
    </row>
    <row r="662" spans="32:38" ht="14.1" customHeight="1" x14ac:dyDescent="0.45">
      <c r="AF662" s="988">
        <f>'DIY Grundmodell'!R749</f>
        <v>45691</v>
      </c>
      <c r="AG662" s="89">
        <f>'DIY Grundmodell'!S749</f>
        <v>697.46</v>
      </c>
      <c r="AH662" s="54">
        <f>'DIY Grundmodell'!T749</f>
        <v>14936.62132</v>
      </c>
      <c r="AI662" s="89">
        <f>'DIY Grundmodell'!U749</f>
        <v>697.46</v>
      </c>
      <c r="AJ662" s="89">
        <f>'DIY Grundmodell'!V749</f>
        <v>14936.62132</v>
      </c>
      <c r="AK662" s="989"/>
      <c r="AL662" s="33">
        <f>'DIY Grundmodell'!X749</f>
        <v>5994.56736</v>
      </c>
    </row>
    <row r="663" spans="32:38" ht="14.1" customHeight="1" x14ac:dyDescent="0.45">
      <c r="AF663" s="988">
        <f>'DIY Grundmodell'!R750</f>
        <v>45692</v>
      </c>
      <c r="AG663" s="89">
        <f>'DIY Grundmodell'!S750</f>
        <v>704.19</v>
      </c>
      <c r="AH663" s="54">
        <f>'DIY Grundmodell'!T750</f>
        <v>9736.32107</v>
      </c>
      <c r="AI663" s="89">
        <f>'DIY Grundmodell'!U750</f>
        <v>704.19</v>
      </c>
      <c r="AJ663" s="89">
        <f>'DIY Grundmodell'!V750</f>
        <v>9736.32107</v>
      </c>
      <c r="AK663" s="989"/>
      <c r="AL663" s="33">
        <f>'DIY Grundmodell'!X750</f>
        <v>6037.8771900000002</v>
      </c>
    </row>
    <row r="664" spans="32:38" ht="14.1" customHeight="1" x14ac:dyDescent="0.45">
      <c r="AF664" s="988">
        <f>'DIY Grundmodell'!R751</f>
        <v>45693</v>
      </c>
      <c r="AG664" s="89">
        <f>'DIY Grundmodell'!S751</f>
        <v>704.87</v>
      </c>
      <c r="AH664" s="54">
        <f>'DIY Grundmodell'!T751</f>
        <v>12542.29184</v>
      </c>
      <c r="AI664" s="89">
        <f>'DIY Grundmodell'!U751</f>
        <v>704.87</v>
      </c>
      <c r="AJ664" s="89">
        <f>'DIY Grundmodell'!V751</f>
        <v>12542.29184</v>
      </c>
      <c r="AK664" s="989"/>
      <c r="AL664" s="33">
        <f>'DIY Grundmodell'!X751</f>
        <v>6061.4807499999997</v>
      </c>
    </row>
    <row r="665" spans="32:38" ht="14.1" customHeight="1" x14ac:dyDescent="0.45">
      <c r="AF665" s="988">
        <f>'DIY Grundmodell'!R752</f>
        <v>45694</v>
      </c>
      <c r="AG665" s="89">
        <f>'DIY Grundmodell'!S752</f>
        <v>711.99</v>
      </c>
      <c r="AH665" s="54">
        <f>'DIY Grundmodell'!T752</f>
        <v>9313.3204700000006</v>
      </c>
      <c r="AI665" s="89">
        <f>'DIY Grundmodell'!U752</f>
        <v>711.99</v>
      </c>
      <c r="AJ665" s="89">
        <f>'DIY Grundmodell'!V752</f>
        <v>9313.3204700000006</v>
      </c>
      <c r="AK665" s="989"/>
      <c r="AL665" s="33">
        <f>'DIY Grundmodell'!X752</f>
        <v>6083.5681299999997</v>
      </c>
    </row>
    <row r="666" spans="32:38" ht="14.1" customHeight="1" x14ac:dyDescent="0.45">
      <c r="AF666" s="988">
        <f>'DIY Grundmodell'!R753</f>
        <v>45695</v>
      </c>
      <c r="AG666" s="89">
        <f>'DIY Grundmodell'!S753</f>
        <v>714.52</v>
      </c>
      <c r="AH666" s="54">
        <f>'DIY Grundmodell'!T753</f>
        <v>11737.467909999999</v>
      </c>
      <c r="AI666" s="89">
        <f>'DIY Grundmodell'!U753</f>
        <v>714.52</v>
      </c>
      <c r="AJ666" s="89">
        <f>'DIY Grundmodell'!V753</f>
        <v>11737.467909999999</v>
      </c>
      <c r="AK666" s="989"/>
      <c r="AL666" s="33">
        <f>'DIY Grundmodell'!X753</f>
        <v>6025.9924899999996</v>
      </c>
    </row>
    <row r="667" spans="32:38" ht="14.1" customHeight="1" x14ac:dyDescent="0.45">
      <c r="AF667" s="988">
        <f>'DIY Grundmodell'!R754</f>
        <v>45696</v>
      </c>
      <c r="AG667" s="89" t="e">
        <f>'DIY Grundmodell'!S754</f>
        <v>#N/A</v>
      </c>
      <c r="AH667" s="54" t="e">
        <f>'DIY Grundmodell'!T754</f>
        <v>#N/A</v>
      </c>
      <c r="AI667" s="89">
        <f>'DIY Grundmodell'!U754</f>
        <v>714.52</v>
      </c>
      <c r="AJ667" s="89">
        <f>'DIY Grundmodell'!V754</f>
        <v>0</v>
      </c>
      <c r="AK667" s="989"/>
      <c r="AL667" s="33">
        <f>'DIY Grundmodell'!X754</f>
        <v>6025.9924899999996</v>
      </c>
    </row>
    <row r="668" spans="32:38" ht="14.1" customHeight="1" x14ac:dyDescent="0.45">
      <c r="AF668" s="988">
        <f>'DIY Grundmodell'!R755</f>
        <v>45697</v>
      </c>
      <c r="AG668" s="89" t="e">
        <f>'DIY Grundmodell'!S755</f>
        <v>#N/A</v>
      </c>
      <c r="AH668" s="54" t="e">
        <f>'DIY Grundmodell'!T755</f>
        <v>#N/A</v>
      </c>
      <c r="AI668" s="89">
        <f>'DIY Grundmodell'!U755</f>
        <v>714.52</v>
      </c>
      <c r="AJ668" s="89">
        <f>'DIY Grundmodell'!V755</f>
        <v>0</v>
      </c>
      <c r="AK668" s="989"/>
      <c r="AL668" s="33">
        <f>'DIY Grundmodell'!X755</f>
        <v>6025.9924899999996</v>
      </c>
    </row>
    <row r="669" spans="32:38" ht="14.1" customHeight="1" x14ac:dyDescent="0.45">
      <c r="AF669" s="988">
        <f>'DIY Grundmodell'!R756</f>
        <v>45698</v>
      </c>
      <c r="AG669" s="89">
        <f>'DIY Grundmodell'!S756</f>
        <v>717.4</v>
      </c>
      <c r="AH669" s="54">
        <f>'DIY Grundmodell'!T756</f>
        <v>9257.5570200000002</v>
      </c>
      <c r="AI669" s="89">
        <f>'DIY Grundmodell'!U756</f>
        <v>717.4</v>
      </c>
      <c r="AJ669" s="89">
        <f>'DIY Grundmodell'!V756</f>
        <v>9257.5570200000002</v>
      </c>
      <c r="AK669" s="989"/>
      <c r="AL669" s="33">
        <f>'DIY Grundmodell'!X756</f>
        <v>6066.44254</v>
      </c>
    </row>
    <row r="670" spans="32:38" ht="14.1" customHeight="1" x14ac:dyDescent="0.45">
      <c r="AF670" s="988">
        <f>'DIY Grundmodell'!R757</f>
        <v>45699</v>
      </c>
      <c r="AG670" s="89">
        <f>'DIY Grundmodell'!S757</f>
        <v>719.8</v>
      </c>
      <c r="AH670" s="54">
        <f>'DIY Grundmodell'!T757</f>
        <v>9355.9308899999996</v>
      </c>
      <c r="AI670" s="89">
        <f>'DIY Grundmodell'!U757</f>
        <v>719.8</v>
      </c>
      <c r="AJ670" s="89">
        <f>'DIY Grundmodell'!V757</f>
        <v>9355.9308899999996</v>
      </c>
      <c r="AK670" s="989"/>
      <c r="AL670" s="33">
        <f>'DIY Grundmodell'!X757</f>
        <v>6068.50378</v>
      </c>
    </row>
    <row r="671" spans="32:38" ht="14.1" customHeight="1" x14ac:dyDescent="0.45">
      <c r="AF671" s="988">
        <f>'DIY Grundmodell'!R758</f>
        <v>45700</v>
      </c>
      <c r="AG671" s="89">
        <f>'DIY Grundmodell'!S758</f>
        <v>725.38</v>
      </c>
      <c r="AH671" s="54">
        <f>'DIY Grundmodell'!T758</f>
        <v>8716.5411000000004</v>
      </c>
      <c r="AI671" s="89">
        <f>'DIY Grundmodell'!U758</f>
        <v>725.38</v>
      </c>
      <c r="AJ671" s="89">
        <f>'DIY Grundmodell'!V758</f>
        <v>8716.5411000000004</v>
      </c>
      <c r="AK671" s="989"/>
      <c r="AL671" s="33">
        <f>'DIY Grundmodell'!X758</f>
        <v>6051.9678100000001</v>
      </c>
    </row>
    <row r="672" spans="32:38" ht="14.1" customHeight="1" x14ac:dyDescent="0.45">
      <c r="AF672" s="988">
        <f>'DIY Grundmodell'!R759</f>
        <v>45701</v>
      </c>
      <c r="AG672" s="89">
        <f>'DIY Grundmodell'!S759</f>
        <v>728.56</v>
      </c>
      <c r="AH672" s="54">
        <f>'DIY Grundmodell'!T759</f>
        <v>9157.3172699999996</v>
      </c>
      <c r="AI672" s="89">
        <f>'DIY Grundmodell'!U759</f>
        <v>728.56</v>
      </c>
      <c r="AJ672" s="89">
        <f>'DIY Grundmodell'!V759</f>
        <v>9157.3172699999996</v>
      </c>
      <c r="AK672" s="989"/>
      <c r="AL672" s="33">
        <f>'DIY Grundmodell'!X759</f>
        <v>6115.0715700000001</v>
      </c>
    </row>
    <row r="673" spans="32:38" ht="14.1" customHeight="1" x14ac:dyDescent="0.45">
      <c r="AF673" s="988">
        <f>'DIY Grundmodell'!R760</f>
        <v>45702</v>
      </c>
      <c r="AG673" s="89">
        <f>'DIY Grundmodell'!S760</f>
        <v>736.67</v>
      </c>
      <c r="AH673" s="54">
        <f>'DIY Grundmodell'!T760</f>
        <v>12450.643099999999</v>
      </c>
      <c r="AI673" s="89">
        <f>'DIY Grundmodell'!U760</f>
        <v>736.67</v>
      </c>
      <c r="AJ673" s="89">
        <f>'DIY Grundmodell'!V760</f>
        <v>12450.643099999999</v>
      </c>
      <c r="AK673" s="989"/>
      <c r="AL673" s="33">
        <f>'DIY Grundmodell'!X760</f>
        <v>6114.6314700000003</v>
      </c>
    </row>
    <row r="674" spans="32:38" ht="14.1" customHeight="1" x14ac:dyDescent="0.45">
      <c r="AF674" s="988">
        <f>'DIY Grundmodell'!R761</f>
        <v>45703</v>
      </c>
      <c r="AG674" s="89" t="e">
        <f>'DIY Grundmodell'!S761</f>
        <v>#N/A</v>
      </c>
      <c r="AH674" s="54" t="e">
        <f>'DIY Grundmodell'!T761</f>
        <v>#N/A</v>
      </c>
      <c r="AI674" s="89">
        <f>'DIY Grundmodell'!U761</f>
        <v>736.67</v>
      </c>
      <c r="AJ674" s="89">
        <f>'DIY Grundmodell'!V761</f>
        <v>0</v>
      </c>
      <c r="AK674" s="989"/>
      <c r="AL674" s="33">
        <f>'DIY Grundmodell'!X761</f>
        <v>6114.6314700000003</v>
      </c>
    </row>
    <row r="675" spans="32:38" ht="14.1" customHeight="1" x14ac:dyDescent="0.45">
      <c r="AF675" s="988">
        <f>'DIY Grundmodell'!R762</f>
        <v>45704</v>
      </c>
      <c r="AG675" s="89" t="e">
        <f>'DIY Grundmodell'!S762</f>
        <v>#N/A</v>
      </c>
      <c r="AH675" s="54" t="e">
        <f>'DIY Grundmodell'!T762</f>
        <v>#N/A</v>
      </c>
      <c r="AI675" s="89">
        <f>'DIY Grundmodell'!U762</f>
        <v>736.67</v>
      </c>
      <c r="AJ675" s="89">
        <f>'DIY Grundmodell'!V762</f>
        <v>0</v>
      </c>
      <c r="AK675" s="989"/>
      <c r="AL675" s="33">
        <f>'DIY Grundmodell'!X762</f>
        <v>6114.6314700000003</v>
      </c>
    </row>
    <row r="676" spans="32:38" ht="14.1" customHeight="1" x14ac:dyDescent="0.45">
      <c r="AF676" s="988">
        <f>'DIY Grundmodell'!R763</f>
        <v>45705</v>
      </c>
      <c r="AG676" s="89" t="e">
        <f>'DIY Grundmodell'!S763</f>
        <v>#N/A</v>
      </c>
      <c r="AH676" s="54" t="e">
        <f>'DIY Grundmodell'!T763</f>
        <v>#N/A</v>
      </c>
      <c r="AI676" s="89">
        <f>'DIY Grundmodell'!U763</f>
        <v>736.67</v>
      </c>
      <c r="AJ676" s="89">
        <f>'DIY Grundmodell'!V763</f>
        <v>0</v>
      </c>
      <c r="AK676" s="989"/>
      <c r="AL676" s="33">
        <f>'DIY Grundmodell'!X763</f>
        <v>6114.6314700000003</v>
      </c>
    </row>
    <row r="677" spans="32:38" ht="14.1" customHeight="1" x14ac:dyDescent="0.45">
      <c r="AF677" s="988">
        <f>'DIY Grundmodell'!R764</f>
        <v>45706</v>
      </c>
      <c r="AG677" s="89">
        <f>'DIY Grundmodell'!S764</f>
        <v>716.37</v>
      </c>
      <c r="AH677" s="54">
        <f>'DIY Grundmodell'!T764</f>
        <v>15716.22867</v>
      </c>
      <c r="AI677" s="89">
        <f>'DIY Grundmodell'!U764</f>
        <v>716.37</v>
      </c>
      <c r="AJ677" s="89">
        <f>'DIY Grundmodell'!V764</f>
        <v>15716.22867</v>
      </c>
      <c r="AK677" s="989"/>
      <c r="AL677" s="33">
        <f>'DIY Grundmodell'!X764</f>
        <v>6129.58403</v>
      </c>
    </row>
    <row r="678" spans="32:38" ht="14.1" customHeight="1" x14ac:dyDescent="0.45">
      <c r="AF678" s="988">
        <f>'DIY Grundmodell'!R765</f>
        <v>45707</v>
      </c>
      <c r="AG678" s="89">
        <f>'DIY Grundmodell'!S765</f>
        <v>703.77</v>
      </c>
      <c r="AH678" s="54">
        <f>'DIY Grundmodell'!T765</f>
        <v>12340.94476</v>
      </c>
      <c r="AI678" s="89">
        <f>'DIY Grundmodell'!U765</f>
        <v>703.77</v>
      </c>
      <c r="AJ678" s="89">
        <f>'DIY Grundmodell'!V765</f>
        <v>12340.94476</v>
      </c>
      <c r="AK678" s="989"/>
      <c r="AL678" s="33">
        <f>'DIY Grundmodell'!X765</f>
        <v>6144.1520399999999</v>
      </c>
    </row>
    <row r="679" spans="32:38" ht="14.1" customHeight="1" x14ac:dyDescent="0.45">
      <c r="AF679" s="988">
        <f>'DIY Grundmodell'!R766</f>
        <v>45708</v>
      </c>
      <c r="AG679" s="89">
        <f>'DIY Grundmodell'!S766</f>
        <v>694.84</v>
      </c>
      <c r="AH679" s="54">
        <f>'DIY Grundmodell'!T766</f>
        <v>8746.2345800000003</v>
      </c>
      <c r="AI679" s="89">
        <f>'DIY Grundmodell'!U766</f>
        <v>694.84</v>
      </c>
      <c r="AJ679" s="89">
        <f>'DIY Grundmodell'!V766</f>
        <v>8746.2345800000003</v>
      </c>
      <c r="AK679" s="989"/>
      <c r="AL679" s="33">
        <f>'DIY Grundmodell'!X766</f>
        <v>6117.5207399999999</v>
      </c>
    </row>
    <row r="680" spans="32:38" ht="14.1" customHeight="1" x14ac:dyDescent="0.45">
      <c r="AF680" s="988">
        <f>'DIY Grundmodell'!R767</f>
        <v>45709</v>
      </c>
      <c r="AG680" s="89">
        <f>'DIY Grundmodell'!S767</f>
        <v>683.55</v>
      </c>
      <c r="AH680" s="54">
        <f>'DIY Grundmodell'!T767</f>
        <v>10704.63566</v>
      </c>
      <c r="AI680" s="89">
        <f>'DIY Grundmodell'!U767</f>
        <v>683.55</v>
      </c>
      <c r="AJ680" s="89">
        <f>'DIY Grundmodell'!V767</f>
        <v>10704.63566</v>
      </c>
      <c r="AK680" s="989"/>
      <c r="AL680" s="33">
        <f>'DIY Grundmodell'!X767</f>
        <v>6013.1278599999996</v>
      </c>
    </row>
    <row r="681" spans="32:38" ht="14.1" customHeight="1" x14ac:dyDescent="0.45">
      <c r="AF681" s="988">
        <f>'DIY Grundmodell'!R768</f>
        <v>45710</v>
      </c>
      <c r="AG681" s="89" t="e">
        <f>'DIY Grundmodell'!S768</f>
        <v>#N/A</v>
      </c>
      <c r="AH681" s="54" t="e">
        <f>'DIY Grundmodell'!T768</f>
        <v>#N/A</v>
      </c>
      <c r="AI681" s="89">
        <f>'DIY Grundmodell'!U768</f>
        <v>683.55</v>
      </c>
      <c r="AJ681" s="89">
        <f>'DIY Grundmodell'!V768</f>
        <v>0</v>
      </c>
      <c r="AK681" s="989"/>
      <c r="AL681" s="33">
        <f>'DIY Grundmodell'!X768</f>
        <v>6013.1278599999996</v>
      </c>
    </row>
    <row r="682" spans="32:38" ht="14.1" customHeight="1" x14ac:dyDescent="0.45">
      <c r="AF682" s="988">
        <f>'DIY Grundmodell'!R769</f>
        <v>45711</v>
      </c>
      <c r="AG682" s="89" t="e">
        <f>'DIY Grundmodell'!S769</f>
        <v>#N/A</v>
      </c>
      <c r="AH682" s="54" t="e">
        <f>'DIY Grundmodell'!T769</f>
        <v>#N/A</v>
      </c>
      <c r="AI682" s="89">
        <f>'DIY Grundmodell'!U769</f>
        <v>683.55</v>
      </c>
      <c r="AJ682" s="89">
        <f>'DIY Grundmodell'!V769</f>
        <v>0</v>
      </c>
      <c r="AK682" s="989"/>
      <c r="AL682" s="33">
        <f>'DIY Grundmodell'!X769</f>
        <v>6013.1278599999996</v>
      </c>
    </row>
    <row r="683" spans="32:38" ht="14.1" customHeight="1" x14ac:dyDescent="0.45">
      <c r="AF683" s="988">
        <f>'DIY Grundmodell'!R770</f>
        <v>45712</v>
      </c>
      <c r="AG683" s="89">
        <f>'DIY Grundmodell'!S770</f>
        <v>668.13</v>
      </c>
      <c r="AH683" s="54">
        <f>'DIY Grundmodell'!T770</f>
        <v>10474.27</v>
      </c>
      <c r="AI683" s="89">
        <f>'DIY Grundmodell'!U770</f>
        <v>668.13</v>
      </c>
      <c r="AJ683" s="89">
        <f>'DIY Grundmodell'!V770</f>
        <v>10474.27</v>
      </c>
      <c r="AK683" s="989"/>
      <c r="AL683" s="33">
        <f>'DIY Grundmodell'!X770</f>
        <v>5983.2468500000004</v>
      </c>
    </row>
    <row r="684" spans="32:38" ht="14.1" customHeight="1" x14ac:dyDescent="0.45">
      <c r="AF684" s="988">
        <f>'DIY Grundmodell'!R771</f>
        <v>45713</v>
      </c>
      <c r="AG684" s="89">
        <f>'DIY Grundmodell'!S771</f>
        <v>657.5</v>
      </c>
      <c r="AH684" s="54">
        <f>'DIY Grundmodell'!T771</f>
        <v>13531.127769999999</v>
      </c>
      <c r="AI684" s="89">
        <f>'DIY Grundmodell'!U771</f>
        <v>657.5</v>
      </c>
      <c r="AJ684" s="89">
        <f>'DIY Grundmodell'!V771</f>
        <v>13531.127769999999</v>
      </c>
      <c r="AK684" s="989"/>
      <c r="AL684" s="33">
        <f>'DIY Grundmodell'!X771</f>
        <v>5955.2524299999995</v>
      </c>
    </row>
    <row r="685" spans="32:38" ht="14.1" customHeight="1" x14ac:dyDescent="0.45">
      <c r="AF685" s="988">
        <f>'DIY Grundmodell'!R772</f>
        <v>45714</v>
      </c>
      <c r="AG685" s="89">
        <f>'DIY Grundmodell'!S772</f>
        <v>673.7</v>
      </c>
      <c r="AH685" s="54">
        <f>'DIY Grundmodell'!T772</f>
        <v>9761.0405599999995</v>
      </c>
      <c r="AI685" s="89">
        <f>'DIY Grundmodell'!U772</f>
        <v>673.7</v>
      </c>
      <c r="AJ685" s="89">
        <f>'DIY Grundmodell'!V772</f>
        <v>9761.0405599999995</v>
      </c>
      <c r="AK685" s="989"/>
      <c r="AL685" s="33">
        <f>'DIY Grundmodell'!X772</f>
        <v>5956.0586899999998</v>
      </c>
    </row>
    <row r="686" spans="32:38" ht="14.1" customHeight="1" x14ac:dyDescent="0.45">
      <c r="AF686" s="988">
        <f>'DIY Grundmodell'!R773</f>
        <v>45715</v>
      </c>
      <c r="AG686" s="89">
        <f>'DIY Grundmodell'!S773</f>
        <v>658.24</v>
      </c>
      <c r="AH686" s="54">
        <f>'DIY Grundmodell'!T773</f>
        <v>8228.0085600000002</v>
      </c>
      <c r="AI686" s="89">
        <f>'DIY Grundmodell'!U773</f>
        <v>658.24</v>
      </c>
      <c r="AJ686" s="89">
        <f>'DIY Grundmodell'!V773</f>
        <v>8228.0085600000002</v>
      </c>
      <c r="AK686" s="989"/>
      <c r="AL686" s="33">
        <f>'DIY Grundmodell'!X773</f>
        <v>5861.5735800000002</v>
      </c>
    </row>
    <row r="687" spans="32:38" ht="14.1" customHeight="1" x14ac:dyDescent="0.45">
      <c r="AF687" s="988">
        <f>'DIY Grundmodell'!R774</f>
        <v>45716</v>
      </c>
      <c r="AG687" s="89">
        <f>'DIY Grundmodell'!S774</f>
        <v>668.2</v>
      </c>
      <c r="AH687" s="54">
        <f>'DIY Grundmodell'!T774</f>
        <v>11716.33106</v>
      </c>
      <c r="AI687" s="89">
        <f>'DIY Grundmodell'!U774</f>
        <v>668.2</v>
      </c>
      <c r="AJ687" s="89">
        <f>'DIY Grundmodell'!V774</f>
        <v>11716.33106</v>
      </c>
      <c r="AK687" s="989"/>
      <c r="AL687" s="33">
        <f>'DIY Grundmodell'!X774</f>
        <v>5954.5048299999999</v>
      </c>
    </row>
    <row r="688" spans="32:38" ht="14.1" customHeight="1" x14ac:dyDescent="0.45">
      <c r="AF688" s="988">
        <f>'DIY Grundmodell'!R775</f>
        <v>45717</v>
      </c>
      <c r="AG688" s="89" t="e">
        <f>'DIY Grundmodell'!S775</f>
        <v>#N/A</v>
      </c>
      <c r="AH688" s="54" t="e">
        <f>'DIY Grundmodell'!T775</f>
        <v>#N/A</v>
      </c>
      <c r="AI688" s="89">
        <f>'DIY Grundmodell'!U775</f>
        <v>668.2</v>
      </c>
      <c r="AJ688" s="89">
        <f>'DIY Grundmodell'!V775</f>
        <v>0</v>
      </c>
      <c r="AK688" s="989"/>
      <c r="AL688" s="33">
        <f>'DIY Grundmodell'!X775</f>
        <v>5954.5048299999999</v>
      </c>
    </row>
    <row r="689" spans="32:38" ht="14.1" customHeight="1" x14ac:dyDescent="0.45">
      <c r="AF689" s="988">
        <f>'DIY Grundmodell'!R776</f>
        <v>45718</v>
      </c>
      <c r="AG689" s="89" t="e">
        <f>'DIY Grundmodell'!S776</f>
        <v>#N/A</v>
      </c>
      <c r="AH689" s="54" t="e">
        <f>'DIY Grundmodell'!T776</f>
        <v>#N/A</v>
      </c>
      <c r="AI689" s="89">
        <f>'DIY Grundmodell'!U776</f>
        <v>668.2</v>
      </c>
      <c r="AJ689" s="89">
        <f>'DIY Grundmodell'!V776</f>
        <v>0</v>
      </c>
      <c r="AK689" s="989"/>
      <c r="AL689" s="33">
        <f>'DIY Grundmodell'!X776</f>
        <v>5954.5048299999999</v>
      </c>
    </row>
    <row r="690" spans="32:38" ht="14.1" customHeight="1" x14ac:dyDescent="0.45">
      <c r="AF690" s="988">
        <f>'DIY Grundmodell'!R777</f>
        <v>45719</v>
      </c>
      <c r="AG690" s="89">
        <f>'DIY Grundmodell'!S777</f>
        <v>655.04999999999995</v>
      </c>
      <c r="AH690" s="54">
        <f>'DIY Grundmodell'!T777</f>
        <v>7103.2069499999998</v>
      </c>
      <c r="AI690" s="89">
        <f>'DIY Grundmodell'!U777</f>
        <v>655.04999999999995</v>
      </c>
      <c r="AJ690" s="89">
        <f>'DIY Grundmodell'!V777</f>
        <v>7103.2069499999998</v>
      </c>
      <c r="AK690" s="989"/>
      <c r="AL690" s="33">
        <f>'DIY Grundmodell'!X777</f>
        <v>5849.7194200000004</v>
      </c>
    </row>
    <row r="691" spans="32:38" ht="14.1" customHeight="1" x14ac:dyDescent="0.45">
      <c r="AF691" s="988">
        <f>'DIY Grundmodell'!R778</f>
        <v>45720</v>
      </c>
      <c r="AG691" s="89">
        <f>'DIY Grundmodell'!S778</f>
        <v>640</v>
      </c>
      <c r="AH691" s="54">
        <f>'DIY Grundmodell'!T778</f>
        <v>13756.93312</v>
      </c>
      <c r="AI691" s="89">
        <f>'DIY Grundmodell'!U778</f>
        <v>640</v>
      </c>
      <c r="AJ691" s="89">
        <f>'DIY Grundmodell'!V778</f>
        <v>13756.93312</v>
      </c>
      <c r="AK691" s="989"/>
      <c r="AL691" s="33">
        <f>'DIY Grundmodell'!X778</f>
        <v>5778.1491900000001</v>
      </c>
    </row>
    <row r="692" spans="32:38" ht="14.1" customHeight="1" x14ac:dyDescent="0.45">
      <c r="AF692" s="988">
        <f>'DIY Grundmodell'!R779</f>
        <v>45721</v>
      </c>
      <c r="AG692" s="89">
        <f>'DIY Grundmodell'!S779</f>
        <v>656.47</v>
      </c>
      <c r="AH692" s="54">
        <f>'DIY Grundmodell'!T779</f>
        <v>9039.6089699999993</v>
      </c>
      <c r="AI692" s="89">
        <f>'DIY Grundmodell'!U779</f>
        <v>656.47</v>
      </c>
      <c r="AJ692" s="89">
        <f>'DIY Grundmodell'!V779</f>
        <v>9039.6089699999993</v>
      </c>
      <c r="AK692" s="989"/>
      <c r="AL692" s="33">
        <f>'DIY Grundmodell'!X779</f>
        <v>5842.6254900000004</v>
      </c>
    </row>
    <row r="693" spans="32:38" ht="14.1" customHeight="1" x14ac:dyDescent="0.45">
      <c r="AF693" s="988">
        <f>'DIY Grundmodell'!R780</f>
        <v>45722</v>
      </c>
      <c r="AG693" s="89">
        <f>'DIY Grundmodell'!S780</f>
        <v>627.92999999999995</v>
      </c>
      <c r="AH693" s="54">
        <f>'DIY Grundmodell'!T780</f>
        <v>8443.4318600000006</v>
      </c>
      <c r="AI693" s="89">
        <f>'DIY Grundmodell'!U780</f>
        <v>627.92999999999995</v>
      </c>
      <c r="AJ693" s="89">
        <f>'DIY Grundmodell'!V780</f>
        <v>8443.4318600000006</v>
      </c>
      <c r="AK693" s="989"/>
      <c r="AL693" s="33">
        <f>'DIY Grundmodell'!X780</f>
        <v>5738.5187100000003</v>
      </c>
    </row>
    <row r="694" spans="32:38" ht="14.1" customHeight="1" x14ac:dyDescent="0.45">
      <c r="AF694" s="988">
        <f>'DIY Grundmodell'!R781</f>
        <v>45723</v>
      </c>
      <c r="AG694" s="89">
        <f>'DIY Grundmodell'!S781</f>
        <v>625.66</v>
      </c>
      <c r="AH694" s="54">
        <f>'DIY Grundmodell'!T781</f>
        <v>13373.902319999999</v>
      </c>
      <c r="AI694" s="89">
        <f>'DIY Grundmodell'!U781</f>
        <v>625.66</v>
      </c>
      <c r="AJ694" s="89">
        <f>'DIY Grundmodell'!V781</f>
        <v>13373.902319999999</v>
      </c>
      <c r="AK694" s="989"/>
      <c r="AL694" s="33">
        <f>'DIY Grundmodell'!X781</f>
        <v>5770.1956099999998</v>
      </c>
    </row>
    <row r="695" spans="32:38" ht="14.1" customHeight="1" x14ac:dyDescent="0.45">
      <c r="AF695" s="988">
        <f>'DIY Grundmodell'!R782</f>
        <v>45724</v>
      </c>
      <c r="AG695" s="89" t="e">
        <f>'DIY Grundmodell'!S782</f>
        <v>#N/A</v>
      </c>
      <c r="AH695" s="54" t="e">
        <f>'DIY Grundmodell'!T782</f>
        <v>#N/A</v>
      </c>
      <c r="AI695" s="89">
        <f>'DIY Grundmodell'!U782</f>
        <v>625.66</v>
      </c>
      <c r="AJ695" s="89">
        <f>'DIY Grundmodell'!V782</f>
        <v>0</v>
      </c>
      <c r="AK695" s="989"/>
      <c r="AL695" s="33">
        <f>'DIY Grundmodell'!X782</f>
        <v>5770.1956099999998</v>
      </c>
    </row>
    <row r="696" spans="32:38" ht="14.1" customHeight="1" x14ac:dyDescent="0.45">
      <c r="AF696" s="988">
        <f>'DIY Grundmodell'!R783</f>
        <v>45725</v>
      </c>
      <c r="AG696" s="89" t="e">
        <f>'DIY Grundmodell'!S783</f>
        <v>#N/A</v>
      </c>
      <c r="AH696" s="54" t="e">
        <f>'DIY Grundmodell'!T783</f>
        <v>#N/A</v>
      </c>
      <c r="AI696" s="89">
        <f>'DIY Grundmodell'!U783</f>
        <v>625.66</v>
      </c>
      <c r="AJ696" s="89">
        <f>'DIY Grundmodell'!V783</f>
        <v>0</v>
      </c>
      <c r="AK696" s="989"/>
      <c r="AL696" s="33">
        <f>'DIY Grundmodell'!X783</f>
        <v>5770.1956099999998</v>
      </c>
    </row>
    <row r="697" spans="32:38" ht="14.1" customHeight="1" x14ac:dyDescent="0.45">
      <c r="AF697" s="988">
        <f>'DIY Grundmodell'!R784</f>
        <v>45726</v>
      </c>
      <c r="AG697" s="89">
        <f>'DIY Grundmodell'!S784</f>
        <v>597.99</v>
      </c>
      <c r="AH697" s="54">
        <f>'DIY Grundmodell'!T784</f>
        <v>13155.745919999999</v>
      </c>
      <c r="AI697" s="89">
        <f>'DIY Grundmodell'!U784</f>
        <v>597.99</v>
      </c>
      <c r="AJ697" s="89">
        <f>'DIY Grundmodell'!V784</f>
        <v>13155.745919999999</v>
      </c>
      <c r="AK697" s="989"/>
      <c r="AL697" s="33">
        <f>'DIY Grundmodell'!X784</f>
        <v>5614.5635499999999</v>
      </c>
    </row>
    <row r="698" spans="32:38" ht="14.1" customHeight="1" x14ac:dyDescent="0.45">
      <c r="AF698" s="988">
        <f>'DIY Grundmodell'!R785</f>
        <v>45727</v>
      </c>
      <c r="AG698" s="89">
        <f>'DIY Grundmodell'!S785</f>
        <v>605.71</v>
      </c>
      <c r="AH698" s="54">
        <f>'DIY Grundmodell'!T785</f>
        <v>10540.24379</v>
      </c>
      <c r="AI698" s="89">
        <f>'DIY Grundmodell'!U785</f>
        <v>605.71</v>
      </c>
      <c r="AJ698" s="89">
        <f>'DIY Grundmodell'!V785</f>
        <v>10540.24379</v>
      </c>
      <c r="AK698" s="989"/>
      <c r="AL698" s="33">
        <f>'DIY Grundmodell'!X785</f>
        <v>5572.0699199999999</v>
      </c>
    </row>
    <row r="699" spans="32:38" ht="14.1" customHeight="1" x14ac:dyDescent="0.45">
      <c r="AF699" s="988">
        <f>'DIY Grundmodell'!R786</f>
        <v>45728</v>
      </c>
      <c r="AG699" s="89">
        <f>'DIY Grundmodell'!S786</f>
        <v>619.55999999999995</v>
      </c>
      <c r="AH699" s="54">
        <f>'DIY Grundmodell'!T786</f>
        <v>9756.1902599999994</v>
      </c>
      <c r="AI699" s="89">
        <f>'DIY Grundmodell'!U786</f>
        <v>619.55999999999995</v>
      </c>
      <c r="AJ699" s="89">
        <f>'DIY Grundmodell'!V786</f>
        <v>9756.1902599999994</v>
      </c>
      <c r="AK699" s="989"/>
      <c r="AL699" s="33">
        <f>'DIY Grundmodell'!X786</f>
        <v>5599.30026</v>
      </c>
    </row>
    <row r="700" spans="32:38" ht="14.1" customHeight="1" x14ac:dyDescent="0.45">
      <c r="AF700" s="988">
        <f>'DIY Grundmodell'!R787</f>
        <v>45729</v>
      </c>
      <c r="AG700" s="89">
        <f>'DIY Grundmodell'!S787</f>
        <v>590.64</v>
      </c>
      <c r="AH700" s="54">
        <f>'DIY Grundmodell'!T787</f>
        <v>9733.9385700000003</v>
      </c>
      <c r="AI700" s="89">
        <f>'DIY Grundmodell'!U787</f>
        <v>590.64</v>
      </c>
      <c r="AJ700" s="89">
        <f>'DIY Grundmodell'!V787</f>
        <v>9733.9385700000003</v>
      </c>
      <c r="AK700" s="989"/>
      <c r="AL700" s="33">
        <f>'DIY Grundmodell'!X787</f>
        <v>5521.5192999999999</v>
      </c>
    </row>
    <row r="701" spans="32:38" ht="14.1" customHeight="1" x14ac:dyDescent="0.45">
      <c r="AF701" s="988">
        <f>'DIY Grundmodell'!R788</f>
        <v>45730</v>
      </c>
      <c r="AG701" s="89">
        <f>'DIY Grundmodell'!S788</f>
        <v>607.6</v>
      </c>
      <c r="AH701" s="54">
        <f>'DIY Grundmodell'!T788</f>
        <v>7512.6732400000001</v>
      </c>
      <c r="AI701" s="89">
        <f>'DIY Grundmodell'!U788</f>
        <v>607.6</v>
      </c>
      <c r="AJ701" s="89">
        <f>'DIY Grundmodell'!V788</f>
        <v>7512.6732400000001</v>
      </c>
      <c r="AK701" s="989"/>
      <c r="AL701" s="33">
        <f>'DIY Grundmodell'!X788</f>
        <v>5638.9401699999999</v>
      </c>
    </row>
    <row r="702" spans="32:38" ht="14.1" customHeight="1" x14ac:dyDescent="0.45">
      <c r="AF702" s="988">
        <f>'DIY Grundmodell'!R789</f>
        <v>45731</v>
      </c>
      <c r="AG702" s="89" t="e">
        <f>'DIY Grundmodell'!S789</f>
        <v>#N/A</v>
      </c>
      <c r="AH702" s="54" t="e">
        <f>'DIY Grundmodell'!T789</f>
        <v>#N/A</v>
      </c>
      <c r="AI702" s="89">
        <f>'DIY Grundmodell'!U789</f>
        <v>607.6</v>
      </c>
      <c r="AJ702" s="89">
        <f>'DIY Grundmodell'!V789</f>
        <v>0</v>
      </c>
      <c r="AK702" s="989"/>
      <c r="AL702" s="33">
        <f>'DIY Grundmodell'!X789</f>
        <v>5638.9401699999999</v>
      </c>
    </row>
    <row r="703" spans="32:38" ht="14.1" customHeight="1" x14ac:dyDescent="0.45">
      <c r="AF703" s="988">
        <f>'DIY Grundmodell'!R790</f>
        <v>45732</v>
      </c>
      <c r="AG703" s="89" t="e">
        <f>'DIY Grundmodell'!S790</f>
        <v>#N/A</v>
      </c>
      <c r="AH703" s="54" t="e">
        <f>'DIY Grundmodell'!T790</f>
        <v>#N/A</v>
      </c>
      <c r="AI703" s="89">
        <f>'DIY Grundmodell'!U790</f>
        <v>607.6</v>
      </c>
      <c r="AJ703" s="89">
        <f>'DIY Grundmodell'!V790</f>
        <v>0</v>
      </c>
      <c r="AK703" s="989"/>
      <c r="AL703" s="33">
        <f>'DIY Grundmodell'!X790</f>
        <v>5638.9401699999999</v>
      </c>
    </row>
    <row r="704" spans="32:38" ht="14.1" customHeight="1" x14ac:dyDescent="0.45">
      <c r="AF704" s="988">
        <f>'DIY Grundmodell'!R791</f>
        <v>45733</v>
      </c>
      <c r="AG704" s="89">
        <f>'DIY Grundmodell'!S791</f>
        <v>604.9</v>
      </c>
      <c r="AH704" s="54">
        <f>'DIY Grundmodell'!T791</f>
        <v>9360.1675500000001</v>
      </c>
      <c r="AI704" s="89">
        <f>'DIY Grundmodell'!U791</f>
        <v>604.9</v>
      </c>
      <c r="AJ704" s="89">
        <f>'DIY Grundmodell'!V791</f>
        <v>9360.1675500000001</v>
      </c>
      <c r="AK704" s="989"/>
      <c r="AL704" s="33">
        <f>'DIY Grundmodell'!X791</f>
        <v>5675.1173200000003</v>
      </c>
    </row>
    <row r="705" spans="32:38" ht="14.1" customHeight="1" x14ac:dyDescent="0.45">
      <c r="AF705" s="988">
        <f>'DIY Grundmodell'!R792</f>
        <v>45734</v>
      </c>
      <c r="AG705" s="89">
        <f>'DIY Grundmodell'!S792</f>
        <v>582.36</v>
      </c>
      <c r="AH705" s="54">
        <f>'DIY Grundmodell'!T792</f>
        <v>11820.57323</v>
      </c>
      <c r="AI705" s="89">
        <f>'DIY Grundmodell'!U792</f>
        <v>582.36</v>
      </c>
      <c r="AJ705" s="89">
        <f>'DIY Grundmodell'!V792</f>
        <v>11820.57323</v>
      </c>
      <c r="AK705" s="989"/>
      <c r="AL705" s="33">
        <f>'DIY Grundmodell'!X792</f>
        <v>5614.66201</v>
      </c>
    </row>
    <row r="706" spans="32:38" ht="14.1" customHeight="1" x14ac:dyDescent="0.45">
      <c r="AF706" s="988">
        <f>'DIY Grundmodell'!R793</f>
        <v>45735</v>
      </c>
      <c r="AG706" s="89">
        <f>'DIY Grundmodell'!S793</f>
        <v>584.05999999999995</v>
      </c>
      <c r="AH706" s="54">
        <f>'DIY Grundmodell'!T793</f>
        <v>11995.131079999999</v>
      </c>
      <c r="AI706" s="89">
        <f>'DIY Grundmodell'!U793</f>
        <v>584.05999999999995</v>
      </c>
      <c r="AJ706" s="89">
        <f>'DIY Grundmodell'!V793</f>
        <v>11995.131079999999</v>
      </c>
      <c r="AK706" s="989"/>
      <c r="AL706" s="33">
        <f>'DIY Grundmodell'!X793</f>
        <v>5675.2871699999996</v>
      </c>
    </row>
    <row r="707" spans="32:38" ht="14.1" customHeight="1" x14ac:dyDescent="0.45">
      <c r="AF707" s="988">
        <f>'DIY Grundmodell'!R794</f>
        <v>45736</v>
      </c>
      <c r="AG707" s="89">
        <f>'DIY Grundmodell'!S794</f>
        <v>586</v>
      </c>
      <c r="AH707" s="54">
        <f>'DIY Grundmodell'!T794</f>
        <v>14261.191930000001</v>
      </c>
      <c r="AI707" s="89">
        <f>'DIY Grundmodell'!U794</f>
        <v>586</v>
      </c>
      <c r="AJ707" s="89">
        <f>'DIY Grundmodell'!V794</f>
        <v>14261.191930000001</v>
      </c>
      <c r="AK707" s="989"/>
      <c r="AL707" s="33">
        <f>'DIY Grundmodell'!X794</f>
        <v>5662.8905299999997</v>
      </c>
    </row>
    <row r="708" spans="32:38" ht="14.1" customHeight="1" x14ac:dyDescent="0.45">
      <c r="AF708" s="988">
        <f>'DIY Grundmodell'!R795</f>
        <v>45737</v>
      </c>
      <c r="AG708" s="89">
        <f>'DIY Grundmodell'!S795</f>
        <v>596.25</v>
      </c>
      <c r="AH708" s="54">
        <f>'DIY Grundmodell'!T795</f>
        <v>14915.708909999999</v>
      </c>
      <c r="AI708" s="89">
        <f>'DIY Grundmodell'!U795</f>
        <v>596.25</v>
      </c>
      <c r="AJ708" s="89">
        <f>'DIY Grundmodell'!V795</f>
        <v>14915.708909999999</v>
      </c>
      <c r="AK708" s="989"/>
      <c r="AL708" s="33">
        <f>'DIY Grundmodell'!X795</f>
        <v>5667.5642699999999</v>
      </c>
    </row>
    <row r="709" spans="32:38" ht="14.1" customHeight="1" x14ac:dyDescent="0.45">
      <c r="AF709" s="988">
        <f>'DIY Grundmodell'!R796</f>
        <v>45738</v>
      </c>
      <c r="AG709" s="89" t="e">
        <f>'DIY Grundmodell'!S796</f>
        <v>#N/A</v>
      </c>
      <c r="AH709" s="54" t="e">
        <f>'DIY Grundmodell'!T796</f>
        <v>#N/A</v>
      </c>
      <c r="AI709" s="89">
        <f>'DIY Grundmodell'!U796</f>
        <v>596.25</v>
      </c>
      <c r="AJ709" s="89">
        <f>'DIY Grundmodell'!V796</f>
        <v>0</v>
      </c>
      <c r="AK709" s="989"/>
      <c r="AL709" s="33">
        <f>'DIY Grundmodell'!X796</f>
        <v>5667.5642699999999</v>
      </c>
    </row>
    <row r="710" spans="32:38" ht="14.1" customHeight="1" x14ac:dyDescent="0.45">
      <c r="AF710" s="988">
        <f>'DIY Grundmodell'!R797</f>
        <v>45739</v>
      </c>
      <c r="AG710" s="89" t="e">
        <f>'DIY Grundmodell'!S797</f>
        <v>#N/A</v>
      </c>
      <c r="AH710" s="54" t="e">
        <f>'DIY Grundmodell'!T797</f>
        <v>#N/A</v>
      </c>
      <c r="AI710" s="89">
        <f>'DIY Grundmodell'!U797</f>
        <v>596.25</v>
      </c>
      <c r="AJ710" s="89">
        <f>'DIY Grundmodell'!V797</f>
        <v>0</v>
      </c>
      <c r="AK710" s="989"/>
      <c r="AL710" s="33">
        <f>'DIY Grundmodell'!X797</f>
        <v>5667.5642699999999</v>
      </c>
    </row>
    <row r="711" spans="32:38" ht="14.1" customHeight="1" x14ac:dyDescent="0.45">
      <c r="AF711" s="988">
        <f>'DIY Grundmodell'!R798</f>
        <v>45740</v>
      </c>
      <c r="AG711" s="89">
        <f>'DIY Grundmodell'!S798</f>
        <v>618.85</v>
      </c>
      <c r="AH711" s="54">
        <f>'DIY Grundmodell'!T798</f>
        <v>9741.4874199999995</v>
      </c>
      <c r="AI711" s="89">
        <f>'DIY Grundmodell'!U798</f>
        <v>618.85</v>
      </c>
      <c r="AJ711" s="89">
        <f>'DIY Grundmodell'!V798</f>
        <v>9741.4874199999995</v>
      </c>
      <c r="AK711" s="989"/>
      <c r="AL711" s="33">
        <f>'DIY Grundmodell'!X798</f>
        <v>5767.5671000000002</v>
      </c>
    </row>
    <row r="712" spans="32:38" ht="14.1" customHeight="1" x14ac:dyDescent="0.45">
      <c r="AF712" s="988">
        <f>'DIY Grundmodell'!R799</f>
        <v>45741</v>
      </c>
      <c r="AG712" s="89">
        <f>'DIY Grundmodell'!S799</f>
        <v>626.30999999999995</v>
      </c>
      <c r="AH712" s="54">
        <f>'DIY Grundmodell'!T799</f>
        <v>9590.3969300000008</v>
      </c>
      <c r="AI712" s="89">
        <f>'DIY Grundmodell'!U799</f>
        <v>626.30999999999995</v>
      </c>
      <c r="AJ712" s="89">
        <f>'DIY Grundmodell'!V799</f>
        <v>9590.3969300000008</v>
      </c>
      <c r="AK712" s="989"/>
      <c r="AL712" s="33">
        <f>'DIY Grundmodell'!X799</f>
        <v>5776.6512899999998</v>
      </c>
    </row>
    <row r="713" spans="32:38" ht="14.1" customHeight="1" x14ac:dyDescent="0.45">
      <c r="AF713" s="988">
        <f>'DIY Grundmodell'!R800</f>
        <v>45742</v>
      </c>
      <c r="AG713" s="89">
        <f>'DIY Grundmodell'!S800</f>
        <v>610.98</v>
      </c>
      <c r="AH713" s="54">
        <f>'DIY Grundmodell'!T800</f>
        <v>7736.1621599999999</v>
      </c>
      <c r="AI713" s="89">
        <f>'DIY Grundmodell'!U800</f>
        <v>610.98</v>
      </c>
      <c r="AJ713" s="89">
        <f>'DIY Grundmodell'!V800</f>
        <v>7736.1621599999999</v>
      </c>
      <c r="AK713" s="989"/>
      <c r="AL713" s="33">
        <f>'DIY Grundmodell'!X800</f>
        <v>5712.2034299999996</v>
      </c>
    </row>
    <row r="714" spans="32:38" ht="14.1" customHeight="1" x14ac:dyDescent="0.45">
      <c r="AF714" s="988">
        <f>'DIY Grundmodell'!R801</f>
        <v>45743</v>
      </c>
      <c r="AG714" s="89">
        <f>'DIY Grundmodell'!S801</f>
        <v>602.58000000000004</v>
      </c>
      <c r="AH714" s="54">
        <f>'DIY Grundmodell'!T801</f>
        <v>6288.8406299999997</v>
      </c>
      <c r="AI714" s="89">
        <f>'DIY Grundmodell'!U801</f>
        <v>602.58000000000004</v>
      </c>
      <c r="AJ714" s="89">
        <f>'DIY Grundmodell'!V801</f>
        <v>6288.8406299999997</v>
      </c>
      <c r="AK714" s="989"/>
      <c r="AL714" s="33">
        <f>'DIY Grundmodell'!X801</f>
        <v>5693.3126499999998</v>
      </c>
    </row>
    <row r="715" spans="32:38" ht="14.1" customHeight="1" x14ac:dyDescent="0.45">
      <c r="AF715" s="988">
        <f>'DIY Grundmodell'!R802</f>
        <v>45744</v>
      </c>
      <c r="AG715" s="89">
        <f>'DIY Grundmodell'!S802</f>
        <v>576.74</v>
      </c>
      <c r="AH715" s="54">
        <f>'DIY Grundmodell'!T802</f>
        <v>10152.252140000001</v>
      </c>
      <c r="AI715" s="89">
        <f>'DIY Grundmodell'!U802</f>
        <v>576.74</v>
      </c>
      <c r="AJ715" s="89">
        <f>'DIY Grundmodell'!V802</f>
        <v>10152.252140000001</v>
      </c>
      <c r="AK715" s="989"/>
      <c r="AL715" s="33">
        <f>'DIY Grundmodell'!X802</f>
        <v>5580.9435800000001</v>
      </c>
    </row>
    <row r="716" spans="32:38" ht="14.1" customHeight="1" x14ac:dyDescent="0.45">
      <c r="AF716" s="988">
        <f>'DIY Grundmodell'!R803</f>
        <v>45745</v>
      </c>
      <c r="AG716" s="89" t="e">
        <f>'DIY Grundmodell'!S803</f>
        <v>#N/A</v>
      </c>
      <c r="AH716" s="54" t="e">
        <f>'DIY Grundmodell'!T803</f>
        <v>#N/A</v>
      </c>
      <c r="AI716" s="89">
        <f>'DIY Grundmodell'!U803</f>
        <v>576.74</v>
      </c>
      <c r="AJ716" s="89">
        <f>'DIY Grundmodell'!V803</f>
        <v>0</v>
      </c>
      <c r="AK716" s="989"/>
      <c r="AL716" s="33">
        <f>'DIY Grundmodell'!X803</f>
        <v>5580.9435800000001</v>
      </c>
    </row>
    <row r="717" spans="32:38" ht="14.1" customHeight="1" x14ac:dyDescent="0.45">
      <c r="AF717" s="988">
        <f>'DIY Grundmodell'!R804</f>
        <v>45746</v>
      </c>
      <c r="AG717" s="89" t="e">
        <f>'DIY Grundmodell'!S804</f>
        <v>#N/A</v>
      </c>
      <c r="AH717" s="54" t="e">
        <f>'DIY Grundmodell'!T804</f>
        <v>#N/A</v>
      </c>
      <c r="AI717" s="89">
        <f>'DIY Grundmodell'!U804</f>
        <v>576.74</v>
      </c>
      <c r="AJ717" s="89">
        <f>'DIY Grundmodell'!V804</f>
        <v>0</v>
      </c>
      <c r="AK717" s="989"/>
      <c r="AL717" s="33">
        <f>'DIY Grundmodell'!X804</f>
        <v>5580.9435800000001</v>
      </c>
    </row>
    <row r="718" spans="32:38" ht="14.1" customHeight="1" x14ac:dyDescent="0.45">
      <c r="AF718" s="988">
        <f>'DIY Grundmodell'!R805</f>
        <v>45747</v>
      </c>
      <c r="AG718" s="89">
        <f>'DIY Grundmodell'!S805</f>
        <v>576.36</v>
      </c>
      <c r="AH718" s="54">
        <f>'DIY Grundmodell'!T805</f>
        <v>12175.41884</v>
      </c>
      <c r="AI718" s="89">
        <f>'DIY Grundmodell'!U805</f>
        <v>576.36</v>
      </c>
      <c r="AJ718" s="89">
        <f>'DIY Grundmodell'!V805</f>
        <v>12175.41884</v>
      </c>
      <c r="AK718" s="989"/>
      <c r="AL718" s="33">
        <f>'DIY Grundmodell'!X805</f>
        <v>5611.8526099999999</v>
      </c>
    </row>
    <row r="719" spans="32:38" ht="14.1" customHeight="1" x14ac:dyDescent="0.45">
      <c r="AF719" s="988">
        <f>'DIY Grundmodell'!R806</f>
        <v>45748</v>
      </c>
      <c r="AG719" s="89">
        <f>'DIY Grundmodell'!S806</f>
        <v>586</v>
      </c>
      <c r="AH719" s="54">
        <f>'DIY Grundmodell'!T806</f>
        <v>7522.23236</v>
      </c>
      <c r="AI719" s="89">
        <f>'DIY Grundmodell'!U806</f>
        <v>586</v>
      </c>
      <c r="AJ719" s="89">
        <f>'DIY Grundmodell'!V806</f>
        <v>7522.23236</v>
      </c>
      <c r="AK719" s="989"/>
      <c r="AL719" s="33">
        <f>'DIY Grundmodell'!X806</f>
        <v>5633.0696900000003</v>
      </c>
    </row>
    <row r="720" spans="32:38" ht="14.1" customHeight="1" x14ac:dyDescent="0.45">
      <c r="AF720" s="988">
        <f>'DIY Grundmodell'!R807</f>
        <v>45749</v>
      </c>
      <c r="AG720" s="89">
        <f>'DIY Grundmodell'!S807</f>
        <v>583.92999999999995</v>
      </c>
      <c r="AH720" s="54">
        <f>'DIY Grundmodell'!T807</f>
        <v>7865.9913999999999</v>
      </c>
      <c r="AI720" s="89">
        <f>'DIY Grundmodell'!U807</f>
        <v>583.92999999999995</v>
      </c>
      <c r="AJ720" s="89">
        <f>'DIY Grundmodell'!V807</f>
        <v>7865.9913999999999</v>
      </c>
      <c r="AK720" s="989"/>
      <c r="AL720" s="33">
        <f>'DIY Grundmodell'!X807</f>
        <v>5670.9736199999998</v>
      </c>
    </row>
    <row r="721" spans="32:38" ht="14.1" customHeight="1" x14ac:dyDescent="0.45">
      <c r="AF721" s="988">
        <f>'DIY Grundmodell'!R808</f>
        <v>45750</v>
      </c>
      <c r="AG721" s="89">
        <f>'DIY Grundmodell'!S808</f>
        <v>531.62</v>
      </c>
      <c r="AH721" s="54">
        <f>'DIY Grundmodell'!T808</f>
        <v>18488.39329</v>
      </c>
      <c r="AI721" s="89">
        <f>'DIY Grundmodell'!U808</f>
        <v>531.62</v>
      </c>
      <c r="AJ721" s="89">
        <f>'DIY Grundmodell'!V808</f>
        <v>18488.39329</v>
      </c>
      <c r="AK721" s="989"/>
      <c r="AL721" s="33">
        <f>'DIY Grundmodell'!X808</f>
        <v>5396.5168000000003</v>
      </c>
    </row>
    <row r="722" spans="32:38" ht="14.1" customHeight="1" x14ac:dyDescent="0.45">
      <c r="AF722" s="988">
        <f>'DIY Grundmodell'!R809</f>
        <v>45751</v>
      </c>
      <c r="AG722" s="89">
        <f>'DIY Grundmodell'!S809</f>
        <v>504.73</v>
      </c>
      <c r="AH722" s="54">
        <f>'DIY Grundmodell'!T809</f>
        <v>19477.436819999999</v>
      </c>
      <c r="AI722" s="89">
        <f>'DIY Grundmodell'!U809</f>
        <v>504.73</v>
      </c>
      <c r="AJ722" s="89">
        <f>'DIY Grundmodell'!V809</f>
        <v>19477.436819999999</v>
      </c>
      <c r="AK722" s="989"/>
      <c r="AL722" s="33">
        <f>'DIY Grundmodell'!X809</f>
        <v>5074.0756300000003</v>
      </c>
    </row>
    <row r="723" spans="32:38" ht="14.1" customHeight="1" x14ac:dyDescent="0.45">
      <c r="AF723" s="988">
        <f>'DIY Grundmodell'!R810</f>
        <v>45752</v>
      </c>
      <c r="AG723" s="89" t="e">
        <f>'DIY Grundmodell'!S810</f>
        <v>#N/A</v>
      </c>
      <c r="AH723" s="54" t="e">
        <f>'DIY Grundmodell'!T810</f>
        <v>#N/A</v>
      </c>
      <c r="AI723" s="89">
        <f>'DIY Grundmodell'!U810</f>
        <v>504.73</v>
      </c>
      <c r="AJ723" s="89">
        <f>'DIY Grundmodell'!V810</f>
        <v>0</v>
      </c>
      <c r="AK723" s="989"/>
      <c r="AL723" s="33">
        <f>'DIY Grundmodell'!X810</f>
        <v>5074.0756300000003</v>
      </c>
    </row>
    <row r="724" spans="32:38" ht="14.1" customHeight="1" x14ac:dyDescent="0.45">
      <c r="AF724" s="988">
        <f>'DIY Grundmodell'!R811</f>
        <v>45753</v>
      </c>
      <c r="AG724" s="89" t="e">
        <f>'DIY Grundmodell'!S811</f>
        <v>#N/A</v>
      </c>
      <c r="AH724" s="54" t="e">
        <f>'DIY Grundmodell'!T811</f>
        <v>#N/A</v>
      </c>
      <c r="AI724" s="89">
        <f>'DIY Grundmodell'!U811</f>
        <v>504.73</v>
      </c>
      <c r="AJ724" s="89">
        <f>'DIY Grundmodell'!V811</f>
        <v>0</v>
      </c>
      <c r="AK724" s="989"/>
      <c r="AL724" s="33">
        <f>'DIY Grundmodell'!X811</f>
        <v>5074.0756300000003</v>
      </c>
    </row>
    <row r="725" spans="32:38" ht="14.1" customHeight="1" x14ac:dyDescent="0.45">
      <c r="AF725" s="988">
        <f>'DIY Grundmodell'!R812</f>
        <v>45754</v>
      </c>
      <c r="AG725" s="89">
        <f>'DIY Grundmodell'!S812</f>
        <v>516.25</v>
      </c>
      <c r="AH725" s="54">
        <f>'DIY Grundmodell'!T812</f>
        <v>18897.917710000002</v>
      </c>
      <c r="AI725" s="89">
        <f>'DIY Grundmodell'!U812</f>
        <v>516.25</v>
      </c>
      <c r="AJ725" s="89">
        <f>'DIY Grundmodell'!V812</f>
        <v>18897.917710000002</v>
      </c>
      <c r="AK725" s="989"/>
      <c r="AL725" s="33">
        <f>'DIY Grundmodell'!X812</f>
        <v>5062.2455200000004</v>
      </c>
    </row>
    <row r="726" spans="32:38" ht="14.1" customHeight="1" x14ac:dyDescent="0.45">
      <c r="AF726" s="988">
        <f>'DIY Grundmodell'!R813</f>
        <v>45755</v>
      </c>
      <c r="AG726" s="89">
        <f>'DIY Grundmodell'!S813</f>
        <v>510.45</v>
      </c>
      <c r="AH726" s="54">
        <f>'DIY Grundmodell'!T813</f>
        <v>14310.06301</v>
      </c>
      <c r="AI726" s="89">
        <f>'DIY Grundmodell'!U813</f>
        <v>510.45</v>
      </c>
      <c r="AJ726" s="89">
        <f>'DIY Grundmodell'!V813</f>
        <v>14310.06301</v>
      </c>
      <c r="AK726" s="989"/>
      <c r="AL726" s="33">
        <f>'DIY Grundmodell'!X813</f>
        <v>4982.7703099999999</v>
      </c>
    </row>
    <row r="727" spans="32:38" ht="14.1" customHeight="1" x14ac:dyDescent="0.45">
      <c r="AF727" s="988">
        <f>'DIY Grundmodell'!R814</f>
        <v>45756</v>
      </c>
      <c r="AG727" s="89">
        <f>'DIY Grundmodell'!S814</f>
        <v>585.77</v>
      </c>
      <c r="AH727" s="54">
        <f>'DIY Grundmodell'!T814</f>
        <v>22971.894899999999</v>
      </c>
      <c r="AI727" s="89">
        <f>'DIY Grundmodell'!U814</f>
        <v>585.77</v>
      </c>
      <c r="AJ727" s="89">
        <f>'DIY Grundmodell'!V814</f>
        <v>22971.894899999999</v>
      </c>
      <c r="AK727" s="989"/>
      <c r="AL727" s="33">
        <f>'DIY Grundmodell'!X814</f>
        <v>5456.9006900000004</v>
      </c>
    </row>
    <row r="728" spans="32:38" ht="14.1" customHeight="1" x14ac:dyDescent="0.45">
      <c r="AF728" s="988">
        <f>'DIY Grundmodell'!R815</f>
        <v>45757</v>
      </c>
      <c r="AG728" s="89">
        <f>'DIY Grundmodell'!S815</f>
        <v>546.29</v>
      </c>
      <c r="AH728" s="54">
        <f>'DIY Grundmodell'!T815</f>
        <v>15390.8964</v>
      </c>
      <c r="AI728" s="89">
        <f>'DIY Grundmodell'!U815</f>
        <v>546.29</v>
      </c>
      <c r="AJ728" s="89">
        <f>'DIY Grundmodell'!V815</f>
        <v>15390.8964</v>
      </c>
      <c r="AK728" s="989"/>
      <c r="AL728" s="33">
        <f>'DIY Grundmodell'!X815</f>
        <v>5268.0543799999996</v>
      </c>
    </row>
    <row r="729" spans="32:38" ht="14.1" customHeight="1" x14ac:dyDescent="0.45">
      <c r="AF729" s="988">
        <f>'DIY Grundmodell'!R816</f>
        <v>45758</v>
      </c>
      <c r="AG729" s="89">
        <f>'DIY Grundmodell'!S816</f>
        <v>543.57000000000005</v>
      </c>
      <c r="AH729" s="54">
        <f>'DIY Grundmodell'!T816</f>
        <v>9589.8396900000007</v>
      </c>
      <c r="AI729" s="89">
        <f>'DIY Grundmodell'!U816</f>
        <v>543.57000000000005</v>
      </c>
      <c r="AJ729" s="89">
        <f>'DIY Grundmodell'!V816</f>
        <v>9589.8396900000007</v>
      </c>
      <c r="AK729" s="989"/>
      <c r="AL729" s="33">
        <f>'DIY Grundmodell'!X816</f>
        <v>5363.3594800000001</v>
      </c>
    </row>
    <row r="730" spans="32:38" ht="14.1" customHeight="1" x14ac:dyDescent="0.45">
      <c r="AF730" s="988">
        <f>'DIY Grundmodell'!R817</f>
        <v>45759</v>
      </c>
      <c r="AG730" s="89" t="e">
        <f>'DIY Grundmodell'!S817</f>
        <v>#N/A</v>
      </c>
      <c r="AH730" s="54" t="e">
        <f>'DIY Grundmodell'!T817</f>
        <v>#N/A</v>
      </c>
      <c r="AI730" s="89">
        <f>'DIY Grundmodell'!U817</f>
        <v>543.57000000000005</v>
      </c>
      <c r="AJ730" s="89">
        <f>'DIY Grundmodell'!V817</f>
        <v>0</v>
      </c>
      <c r="AK730" s="989"/>
      <c r="AL730" s="33">
        <f>'DIY Grundmodell'!X817</f>
        <v>5363.3594800000001</v>
      </c>
    </row>
    <row r="731" spans="32:38" ht="14.1" customHeight="1" x14ac:dyDescent="0.45">
      <c r="AF731" s="988">
        <f>'DIY Grundmodell'!R818</f>
        <v>45760</v>
      </c>
      <c r="AG731" s="89" t="e">
        <f>'DIY Grundmodell'!S818</f>
        <v>#N/A</v>
      </c>
      <c r="AH731" s="54" t="e">
        <f>'DIY Grundmodell'!T818</f>
        <v>#N/A</v>
      </c>
      <c r="AI731" s="89">
        <f>'DIY Grundmodell'!U818</f>
        <v>543.57000000000005</v>
      </c>
      <c r="AJ731" s="89">
        <f>'DIY Grundmodell'!V818</f>
        <v>0</v>
      </c>
      <c r="AK731" s="989"/>
      <c r="AL731" s="33">
        <f>'DIY Grundmodell'!X818</f>
        <v>5363.3594800000001</v>
      </c>
    </row>
    <row r="732" spans="32:38" ht="14.1" customHeight="1" x14ac:dyDescent="0.45">
      <c r="AF732" s="988">
        <f>'DIY Grundmodell'!R819</f>
        <v>45761</v>
      </c>
      <c r="AG732" s="89">
        <f>'DIY Grundmodell'!S819</f>
        <v>531.48</v>
      </c>
      <c r="AH732" s="54">
        <f>'DIY Grundmodell'!T819</f>
        <v>7510.3056100000003</v>
      </c>
      <c r="AI732" s="89">
        <f>'DIY Grundmodell'!U819</f>
        <v>531.48</v>
      </c>
      <c r="AJ732" s="89">
        <f>'DIY Grundmodell'!V819</f>
        <v>7510.3056100000003</v>
      </c>
      <c r="AK732" s="989"/>
      <c r="AL732" s="33">
        <f>'DIY Grundmodell'!X819</f>
        <v>5405.9711900000002</v>
      </c>
    </row>
    <row r="733" spans="32:38" ht="14.1" customHeight="1" x14ac:dyDescent="0.45">
      <c r="AF733" s="988">
        <f>'DIY Grundmodell'!R820</f>
        <v>45762</v>
      </c>
      <c r="AG733" s="89">
        <f>'DIY Grundmodell'!S820</f>
        <v>521.52</v>
      </c>
      <c r="AH733" s="54">
        <f>'DIY Grundmodell'!T820</f>
        <v>8114.1518400000004</v>
      </c>
      <c r="AI733" s="89">
        <f>'DIY Grundmodell'!U820</f>
        <v>521.52</v>
      </c>
      <c r="AJ733" s="89">
        <f>'DIY Grundmodell'!V820</f>
        <v>8114.1518400000004</v>
      </c>
      <c r="AK733" s="989"/>
      <c r="AL733" s="33">
        <f>'DIY Grundmodell'!X820</f>
        <v>5396.6346800000001</v>
      </c>
    </row>
    <row r="734" spans="32:38" ht="14.1" customHeight="1" x14ac:dyDescent="0.45">
      <c r="AF734" s="988">
        <f>'DIY Grundmodell'!R821</f>
        <v>45763</v>
      </c>
      <c r="AG734" s="89">
        <f>'DIY Grundmodell'!S821</f>
        <v>502.31</v>
      </c>
      <c r="AH734" s="54">
        <f>'DIY Grundmodell'!T821</f>
        <v>9410.8155200000001</v>
      </c>
      <c r="AI734" s="89">
        <f>'DIY Grundmodell'!U821</f>
        <v>502.31</v>
      </c>
      <c r="AJ734" s="89">
        <f>'DIY Grundmodell'!V821</f>
        <v>9410.8155200000001</v>
      </c>
      <c r="AK734" s="989"/>
      <c r="AL734" s="33">
        <f>'DIY Grundmodell'!X821</f>
        <v>5275.7010600000003</v>
      </c>
    </row>
    <row r="735" spans="32:38" ht="14.1" customHeight="1" x14ac:dyDescent="0.45">
      <c r="AF735" s="988">
        <f>'DIY Grundmodell'!R822</f>
        <v>45764</v>
      </c>
      <c r="AG735" s="89">
        <f>'DIY Grundmodell'!S822</f>
        <v>501.48</v>
      </c>
      <c r="AH735" s="54">
        <f>'DIY Grundmodell'!T822</f>
        <v>7318.35239</v>
      </c>
      <c r="AI735" s="89">
        <f>'DIY Grundmodell'!U822</f>
        <v>501.48</v>
      </c>
      <c r="AJ735" s="89">
        <f>'DIY Grundmodell'!V822</f>
        <v>7318.35239</v>
      </c>
      <c r="AK735" s="989"/>
      <c r="AL735" s="33">
        <f>'DIY Grundmodell'!X822</f>
        <v>5282.7010200000004</v>
      </c>
    </row>
    <row r="736" spans="32:38" ht="14.1" customHeight="1" x14ac:dyDescent="0.45">
      <c r="AF736" s="988">
        <f>'DIY Grundmodell'!R823</f>
        <v>45765</v>
      </c>
      <c r="AG736" s="89" t="e">
        <f>'DIY Grundmodell'!S823</f>
        <v>#N/A</v>
      </c>
      <c r="AH736" s="54" t="e">
        <f>'DIY Grundmodell'!T823</f>
        <v>#N/A</v>
      </c>
      <c r="AI736" s="89">
        <f>'DIY Grundmodell'!U823</f>
        <v>501.48</v>
      </c>
      <c r="AJ736" s="89">
        <f>'DIY Grundmodell'!V823</f>
        <v>0</v>
      </c>
      <c r="AK736" s="989"/>
      <c r="AL736" s="33">
        <f>'DIY Grundmodell'!X823</f>
        <v>5282.7010200000004</v>
      </c>
    </row>
    <row r="737" spans="32:38" ht="14.1" customHeight="1" x14ac:dyDescent="0.45">
      <c r="AF737" s="988">
        <f>'DIY Grundmodell'!R824</f>
        <v>45766</v>
      </c>
      <c r="AG737" s="89" t="e">
        <f>'DIY Grundmodell'!S824</f>
        <v>#N/A</v>
      </c>
      <c r="AH737" s="54" t="e">
        <f>'DIY Grundmodell'!T824</f>
        <v>#N/A</v>
      </c>
      <c r="AI737" s="89">
        <f>'DIY Grundmodell'!U824</f>
        <v>501.48</v>
      </c>
      <c r="AJ737" s="89">
        <f>'DIY Grundmodell'!V824</f>
        <v>0</v>
      </c>
      <c r="AK737" s="989"/>
      <c r="AL737" s="33">
        <f>'DIY Grundmodell'!X824</f>
        <v>5282.7010200000004</v>
      </c>
    </row>
    <row r="738" spans="32:38" ht="14.1" customHeight="1" x14ac:dyDescent="0.45">
      <c r="AF738" s="988">
        <f>'DIY Grundmodell'!R825</f>
        <v>45767</v>
      </c>
      <c r="AG738" s="89" t="e">
        <f>'DIY Grundmodell'!S825</f>
        <v>#N/A</v>
      </c>
      <c r="AH738" s="54" t="e">
        <f>'DIY Grundmodell'!T825</f>
        <v>#N/A</v>
      </c>
      <c r="AI738" s="89">
        <f>'DIY Grundmodell'!U825</f>
        <v>501.48</v>
      </c>
      <c r="AJ738" s="89">
        <f>'DIY Grundmodell'!V825</f>
        <v>0</v>
      </c>
      <c r="AK738" s="989"/>
      <c r="AL738" s="33">
        <f>'DIY Grundmodell'!X825</f>
        <v>5282.7010200000004</v>
      </c>
    </row>
    <row r="739" spans="32:38" ht="14.1" customHeight="1" x14ac:dyDescent="0.45">
      <c r="AF739" s="988">
        <f>'DIY Grundmodell'!R826</f>
        <v>45768</v>
      </c>
      <c r="AG739" s="89">
        <f>'DIY Grundmodell'!S826</f>
        <v>484.66</v>
      </c>
      <c r="AH739" s="54">
        <f>'DIY Grundmodell'!T826</f>
        <v>7835.0048399999996</v>
      </c>
      <c r="AI739" s="89">
        <f>'DIY Grundmodell'!U826</f>
        <v>484.66</v>
      </c>
      <c r="AJ739" s="89">
        <f>'DIY Grundmodell'!V826</f>
        <v>7835.0048399999996</v>
      </c>
      <c r="AK739" s="989"/>
      <c r="AL739" s="33">
        <f>'DIY Grundmodell'!X826</f>
        <v>5158.2026800000003</v>
      </c>
    </row>
    <row r="740" spans="32:38" ht="14.1" customHeight="1" x14ac:dyDescent="0.45">
      <c r="AF740" s="988">
        <f>'DIY Grundmodell'!R827</f>
        <v>45769</v>
      </c>
      <c r="AG740" s="89">
        <f>'DIY Grundmodell'!S827</f>
        <v>500.28</v>
      </c>
      <c r="AH740" s="54">
        <f>'DIY Grundmodell'!T827</f>
        <v>8704.5758299999998</v>
      </c>
      <c r="AI740" s="89">
        <f>'DIY Grundmodell'!U827</f>
        <v>500.28</v>
      </c>
      <c r="AJ740" s="89">
        <f>'DIY Grundmodell'!V827</f>
        <v>8704.5758299999998</v>
      </c>
      <c r="AK740" s="989"/>
      <c r="AL740" s="33">
        <f>'DIY Grundmodell'!X827</f>
        <v>5287.7630099999997</v>
      </c>
    </row>
    <row r="741" spans="32:38" ht="14.1" customHeight="1" x14ac:dyDescent="0.45">
      <c r="AF741" s="988">
        <f>'DIY Grundmodell'!R828</f>
        <v>45770</v>
      </c>
      <c r="AG741" s="89">
        <f>'DIY Grundmodell'!S828</f>
        <v>520.27</v>
      </c>
      <c r="AH741" s="54">
        <f>'DIY Grundmodell'!T828</f>
        <v>9455.3401599999997</v>
      </c>
      <c r="AI741" s="89">
        <f>'DIY Grundmodell'!U828</f>
        <v>520.27</v>
      </c>
      <c r="AJ741" s="89">
        <f>'DIY Grundmodell'!V828</f>
        <v>9455.3401599999997</v>
      </c>
      <c r="AK741" s="989"/>
      <c r="AL741" s="33">
        <f>'DIY Grundmodell'!X828</f>
        <v>5375.8638300000002</v>
      </c>
    </row>
    <row r="742" spans="32:38" ht="14.1" customHeight="1" x14ac:dyDescent="0.45">
      <c r="AF742" s="988">
        <f>'DIY Grundmodell'!R829</f>
        <v>45771</v>
      </c>
      <c r="AG742" s="89">
        <f>'DIY Grundmodell'!S829</f>
        <v>533.15</v>
      </c>
      <c r="AH742" s="54">
        <f>'DIY Grundmodell'!T829</f>
        <v>7416.12237</v>
      </c>
      <c r="AI742" s="89">
        <f>'DIY Grundmodell'!U829</f>
        <v>533.15</v>
      </c>
      <c r="AJ742" s="89">
        <f>'DIY Grundmodell'!V829</f>
        <v>7416.12237</v>
      </c>
      <c r="AK742" s="989"/>
      <c r="AL742" s="33">
        <f>'DIY Grundmodell'!X829</f>
        <v>5484.7738099999997</v>
      </c>
    </row>
    <row r="743" spans="32:38" ht="14.1" customHeight="1" x14ac:dyDescent="0.45">
      <c r="AF743" s="988">
        <f>'DIY Grundmodell'!R830</f>
        <v>45772</v>
      </c>
      <c r="AG743" s="89">
        <f>'DIY Grundmodell'!S830</f>
        <v>547.27</v>
      </c>
      <c r="AH743" s="54">
        <f>'DIY Grundmodell'!T830</f>
        <v>9357.7265000000007</v>
      </c>
      <c r="AI743" s="89">
        <f>'DIY Grundmodell'!U830</f>
        <v>547.27</v>
      </c>
      <c r="AJ743" s="89">
        <f>'DIY Grundmodell'!V830</f>
        <v>9357.7265000000007</v>
      </c>
      <c r="AK743" s="989"/>
      <c r="AL743" s="33">
        <f>'DIY Grundmodell'!X830</f>
        <v>5525.2051199999996</v>
      </c>
    </row>
    <row r="744" spans="32:38" ht="14.1" customHeight="1" x14ac:dyDescent="0.45">
      <c r="AF744" s="988">
        <f>'DIY Grundmodell'!R831</f>
        <v>45773</v>
      </c>
      <c r="AG744" s="89" t="e">
        <f>'DIY Grundmodell'!S831</f>
        <v>#N/A</v>
      </c>
      <c r="AH744" s="54" t="e">
        <f>'DIY Grundmodell'!T831</f>
        <v>#N/A</v>
      </c>
      <c r="AI744" s="89">
        <f>'DIY Grundmodell'!U831</f>
        <v>547.27</v>
      </c>
      <c r="AJ744" s="89">
        <f>'DIY Grundmodell'!V831</f>
        <v>0</v>
      </c>
      <c r="AK744" s="989"/>
      <c r="AL744" s="33">
        <f>'DIY Grundmodell'!X831</f>
        <v>5525.2051199999996</v>
      </c>
    </row>
    <row r="745" spans="32:38" ht="14.1" customHeight="1" x14ac:dyDescent="0.45">
      <c r="AF745" s="988">
        <f>'DIY Grundmodell'!R832</f>
        <v>45774</v>
      </c>
      <c r="AG745" s="89" t="e">
        <f>'DIY Grundmodell'!S832</f>
        <v>#N/A</v>
      </c>
      <c r="AH745" s="54" t="e">
        <f>'DIY Grundmodell'!T832</f>
        <v>#N/A</v>
      </c>
      <c r="AI745" s="89">
        <f>'DIY Grundmodell'!U832</f>
        <v>547.27</v>
      </c>
      <c r="AJ745" s="89">
        <f>'DIY Grundmodell'!V832</f>
        <v>0</v>
      </c>
      <c r="AK745" s="989"/>
      <c r="AL745" s="33">
        <f>'DIY Grundmodell'!X832</f>
        <v>5525.2051199999996</v>
      </c>
    </row>
    <row r="746" spans="32:38" ht="14.1" customHeight="1" x14ac:dyDescent="0.45">
      <c r="AF746" s="988">
        <f>'DIY Grundmodell'!R833</f>
        <v>45775</v>
      </c>
      <c r="AG746" s="89">
        <f>'DIY Grundmodell'!S833</f>
        <v>549.74</v>
      </c>
      <c r="AH746" s="54">
        <f>'DIY Grundmodell'!T833</f>
        <v>8344.5007100000003</v>
      </c>
      <c r="AI746" s="89">
        <f>'DIY Grundmodell'!U833</f>
        <v>549.74</v>
      </c>
      <c r="AJ746" s="89">
        <f>'DIY Grundmodell'!V833</f>
        <v>8344.5007100000003</v>
      </c>
      <c r="AK746" s="989"/>
      <c r="AL746" s="33">
        <f>'DIY Grundmodell'!X833</f>
        <v>5528.7457400000003</v>
      </c>
    </row>
    <row r="747" spans="32:38" ht="14.1" customHeight="1" x14ac:dyDescent="0.45">
      <c r="AF747" s="988">
        <f>'DIY Grundmodell'!R834</f>
        <v>45776</v>
      </c>
      <c r="AG747" s="89">
        <f>'DIY Grundmodell'!S834</f>
        <v>554.44000000000005</v>
      </c>
      <c r="AH747" s="54">
        <f>'DIY Grundmodell'!T834</f>
        <v>6561.81736</v>
      </c>
      <c r="AI747" s="89">
        <f>'DIY Grundmodell'!U834</f>
        <v>554.44000000000005</v>
      </c>
      <c r="AJ747" s="89">
        <f>'DIY Grundmodell'!V834</f>
        <v>6561.81736</v>
      </c>
      <c r="AK747" s="989"/>
      <c r="AL747" s="33">
        <f>'DIY Grundmodell'!X834</f>
        <v>5560.82701</v>
      </c>
    </row>
    <row r="748" spans="32:38" ht="14.1" customHeight="1" x14ac:dyDescent="0.45">
      <c r="AF748" s="988">
        <f>'DIY Grundmodell'!R835</f>
        <v>45777</v>
      </c>
      <c r="AG748" s="89">
        <f>'DIY Grundmodell'!S835</f>
        <v>549</v>
      </c>
      <c r="AH748" s="54">
        <f>'DIY Grundmodell'!T835</f>
        <v>16054.94008</v>
      </c>
      <c r="AI748" s="89">
        <f>'DIY Grundmodell'!U835</f>
        <v>549</v>
      </c>
      <c r="AJ748" s="89">
        <f>'DIY Grundmodell'!V835</f>
        <v>16054.94008</v>
      </c>
      <c r="AK748" s="989"/>
      <c r="AL748" s="33">
        <f>'DIY Grundmodell'!X835</f>
        <v>5569.0646699999998</v>
      </c>
    </row>
    <row r="749" spans="32:38" ht="14.1" customHeight="1" x14ac:dyDescent="0.45">
      <c r="AF749" s="988">
        <f>'DIY Grundmodell'!R836</f>
        <v>45778</v>
      </c>
      <c r="AG749" s="89">
        <f>'DIY Grundmodell'!S836</f>
        <v>572.21</v>
      </c>
      <c r="AH749" s="54">
        <f>'DIY Grundmodell'!T836</f>
        <v>17829.510269999999</v>
      </c>
      <c r="AI749" s="89">
        <f>'DIY Grundmodell'!U836</f>
        <v>572.21</v>
      </c>
      <c r="AJ749" s="89">
        <f>'DIY Grundmodell'!V836</f>
        <v>17829.510269999999</v>
      </c>
      <c r="AK749" s="989"/>
      <c r="AL749" s="33">
        <f>'DIY Grundmodell'!X836</f>
        <v>5604.1413300000004</v>
      </c>
    </row>
    <row r="750" spans="32:38" ht="14.1" customHeight="1" x14ac:dyDescent="0.45">
      <c r="AF750" s="988">
        <f>'DIY Grundmodell'!R837</f>
        <v>45779</v>
      </c>
      <c r="AG750" s="89">
        <f>'DIY Grundmodell'!S837</f>
        <v>597.02</v>
      </c>
      <c r="AH750" s="54">
        <f>'DIY Grundmodell'!T837</f>
        <v>14769.83301</v>
      </c>
      <c r="AI750" s="89">
        <f>'DIY Grundmodell'!U837</f>
        <v>597.02</v>
      </c>
      <c r="AJ750" s="89">
        <f>'DIY Grundmodell'!V837</f>
        <v>14769.83301</v>
      </c>
      <c r="AK750" s="989"/>
      <c r="AL750" s="33">
        <f>'DIY Grundmodell'!X837</f>
        <v>5686.6748299999999</v>
      </c>
    </row>
    <row r="751" spans="32:38" ht="14.1" customHeight="1" x14ac:dyDescent="0.45">
      <c r="AF751" s="988">
        <f>'DIY Grundmodell'!R838</f>
        <v>45780</v>
      </c>
      <c r="AG751" s="89" t="e">
        <f>'DIY Grundmodell'!S838</f>
        <v>#N/A</v>
      </c>
      <c r="AH751" s="54" t="e">
        <f>'DIY Grundmodell'!T838</f>
        <v>#N/A</v>
      </c>
      <c r="AI751" s="89">
        <f>'DIY Grundmodell'!U838</f>
        <v>597.02</v>
      </c>
      <c r="AJ751" s="89">
        <f>'DIY Grundmodell'!V838</f>
        <v>0</v>
      </c>
      <c r="AK751" s="989"/>
      <c r="AL751" s="33">
        <f>'DIY Grundmodell'!X838</f>
        <v>5686.6748299999999</v>
      </c>
    </row>
    <row r="752" spans="32:38" ht="14.1" customHeight="1" x14ac:dyDescent="0.45">
      <c r="AF752" s="988">
        <f>'DIY Grundmodell'!R839</f>
        <v>45781</v>
      </c>
      <c r="AG752" s="89" t="e">
        <f>'DIY Grundmodell'!S839</f>
        <v>#N/A</v>
      </c>
      <c r="AH752" s="54" t="e">
        <f>'DIY Grundmodell'!T839</f>
        <v>#N/A</v>
      </c>
      <c r="AI752" s="89">
        <f>'DIY Grundmodell'!U839</f>
        <v>597.02</v>
      </c>
      <c r="AJ752" s="89">
        <f>'DIY Grundmodell'!V839</f>
        <v>0</v>
      </c>
      <c r="AK752" s="989"/>
      <c r="AL752" s="33">
        <f>'DIY Grundmodell'!X839</f>
        <v>5686.6748299999999</v>
      </c>
    </row>
    <row r="753" spans="32:38" ht="14.1" customHeight="1" x14ac:dyDescent="0.45">
      <c r="AF753" s="988">
        <f>'DIY Grundmodell'!R840</f>
        <v>45782</v>
      </c>
      <c r="AG753" s="89">
        <f>'DIY Grundmodell'!S840</f>
        <v>599.27</v>
      </c>
      <c r="AH753" s="54">
        <f>'DIY Grundmodell'!T840</f>
        <v>8322.4963599999992</v>
      </c>
      <c r="AI753" s="89">
        <f>'DIY Grundmodell'!U840</f>
        <v>599.27</v>
      </c>
      <c r="AJ753" s="89">
        <f>'DIY Grundmodell'!V840</f>
        <v>8322.4963599999992</v>
      </c>
      <c r="AK753" s="989"/>
      <c r="AL753" s="33">
        <f>'DIY Grundmodell'!X840</f>
        <v>5650.3816699999998</v>
      </c>
    </row>
    <row r="754" spans="32:38" ht="14.1" customHeight="1" x14ac:dyDescent="0.45">
      <c r="AF754" s="988">
        <f>'DIY Grundmodell'!R841</f>
        <v>45783</v>
      </c>
      <c r="AG754" s="89">
        <f>'DIY Grundmodell'!S841</f>
        <v>587.30999999999995</v>
      </c>
      <c r="AH754" s="54">
        <f>'DIY Grundmodell'!T841</f>
        <v>6225.8677500000003</v>
      </c>
      <c r="AI754" s="89">
        <f>'DIY Grundmodell'!U841</f>
        <v>587.30999999999995</v>
      </c>
      <c r="AJ754" s="89">
        <f>'DIY Grundmodell'!V841</f>
        <v>6225.8677500000003</v>
      </c>
      <c r="AK754" s="989"/>
      <c r="AL754" s="33">
        <f>'DIY Grundmodell'!X841</f>
        <v>5606.9067999999997</v>
      </c>
    </row>
    <row r="755" spans="32:38" ht="14.1" customHeight="1" x14ac:dyDescent="0.45">
      <c r="AF755" s="988">
        <f>'DIY Grundmodell'!R842</f>
        <v>45784</v>
      </c>
      <c r="AG755" s="89">
        <f>'DIY Grundmodell'!S842</f>
        <v>596.80999999999995</v>
      </c>
      <c r="AH755" s="54">
        <f>'DIY Grundmodell'!T842</f>
        <v>7854.6020900000003</v>
      </c>
      <c r="AI755" s="89">
        <f>'DIY Grundmodell'!U842</f>
        <v>596.80999999999995</v>
      </c>
      <c r="AJ755" s="89">
        <f>'DIY Grundmodell'!V842</f>
        <v>7854.6020900000003</v>
      </c>
      <c r="AK755" s="989"/>
      <c r="AL755" s="33">
        <f>'DIY Grundmodell'!X842</f>
        <v>5631.28431</v>
      </c>
    </row>
    <row r="756" spans="32:38" ht="14.1" customHeight="1" x14ac:dyDescent="0.45">
      <c r="AF756" s="988">
        <f>'DIY Grundmodell'!R843</f>
        <v>45785</v>
      </c>
      <c r="AG756" s="89">
        <f>'DIY Grundmodell'!S843</f>
        <v>598.01</v>
      </c>
      <c r="AH756" s="54">
        <f>'DIY Grundmodell'!T843</f>
        <v>8744.5836199999994</v>
      </c>
      <c r="AI756" s="89">
        <f>'DIY Grundmodell'!U843</f>
        <v>598.01</v>
      </c>
      <c r="AJ756" s="89">
        <f>'DIY Grundmodell'!V843</f>
        <v>8744.5836199999994</v>
      </c>
      <c r="AK756" s="989"/>
      <c r="AL756" s="33">
        <f>'DIY Grundmodell'!X843</f>
        <v>5663.9393099999998</v>
      </c>
    </row>
    <row r="757" spans="32:38" ht="14.1" customHeight="1" x14ac:dyDescent="0.45">
      <c r="AF757" s="988">
        <f>'DIY Grundmodell'!R844</f>
        <v>45786</v>
      </c>
      <c r="AG757" s="89">
        <f>'DIY Grundmodell'!S844</f>
        <v>592.49</v>
      </c>
      <c r="AH757" s="54">
        <f>'DIY Grundmodell'!T844</f>
        <v>6178.06268</v>
      </c>
      <c r="AI757" s="89">
        <f>'DIY Grundmodell'!U844</f>
        <v>592.49</v>
      </c>
      <c r="AJ757" s="89">
        <f>'DIY Grundmodell'!V844</f>
        <v>6178.06268</v>
      </c>
      <c r="AK757" s="989"/>
      <c r="AL757" s="33">
        <f>'DIY Grundmodell'!X844</f>
        <v>5659.9122500000003</v>
      </c>
    </row>
    <row r="758" spans="32:38" ht="14.1" customHeight="1" x14ac:dyDescent="0.45">
      <c r="AF758" s="988">
        <f>'DIY Grundmodell'!R845</f>
        <v>45787</v>
      </c>
      <c r="AG758" s="89" t="e">
        <f>'DIY Grundmodell'!S845</f>
        <v>#N/A</v>
      </c>
      <c r="AH758" s="54" t="e">
        <f>'DIY Grundmodell'!T845</f>
        <v>#N/A</v>
      </c>
      <c r="AI758" s="89">
        <f>'DIY Grundmodell'!U845</f>
        <v>592.49</v>
      </c>
      <c r="AJ758" s="89">
        <f>'DIY Grundmodell'!V845</f>
        <v>0</v>
      </c>
      <c r="AK758" s="989"/>
      <c r="AL758" s="33">
        <f>'DIY Grundmodell'!X845</f>
        <v>5659.9122500000003</v>
      </c>
    </row>
    <row r="759" spans="32:38" ht="14.1" customHeight="1" x14ac:dyDescent="0.45">
      <c r="AF759" s="988">
        <f>'DIY Grundmodell'!R846</f>
        <v>45788</v>
      </c>
      <c r="AG759" s="89" t="e">
        <f>'DIY Grundmodell'!S846</f>
        <v>#N/A</v>
      </c>
      <c r="AH759" s="54" t="e">
        <f>'DIY Grundmodell'!T846</f>
        <v>#N/A</v>
      </c>
      <c r="AI759" s="89">
        <f>'DIY Grundmodell'!U846</f>
        <v>592.49</v>
      </c>
      <c r="AJ759" s="89">
        <f>'DIY Grundmodell'!V846</f>
        <v>0</v>
      </c>
      <c r="AK759" s="989"/>
      <c r="AL759" s="33">
        <f>'DIY Grundmodell'!X846</f>
        <v>5659.9122500000003</v>
      </c>
    </row>
    <row r="760" spans="32:38" ht="14.1" customHeight="1" x14ac:dyDescent="0.45">
      <c r="AF760" s="988">
        <f>'DIY Grundmodell'!R847</f>
        <v>45789</v>
      </c>
      <c r="AG760" s="89">
        <f>'DIY Grundmodell'!S847</f>
        <v>639.42999999999995</v>
      </c>
      <c r="AH760" s="54">
        <f>'DIY Grundmodell'!T847</f>
        <v>14045.1343</v>
      </c>
      <c r="AI760" s="89">
        <f>'DIY Grundmodell'!U847</f>
        <v>639.42999999999995</v>
      </c>
      <c r="AJ760" s="89">
        <f>'DIY Grundmodell'!V847</f>
        <v>14045.1343</v>
      </c>
      <c r="AK760" s="989"/>
      <c r="AL760" s="33">
        <f>'DIY Grundmodell'!X847</f>
        <v>5844.1866900000005</v>
      </c>
    </row>
    <row r="761" spans="32:38" ht="14.1" customHeight="1" x14ac:dyDescent="0.45">
      <c r="AF761" s="988">
        <f>'DIY Grundmodell'!R848</f>
        <v>45790</v>
      </c>
      <c r="AG761" s="89">
        <f>'DIY Grundmodell'!S848</f>
        <v>656.03</v>
      </c>
      <c r="AH761" s="54">
        <f>'DIY Grundmodell'!T848</f>
        <v>12183.0157</v>
      </c>
      <c r="AI761" s="89">
        <f>'DIY Grundmodell'!U848</f>
        <v>656.03</v>
      </c>
      <c r="AJ761" s="89">
        <f>'DIY Grundmodell'!V848</f>
        <v>12183.0157</v>
      </c>
      <c r="AK761" s="989"/>
      <c r="AL761" s="33">
        <f>'DIY Grundmodell'!X848</f>
        <v>5886.5528100000001</v>
      </c>
    </row>
    <row r="762" spans="32:38" ht="14.1" customHeight="1" x14ac:dyDescent="0.45">
      <c r="AF762" s="988">
        <f>'DIY Grundmodell'!R849</f>
        <v>45791</v>
      </c>
      <c r="AG762" s="89">
        <f>'DIY Grundmodell'!S849</f>
        <v>659.36</v>
      </c>
      <c r="AH762" s="54">
        <f>'DIY Grundmodell'!T849</f>
        <v>8141.8953099999999</v>
      </c>
      <c r="AI762" s="89">
        <f>'DIY Grundmodell'!U849</f>
        <v>659.36</v>
      </c>
      <c r="AJ762" s="89">
        <f>'DIY Grundmodell'!V849</f>
        <v>8141.8953099999999</v>
      </c>
      <c r="AK762" s="989"/>
      <c r="AL762" s="33">
        <f>'DIY Grundmodell'!X849</f>
        <v>5892.5844900000002</v>
      </c>
    </row>
    <row r="763" spans="32:38" ht="14.1" customHeight="1" x14ac:dyDescent="0.45">
      <c r="AF763" s="988">
        <f>'DIY Grundmodell'!R850</f>
        <v>45792</v>
      </c>
      <c r="AG763" s="89">
        <f>'DIY Grundmodell'!S850</f>
        <v>643.88</v>
      </c>
      <c r="AH763" s="54">
        <f>'DIY Grundmodell'!T850</f>
        <v>9234.4207200000001</v>
      </c>
      <c r="AI763" s="89">
        <f>'DIY Grundmodell'!U850</f>
        <v>643.88</v>
      </c>
      <c r="AJ763" s="89">
        <f>'DIY Grundmodell'!V850</f>
        <v>9234.4207200000001</v>
      </c>
      <c r="AK763" s="989"/>
      <c r="AL763" s="33">
        <f>'DIY Grundmodell'!X850</f>
        <v>5916.9260800000002</v>
      </c>
    </row>
    <row r="764" spans="32:38" ht="14.1" customHeight="1" x14ac:dyDescent="0.45">
      <c r="AF764" s="988">
        <f>'DIY Grundmodell'!R851</f>
        <v>45793</v>
      </c>
      <c r="AG764" s="89">
        <f>'DIY Grundmodell'!S851</f>
        <v>640.34</v>
      </c>
      <c r="AH764" s="54">
        <f>'DIY Grundmodell'!T851</f>
        <v>11858.438529999999</v>
      </c>
      <c r="AI764" s="89">
        <f>'DIY Grundmodell'!U851</f>
        <v>640.34</v>
      </c>
      <c r="AJ764" s="89">
        <f>'DIY Grundmodell'!V851</f>
        <v>11858.438529999999</v>
      </c>
      <c r="AK764" s="989"/>
      <c r="AL764" s="33">
        <f>'DIY Grundmodell'!X851</f>
        <v>5958.3755300000003</v>
      </c>
    </row>
    <row r="765" spans="32:38" ht="14.1" customHeight="1" x14ac:dyDescent="0.45">
      <c r="AF765" s="988">
        <f>'DIY Grundmodell'!R852</f>
        <v>45794</v>
      </c>
      <c r="AG765" s="89" t="e">
        <f>'DIY Grundmodell'!S852</f>
        <v>#N/A</v>
      </c>
      <c r="AH765" s="54" t="e">
        <f>'DIY Grundmodell'!T852</f>
        <v>#N/A</v>
      </c>
      <c r="AI765" s="89">
        <f>'DIY Grundmodell'!U852</f>
        <v>640.34</v>
      </c>
      <c r="AJ765" s="89">
        <f>'DIY Grundmodell'!V852</f>
        <v>0</v>
      </c>
      <c r="AK765" s="989"/>
      <c r="AL765" s="33">
        <f>'DIY Grundmodell'!X852</f>
        <v>5958.3755300000003</v>
      </c>
    </row>
    <row r="766" spans="32:38" ht="14.1" customHeight="1" x14ac:dyDescent="0.45">
      <c r="AF766" s="988">
        <f>'DIY Grundmodell'!R853</f>
        <v>45795</v>
      </c>
      <c r="AG766" s="89" t="e">
        <f>'DIY Grundmodell'!S853</f>
        <v>#N/A</v>
      </c>
      <c r="AH766" s="54" t="e">
        <f>'DIY Grundmodell'!T853</f>
        <v>#N/A</v>
      </c>
      <c r="AI766" s="89">
        <f>'DIY Grundmodell'!U853</f>
        <v>640.34</v>
      </c>
      <c r="AJ766" s="89">
        <f>'DIY Grundmodell'!V853</f>
        <v>0</v>
      </c>
      <c r="AK766" s="989"/>
      <c r="AL766" s="33">
        <f>'DIY Grundmodell'!X853</f>
        <v>5958.3755300000003</v>
      </c>
    </row>
    <row r="767" spans="32:38" ht="14.1" customHeight="1" x14ac:dyDescent="0.45">
      <c r="AF767" s="988">
        <f>'DIY Grundmodell'!R854</f>
        <v>45796</v>
      </c>
      <c r="AG767" s="89">
        <f>'DIY Grundmodell'!S854</f>
        <v>640.42999999999995</v>
      </c>
      <c r="AH767" s="54">
        <f>'DIY Grundmodell'!T854</f>
        <v>6143.2440800000004</v>
      </c>
      <c r="AI767" s="89">
        <f>'DIY Grundmodell'!U854</f>
        <v>640.42999999999995</v>
      </c>
      <c r="AJ767" s="89">
        <f>'DIY Grundmodell'!V854</f>
        <v>6143.2440800000004</v>
      </c>
      <c r="AK767" s="989"/>
      <c r="AL767" s="33">
        <f>'DIY Grundmodell'!X854</f>
        <v>5963.6043499999996</v>
      </c>
    </row>
    <row r="768" spans="32:38" ht="14.1" customHeight="1" x14ac:dyDescent="0.45">
      <c r="AF768" s="988">
        <f>'DIY Grundmodell'!R855</f>
        <v>45797</v>
      </c>
      <c r="AG768" s="89">
        <f>'DIY Grundmodell'!S855</f>
        <v>637.1</v>
      </c>
      <c r="AH768" s="54">
        <f>'DIY Grundmodell'!T855</f>
        <v>4296.2666499999996</v>
      </c>
      <c r="AI768" s="89">
        <f>'DIY Grundmodell'!U855</f>
        <v>637.1</v>
      </c>
      <c r="AJ768" s="89">
        <f>'DIY Grundmodell'!V855</f>
        <v>4296.2666499999996</v>
      </c>
      <c r="AK768" s="989"/>
      <c r="AL768" s="33">
        <f>'DIY Grundmodell'!X855</f>
        <v>5940.4637499999999</v>
      </c>
    </row>
    <row r="769" spans="32:38" ht="14.1" customHeight="1" x14ac:dyDescent="0.45">
      <c r="AF769" s="988">
        <f>'DIY Grundmodell'!R856</f>
        <v>45798</v>
      </c>
      <c r="AG769" s="89">
        <f>'DIY Grundmodell'!S856</f>
        <v>635.5</v>
      </c>
      <c r="AH769" s="54">
        <f>'DIY Grundmodell'!T856</f>
        <v>7285.7335999999996</v>
      </c>
      <c r="AI769" s="89">
        <f>'DIY Grundmodell'!U856</f>
        <v>635.5</v>
      </c>
      <c r="AJ769" s="89">
        <f>'DIY Grundmodell'!V856</f>
        <v>7285.7335999999996</v>
      </c>
      <c r="AK769" s="989"/>
      <c r="AL769" s="33">
        <f>'DIY Grundmodell'!X856</f>
        <v>5844.6121300000004</v>
      </c>
    </row>
    <row r="770" spans="32:38" ht="14.1" customHeight="1" x14ac:dyDescent="0.45">
      <c r="AF770" s="988">
        <f>'DIY Grundmodell'!R857</f>
        <v>45799</v>
      </c>
      <c r="AG770" s="89">
        <f>'DIY Grundmodell'!S857</f>
        <v>636.57000000000005</v>
      </c>
      <c r="AH770" s="54">
        <f>'DIY Grundmodell'!T857</f>
        <v>5237.9799599999997</v>
      </c>
      <c r="AI770" s="89">
        <f>'DIY Grundmodell'!U857</f>
        <v>636.57000000000005</v>
      </c>
      <c r="AJ770" s="89">
        <f>'DIY Grundmodell'!V857</f>
        <v>5237.9799599999997</v>
      </c>
      <c r="AK770" s="989"/>
      <c r="AL770" s="33">
        <f>'DIY Grundmodell'!X857</f>
        <v>5842.0083100000002</v>
      </c>
    </row>
    <row r="771" spans="32:38" ht="14.1" customHeight="1" x14ac:dyDescent="0.45">
      <c r="AF771" s="988">
        <f>'DIY Grundmodell'!R858</f>
        <v>45800</v>
      </c>
      <c r="AG771" s="89">
        <f>'DIY Grundmodell'!S858</f>
        <v>627.05999999999995</v>
      </c>
      <c r="AH771" s="54">
        <f>'DIY Grundmodell'!T858</f>
        <v>5301.2072500000004</v>
      </c>
      <c r="AI771" s="89">
        <f>'DIY Grundmodell'!U858</f>
        <v>627.05999999999995</v>
      </c>
      <c r="AJ771" s="89">
        <f>'DIY Grundmodell'!V858</f>
        <v>5301.2072500000004</v>
      </c>
      <c r="AK771" s="989"/>
      <c r="AL771" s="33">
        <f>'DIY Grundmodell'!X858</f>
        <v>5802.8150800000003</v>
      </c>
    </row>
    <row r="772" spans="32:38" ht="14.1" customHeight="1" x14ac:dyDescent="0.45">
      <c r="AF772" s="988">
        <f>'DIY Grundmodell'!R859</f>
        <v>45801</v>
      </c>
      <c r="AG772" s="89" t="e">
        <f>'DIY Grundmodell'!S859</f>
        <v>#N/A</v>
      </c>
      <c r="AH772" s="54" t="e">
        <f>'DIY Grundmodell'!T859</f>
        <v>#N/A</v>
      </c>
      <c r="AI772" s="89">
        <f>'DIY Grundmodell'!U859</f>
        <v>627.05999999999995</v>
      </c>
      <c r="AJ772" s="89">
        <f>'DIY Grundmodell'!V859</f>
        <v>0</v>
      </c>
      <c r="AK772" s="989"/>
      <c r="AL772" s="33">
        <f>'DIY Grundmodell'!X859</f>
        <v>5802.8150800000003</v>
      </c>
    </row>
    <row r="773" spans="32:38" ht="14.1" customHeight="1" x14ac:dyDescent="0.45">
      <c r="AF773" s="988">
        <f>'DIY Grundmodell'!R860</f>
        <v>45802</v>
      </c>
      <c r="AG773" s="89" t="e">
        <f>'DIY Grundmodell'!S860</f>
        <v>#N/A</v>
      </c>
      <c r="AH773" s="54" t="e">
        <f>'DIY Grundmodell'!T860</f>
        <v>#N/A</v>
      </c>
      <c r="AI773" s="89">
        <f>'DIY Grundmodell'!U860</f>
        <v>627.05999999999995</v>
      </c>
      <c r="AJ773" s="89">
        <f>'DIY Grundmodell'!V860</f>
        <v>0</v>
      </c>
      <c r="AK773" s="989"/>
      <c r="AL773" s="33">
        <f>'DIY Grundmodell'!X860</f>
        <v>5802.8150800000003</v>
      </c>
    </row>
    <row r="774" spans="32:38" ht="14.1" customHeight="1" x14ac:dyDescent="0.45">
      <c r="AF774" s="988">
        <f>'DIY Grundmodell'!R861</f>
        <v>45803</v>
      </c>
      <c r="AG774" s="89" t="e">
        <f>'DIY Grundmodell'!S861</f>
        <v>#N/A</v>
      </c>
      <c r="AH774" s="54" t="e">
        <f>'DIY Grundmodell'!T861</f>
        <v>#N/A</v>
      </c>
      <c r="AI774" s="89">
        <f>'DIY Grundmodell'!U861</f>
        <v>627.05999999999995</v>
      </c>
      <c r="AJ774" s="89">
        <f>'DIY Grundmodell'!V861</f>
        <v>0</v>
      </c>
      <c r="AK774" s="989"/>
      <c r="AL774" s="33">
        <f>'DIY Grundmodell'!X861</f>
        <v>5802.8150800000003</v>
      </c>
    </row>
    <row r="775" spans="32:38" ht="14.1" customHeight="1" x14ac:dyDescent="0.45">
      <c r="AF775" s="988">
        <f>'DIY Grundmodell'!R862</f>
        <v>45804</v>
      </c>
      <c r="AG775" s="89">
        <f>'DIY Grundmodell'!S862</f>
        <v>642.32000000000005</v>
      </c>
      <c r="AH775" s="54">
        <f>'DIY Grundmodell'!T862</f>
        <v>6107.4142899999997</v>
      </c>
      <c r="AI775" s="89">
        <f>'DIY Grundmodell'!U862</f>
        <v>642.32000000000005</v>
      </c>
      <c r="AJ775" s="89">
        <f>'DIY Grundmodell'!V862</f>
        <v>6107.4142899999997</v>
      </c>
      <c r="AK775" s="989"/>
      <c r="AL775" s="33">
        <f>'DIY Grundmodell'!X862</f>
        <v>5921.5403500000002</v>
      </c>
    </row>
    <row r="776" spans="32:38" ht="14.1" customHeight="1" x14ac:dyDescent="0.45">
      <c r="AF776" s="988">
        <f>'DIY Grundmodell'!R863</f>
        <v>45805</v>
      </c>
      <c r="AG776" s="89">
        <f>'DIY Grundmodell'!S863</f>
        <v>643.58000000000004</v>
      </c>
      <c r="AH776" s="54">
        <f>'DIY Grundmodell'!T863</f>
        <v>5819.8128500000003</v>
      </c>
      <c r="AI776" s="89">
        <f>'DIY Grundmodell'!U863</f>
        <v>643.58000000000004</v>
      </c>
      <c r="AJ776" s="89">
        <f>'DIY Grundmodell'!V863</f>
        <v>5819.8128500000003</v>
      </c>
      <c r="AK776" s="989"/>
      <c r="AL776" s="33">
        <f>'DIY Grundmodell'!X863</f>
        <v>5888.5525799999996</v>
      </c>
    </row>
    <row r="777" spans="32:38" ht="14.1" customHeight="1" x14ac:dyDescent="0.45">
      <c r="AF777" s="988">
        <f>'DIY Grundmodell'!R864</f>
        <v>45806</v>
      </c>
      <c r="AG777" s="89">
        <f>'DIY Grundmodell'!S864</f>
        <v>645.04999999999995</v>
      </c>
      <c r="AH777" s="54">
        <f>'DIY Grundmodell'!T864</f>
        <v>5730.2603900000004</v>
      </c>
      <c r="AI777" s="89">
        <f>'DIY Grundmodell'!U864</f>
        <v>645.04999999999995</v>
      </c>
      <c r="AJ777" s="89">
        <f>'DIY Grundmodell'!V864</f>
        <v>5730.2603900000004</v>
      </c>
      <c r="AK777" s="989"/>
      <c r="AL777" s="33">
        <f>'DIY Grundmodell'!X864</f>
        <v>5912.1727199999996</v>
      </c>
    </row>
    <row r="778" spans="32:38" ht="14.1" customHeight="1" x14ac:dyDescent="0.45">
      <c r="AF778" s="988">
        <f>'DIY Grundmodell'!R865</f>
        <v>45807</v>
      </c>
      <c r="AG778" s="89">
        <f>'DIY Grundmodell'!S865</f>
        <v>647.49</v>
      </c>
      <c r="AH778" s="54">
        <f>'DIY Grundmodell'!T865</f>
        <v>10515.853359999999</v>
      </c>
      <c r="AI778" s="89">
        <f>'DIY Grundmodell'!U865</f>
        <v>647.49</v>
      </c>
      <c r="AJ778" s="89">
        <f>'DIY Grundmodell'!V865</f>
        <v>10515.853359999999</v>
      </c>
      <c r="AK778" s="989"/>
      <c r="AL778" s="33">
        <f>'DIY Grundmodell'!X865</f>
        <v>5911.6867199999997</v>
      </c>
    </row>
    <row r="779" spans="32:38" ht="14.1" customHeight="1" x14ac:dyDescent="0.45">
      <c r="AF779" s="988">
        <f>'DIY Grundmodell'!R866</f>
        <v>45808</v>
      </c>
      <c r="AG779" s="89" t="e">
        <f>'DIY Grundmodell'!S866</f>
        <v>#N/A</v>
      </c>
      <c r="AH779" s="54" t="e">
        <f>'DIY Grundmodell'!T866</f>
        <v>#N/A</v>
      </c>
      <c r="AI779" s="89">
        <f>'DIY Grundmodell'!U866</f>
        <v>647.49</v>
      </c>
      <c r="AJ779" s="89">
        <f>'DIY Grundmodell'!V866</f>
        <v>0</v>
      </c>
      <c r="AK779" s="989"/>
      <c r="AL779" s="33">
        <f>'DIY Grundmodell'!X866</f>
        <v>5911.6867199999997</v>
      </c>
    </row>
    <row r="780" spans="32:38" ht="14.1" customHeight="1" x14ac:dyDescent="0.45">
      <c r="AF780" s="988">
        <f>'DIY Grundmodell'!R867</f>
        <v>45809</v>
      </c>
      <c r="AG780" s="89" t="e">
        <f>'DIY Grundmodell'!S867</f>
        <v>#N/A</v>
      </c>
      <c r="AH780" s="54" t="e">
        <f>'DIY Grundmodell'!T867</f>
        <v>#N/A</v>
      </c>
      <c r="AI780" s="89">
        <f>'DIY Grundmodell'!U867</f>
        <v>647.49</v>
      </c>
      <c r="AJ780" s="89">
        <f>'DIY Grundmodell'!V867</f>
        <v>0</v>
      </c>
      <c r="AK780" s="989"/>
      <c r="AL780" s="33">
        <f>'DIY Grundmodell'!X867</f>
        <v>5911.6867199999997</v>
      </c>
    </row>
    <row r="781" spans="32:38" ht="14.1" customHeight="1" x14ac:dyDescent="0.45">
      <c r="AF781" s="988">
        <f>'DIY Grundmodell'!R868</f>
        <v>45810</v>
      </c>
      <c r="AG781" s="89">
        <f>'DIY Grundmodell'!S868</f>
        <v>670.9</v>
      </c>
      <c r="AH781" s="54">
        <f>'DIY Grundmodell'!T868</f>
        <v>10577.582490000001</v>
      </c>
      <c r="AI781" s="89">
        <f>'DIY Grundmodell'!U868</f>
        <v>670.9</v>
      </c>
      <c r="AJ781" s="89">
        <f>'DIY Grundmodell'!V868</f>
        <v>10577.582490000001</v>
      </c>
      <c r="AK781" s="989"/>
      <c r="AL781" s="33">
        <f>'DIY Grundmodell'!X868</f>
        <v>5935.9409599999999</v>
      </c>
    </row>
    <row r="782" spans="32:38" ht="14.1" customHeight="1" x14ac:dyDescent="0.45">
      <c r="AF782" s="988">
        <f>'DIY Grundmodell'!R869</f>
        <v>45811</v>
      </c>
      <c r="AG782" s="89">
        <f>'DIY Grundmodell'!S869</f>
        <v>666.85</v>
      </c>
      <c r="AH782" s="54">
        <f>'DIY Grundmodell'!T869</f>
        <v>7725.4779200000003</v>
      </c>
      <c r="AI782" s="89">
        <f>'DIY Grundmodell'!U869</f>
        <v>666.85</v>
      </c>
      <c r="AJ782" s="89">
        <f>'DIY Grundmodell'!V869</f>
        <v>7725.4779200000003</v>
      </c>
      <c r="AK782" s="989"/>
      <c r="AL782" s="33">
        <f>'DIY Grundmodell'!X869</f>
        <v>5970.3682399999998</v>
      </c>
    </row>
    <row r="783" spans="32:38" ht="14.1" customHeight="1" x14ac:dyDescent="0.45">
      <c r="AF783" s="988">
        <f>'DIY Grundmodell'!R870</f>
        <v>45812</v>
      </c>
      <c r="AG783" s="89">
        <f>'DIY Grundmodell'!S870</f>
        <v>687.95</v>
      </c>
      <c r="AH783" s="54">
        <f>'DIY Grundmodell'!T870</f>
        <v>9653.2669299999998</v>
      </c>
      <c r="AI783" s="89">
        <f>'DIY Grundmodell'!U870</f>
        <v>687.95</v>
      </c>
      <c r="AJ783" s="89">
        <f>'DIY Grundmodell'!V870</f>
        <v>9653.2669299999998</v>
      </c>
      <c r="AK783" s="989"/>
      <c r="AL783" s="33">
        <f>'DIY Grundmodell'!X870</f>
        <v>5970.8132400000004</v>
      </c>
    </row>
    <row r="784" spans="32:38" ht="14.1" customHeight="1" x14ac:dyDescent="0.45">
      <c r="AF784" s="988">
        <f>'DIY Grundmodell'!R871</f>
        <v>45813</v>
      </c>
      <c r="AG784" s="89">
        <f>'DIY Grundmodell'!S871</f>
        <v>684.62</v>
      </c>
      <c r="AH784" s="54">
        <f>'DIY Grundmodell'!T871</f>
        <v>8982.4437500000004</v>
      </c>
      <c r="AI784" s="89">
        <f>'DIY Grundmodell'!U871</f>
        <v>684.62</v>
      </c>
      <c r="AJ784" s="89">
        <f>'DIY Grundmodell'!V871</f>
        <v>8982.4437500000004</v>
      </c>
      <c r="AK784" s="989"/>
      <c r="AL784" s="33">
        <f>'DIY Grundmodell'!X871</f>
        <v>5939.30332</v>
      </c>
    </row>
    <row r="785" spans="32:38" ht="14.1" customHeight="1" x14ac:dyDescent="0.45">
      <c r="AF785" s="988">
        <f>'DIY Grundmodell'!R872</f>
        <v>45814</v>
      </c>
      <c r="AG785" s="89">
        <f>'DIY Grundmodell'!S872</f>
        <v>697.71</v>
      </c>
      <c r="AH785" s="54">
        <f>'DIY Grundmodell'!T872</f>
        <v>8182.7156699999996</v>
      </c>
      <c r="AI785" s="89">
        <f>'DIY Grundmodell'!U872</f>
        <v>697.71</v>
      </c>
      <c r="AJ785" s="89">
        <f>'DIY Grundmodell'!V872</f>
        <v>8182.7156699999996</v>
      </c>
      <c r="AK785" s="989"/>
      <c r="AL785" s="33">
        <f>'DIY Grundmodell'!X872</f>
        <v>6000.3551299999999</v>
      </c>
    </row>
    <row r="786" spans="32:38" ht="14.1" customHeight="1" x14ac:dyDescent="0.45">
      <c r="AF786" s="988">
        <f>'DIY Grundmodell'!R873</f>
        <v>45815</v>
      </c>
      <c r="AG786" s="89" t="e">
        <f>'DIY Grundmodell'!S873</f>
        <v>#N/A</v>
      </c>
      <c r="AH786" s="54" t="e">
        <f>'DIY Grundmodell'!T873</f>
        <v>#N/A</v>
      </c>
      <c r="AI786" s="89">
        <f>'DIY Grundmodell'!U873</f>
        <v>697.71</v>
      </c>
      <c r="AJ786" s="89">
        <f>'DIY Grundmodell'!V873</f>
        <v>0</v>
      </c>
      <c r="AK786" s="989"/>
      <c r="AL786" s="33">
        <f>'DIY Grundmodell'!X873</f>
        <v>6000.3551299999999</v>
      </c>
    </row>
    <row r="787" spans="32:38" ht="14.1" customHeight="1" x14ac:dyDescent="0.45">
      <c r="AF787" s="988">
        <f>'DIY Grundmodell'!R874</f>
        <v>45816</v>
      </c>
      <c r="AG787" s="89" t="e">
        <f>'DIY Grundmodell'!S874</f>
        <v>#N/A</v>
      </c>
      <c r="AH787" s="54" t="e">
        <f>'DIY Grundmodell'!T874</f>
        <v>#N/A</v>
      </c>
      <c r="AI787" s="89">
        <f>'DIY Grundmodell'!U874</f>
        <v>697.71</v>
      </c>
      <c r="AJ787" s="89">
        <f>'DIY Grundmodell'!V874</f>
        <v>0</v>
      </c>
      <c r="AK787" s="989"/>
      <c r="AL787" s="33">
        <f>'DIY Grundmodell'!X874</f>
        <v>6000.3551299999999</v>
      </c>
    </row>
    <row r="788" spans="32:38" ht="14.1" customHeight="1" x14ac:dyDescent="0.45">
      <c r="AF788" s="988">
        <f>'DIY Grundmodell'!R875</f>
        <v>45817</v>
      </c>
      <c r="AG788" s="89">
        <f>'DIY Grundmodell'!S875</f>
        <v>694.06</v>
      </c>
      <c r="AH788" s="54">
        <f>'DIY Grundmodell'!T875</f>
        <v>8865.38177</v>
      </c>
      <c r="AI788" s="89">
        <f>'DIY Grundmodell'!U875</f>
        <v>694.06</v>
      </c>
      <c r="AJ788" s="89">
        <f>'DIY Grundmodell'!V875</f>
        <v>8865.38177</v>
      </c>
      <c r="AK788" s="989"/>
      <c r="AL788" s="33">
        <f>'DIY Grundmodell'!X875</f>
        <v>6005.88346</v>
      </c>
    </row>
    <row r="789" spans="32:38" ht="14.1" customHeight="1" x14ac:dyDescent="0.45">
      <c r="AF789" s="988">
        <f>'DIY Grundmodell'!R876</f>
        <v>45818</v>
      </c>
      <c r="AG789" s="89">
        <f>'DIY Grundmodell'!S876</f>
        <v>702.4</v>
      </c>
      <c r="AH789" s="54">
        <f>'DIY Grundmodell'!T876</f>
        <v>7621.1425499999996</v>
      </c>
      <c r="AI789" s="89">
        <f>'DIY Grundmodell'!U876</f>
        <v>702.4</v>
      </c>
      <c r="AJ789" s="89">
        <f>'DIY Grundmodell'!V876</f>
        <v>7621.1425499999996</v>
      </c>
      <c r="AK789" s="989"/>
      <c r="AL789" s="33">
        <f>'DIY Grundmodell'!X876</f>
        <v>6038.8057900000003</v>
      </c>
    </row>
    <row r="790" spans="32:38" ht="14.1" customHeight="1" x14ac:dyDescent="0.45">
      <c r="AF790" s="988">
        <f>'DIY Grundmodell'!R877</f>
        <v>45819</v>
      </c>
      <c r="AG790" s="89">
        <f>'DIY Grundmodell'!S877</f>
        <v>694.14</v>
      </c>
      <c r="AH790" s="54">
        <f>'DIY Grundmodell'!T877</f>
        <v>6651.6021000000001</v>
      </c>
      <c r="AI790" s="89">
        <f>'DIY Grundmodell'!U877</f>
        <v>694.14</v>
      </c>
      <c r="AJ790" s="89">
        <f>'DIY Grundmodell'!V877</f>
        <v>6651.6021000000001</v>
      </c>
      <c r="AK790" s="989"/>
      <c r="AL790" s="33">
        <f>'DIY Grundmodell'!X877</f>
        <v>6022.2412100000001</v>
      </c>
    </row>
    <row r="791" spans="32:38" ht="14.1" customHeight="1" x14ac:dyDescent="0.45">
      <c r="AF791" s="988">
        <f>'DIY Grundmodell'!R878</f>
        <v>45820</v>
      </c>
      <c r="AG791" s="89">
        <f>'DIY Grundmodell'!S878</f>
        <v>693.36</v>
      </c>
      <c r="AH791" s="54">
        <f>'DIY Grundmodell'!T878</f>
        <v>5077.2880699999996</v>
      </c>
      <c r="AI791" s="89">
        <f>'DIY Grundmodell'!U878</f>
        <v>693.36</v>
      </c>
      <c r="AJ791" s="89">
        <f>'DIY Grundmodell'!V878</f>
        <v>5077.2880699999996</v>
      </c>
      <c r="AK791" s="989"/>
      <c r="AL791" s="33">
        <f>'DIY Grundmodell'!X878</f>
        <v>6045.2556699999996</v>
      </c>
    </row>
    <row r="792" spans="32:38" ht="14.1" customHeight="1" x14ac:dyDescent="0.45">
      <c r="AF792" s="988">
        <f>'DIY Grundmodell'!R879</f>
        <v>45821</v>
      </c>
      <c r="AG792" s="89">
        <f>'DIY Grundmodell'!S879</f>
        <v>682.87</v>
      </c>
      <c r="AH792" s="54">
        <f>'DIY Grundmodell'!T879</f>
        <v>6333.2375300000003</v>
      </c>
      <c r="AI792" s="89">
        <f>'DIY Grundmodell'!U879</f>
        <v>682.87</v>
      </c>
      <c r="AJ792" s="89">
        <f>'DIY Grundmodell'!V879</f>
        <v>6333.2375300000003</v>
      </c>
      <c r="AK792" s="989"/>
      <c r="AL792" s="33">
        <f>'DIY Grundmodell'!X879</f>
        <v>5976.96587</v>
      </c>
    </row>
    <row r="793" spans="32:38" ht="14.1" customHeight="1" x14ac:dyDescent="0.45">
      <c r="AF793" s="988">
        <f>'DIY Grundmodell'!R880</f>
        <v>45822</v>
      </c>
      <c r="AG793" s="89" t="e">
        <f>'DIY Grundmodell'!S880</f>
        <v>#N/A</v>
      </c>
      <c r="AH793" s="54" t="e">
        <f>'DIY Grundmodell'!T880</f>
        <v>#N/A</v>
      </c>
      <c r="AI793" s="89">
        <f>'DIY Grundmodell'!U880</f>
        <v>682.87</v>
      </c>
      <c r="AJ793" s="89">
        <f>'DIY Grundmodell'!V880</f>
        <v>0</v>
      </c>
      <c r="AK793" s="989"/>
      <c r="AL793" s="33">
        <f>'DIY Grundmodell'!X880</f>
        <v>5976.96587</v>
      </c>
    </row>
    <row r="794" spans="32:38" ht="14.1" customHeight="1" x14ac:dyDescent="0.45">
      <c r="AF794" s="988">
        <f>'DIY Grundmodell'!R881</f>
        <v>45823</v>
      </c>
      <c r="AG794" s="89" t="e">
        <f>'DIY Grundmodell'!S881</f>
        <v>#N/A</v>
      </c>
      <c r="AH794" s="54" t="e">
        <f>'DIY Grundmodell'!T881</f>
        <v>#N/A</v>
      </c>
      <c r="AI794" s="89">
        <f>'DIY Grundmodell'!U881</f>
        <v>682.87</v>
      </c>
      <c r="AJ794" s="89">
        <f>'DIY Grundmodell'!V881</f>
        <v>0</v>
      </c>
      <c r="AK794" s="989"/>
      <c r="AL794" s="33">
        <f>'DIY Grundmodell'!X881</f>
        <v>5976.96587</v>
      </c>
    </row>
    <row r="795" spans="32:38" ht="14.1" customHeight="1" x14ac:dyDescent="0.45">
      <c r="AF795" s="988">
        <f>'DIY Grundmodell'!R882</f>
        <v>45824</v>
      </c>
      <c r="AG795" s="89">
        <f>'DIY Grundmodell'!S882</f>
        <v>702.12</v>
      </c>
      <c r="AH795" s="54">
        <f>'DIY Grundmodell'!T882</f>
        <v>9633.2886099999996</v>
      </c>
      <c r="AI795" s="89">
        <f>'DIY Grundmodell'!U882</f>
        <v>702.12</v>
      </c>
      <c r="AJ795" s="89">
        <f>'DIY Grundmodell'!V882</f>
        <v>9633.2886099999996</v>
      </c>
      <c r="AK795" s="989"/>
      <c r="AL795" s="33">
        <f>'DIY Grundmodell'!X882</f>
        <v>6033.1062899999997</v>
      </c>
    </row>
    <row r="796" spans="32:38" ht="14.1" customHeight="1" x14ac:dyDescent="0.45">
      <c r="AF796" s="988">
        <f>'DIY Grundmodell'!R883</f>
        <v>45825</v>
      </c>
      <c r="AG796" s="89">
        <f>'DIY Grundmodell'!S883</f>
        <v>697.23</v>
      </c>
      <c r="AH796" s="54">
        <f>'DIY Grundmodell'!T883</f>
        <v>7018.3938799999996</v>
      </c>
      <c r="AI796" s="89">
        <f>'DIY Grundmodell'!U883</f>
        <v>697.23</v>
      </c>
      <c r="AJ796" s="89">
        <f>'DIY Grundmodell'!V883</f>
        <v>7018.3938799999996</v>
      </c>
      <c r="AK796" s="989"/>
      <c r="AL796" s="33">
        <f>'DIY Grundmodell'!X883</f>
        <v>5982.7169899999999</v>
      </c>
    </row>
    <row r="797" spans="32:38" ht="14.1" customHeight="1" x14ac:dyDescent="0.45">
      <c r="AF797" s="988">
        <f>'DIY Grundmodell'!R884</f>
        <v>45826</v>
      </c>
      <c r="AG797" s="89">
        <f>'DIY Grundmodell'!S884</f>
        <v>695.77</v>
      </c>
      <c r="AH797" s="54">
        <f>'DIY Grundmodell'!T884</f>
        <v>7005.1897799999997</v>
      </c>
      <c r="AI797" s="89">
        <f>'DIY Grundmodell'!U884</f>
        <v>695.77</v>
      </c>
      <c r="AJ797" s="89">
        <f>'DIY Grundmodell'!V884</f>
        <v>7005.1897799999997</v>
      </c>
      <c r="AK797" s="989"/>
      <c r="AL797" s="33">
        <f>'DIY Grundmodell'!X884</f>
        <v>5980.8654999999999</v>
      </c>
    </row>
    <row r="798" spans="32:38" ht="14.1" customHeight="1" x14ac:dyDescent="0.45">
      <c r="AF798" s="988">
        <f>'DIY Grundmodell'!R885</f>
        <v>45827</v>
      </c>
      <c r="AG798" s="89" t="e">
        <f>'DIY Grundmodell'!S885</f>
        <v>#N/A</v>
      </c>
      <c r="AH798" s="54" t="e">
        <f>'DIY Grundmodell'!T885</f>
        <v>#N/A</v>
      </c>
      <c r="AI798" s="89">
        <f>'DIY Grundmodell'!U885</f>
        <v>695.77</v>
      </c>
      <c r="AJ798" s="89">
        <f>'DIY Grundmodell'!V885</f>
        <v>0</v>
      </c>
      <c r="AK798" s="989"/>
      <c r="AL798" s="33">
        <f>'DIY Grundmodell'!X885</f>
        <v>5980.8654999999999</v>
      </c>
    </row>
    <row r="799" spans="32:38" ht="14.1" customHeight="1" x14ac:dyDescent="0.45">
      <c r="AF799" s="988">
        <f>'DIY Grundmodell'!R886</f>
        <v>45828</v>
      </c>
      <c r="AG799" s="89">
        <f>'DIY Grundmodell'!S886</f>
        <v>682.35</v>
      </c>
      <c r="AH799" s="54">
        <f>'DIY Grundmodell'!T886</f>
        <v>15379.241</v>
      </c>
      <c r="AI799" s="89">
        <f>'DIY Grundmodell'!U886</f>
        <v>682.35</v>
      </c>
      <c r="AJ799" s="89">
        <f>'DIY Grundmodell'!V886</f>
        <v>15379.241</v>
      </c>
      <c r="AK799" s="989"/>
      <c r="AL799" s="33">
        <f>'DIY Grundmodell'!X886</f>
        <v>5967.8395</v>
      </c>
    </row>
    <row r="800" spans="32:38" ht="14.1" customHeight="1" x14ac:dyDescent="0.45">
      <c r="AF800" s="988">
        <f>'DIY Grundmodell'!R887</f>
        <v>45829</v>
      </c>
      <c r="AG800" s="89" t="e">
        <f>'DIY Grundmodell'!S887</f>
        <v>#N/A</v>
      </c>
      <c r="AH800" s="54" t="e">
        <f>'DIY Grundmodell'!T887</f>
        <v>#N/A</v>
      </c>
      <c r="AI800" s="89">
        <f>'DIY Grundmodell'!U887</f>
        <v>682.35</v>
      </c>
      <c r="AJ800" s="89">
        <f>'DIY Grundmodell'!V887</f>
        <v>0</v>
      </c>
      <c r="AK800" s="989"/>
      <c r="AL800" s="33">
        <f>'DIY Grundmodell'!X887</f>
        <v>5967.8395</v>
      </c>
    </row>
    <row r="801" spans="32:38" ht="14.1" customHeight="1" x14ac:dyDescent="0.45">
      <c r="AF801" s="988">
        <f>'DIY Grundmodell'!R888</f>
        <v>45830</v>
      </c>
      <c r="AG801" s="89" t="e">
        <f>'DIY Grundmodell'!S888</f>
        <v>#N/A</v>
      </c>
      <c r="AH801" s="54" t="e">
        <f>'DIY Grundmodell'!T888</f>
        <v>#N/A</v>
      </c>
      <c r="AI801" s="89">
        <f>'DIY Grundmodell'!U888</f>
        <v>682.35</v>
      </c>
      <c r="AJ801" s="89">
        <f>'DIY Grundmodell'!V888</f>
        <v>0</v>
      </c>
      <c r="AK801" s="989"/>
      <c r="AL801" s="33">
        <f>'DIY Grundmodell'!X888</f>
        <v>5967.8395</v>
      </c>
    </row>
    <row r="802" spans="32:38" ht="14.1" customHeight="1" x14ac:dyDescent="0.45">
      <c r="AF802" s="988">
        <f>'DIY Grundmodell'!R889</f>
        <v>45831</v>
      </c>
      <c r="AG802" s="89">
        <f>'DIY Grundmodell'!S889</f>
        <v>698.53</v>
      </c>
      <c r="AH802" s="54">
        <f>'DIY Grundmodell'!T889</f>
        <v>7739.7508200000002</v>
      </c>
      <c r="AI802" s="89">
        <f>'DIY Grundmodell'!U889</f>
        <v>698.53</v>
      </c>
      <c r="AJ802" s="89">
        <f>'DIY Grundmodell'!V889</f>
        <v>7739.7508200000002</v>
      </c>
      <c r="AK802" s="989"/>
      <c r="AL802" s="33">
        <f>'DIY Grundmodell'!X889</f>
        <v>6025.1740399999999</v>
      </c>
    </row>
    <row r="803" spans="32:38" ht="14.1" customHeight="1" x14ac:dyDescent="0.45">
      <c r="AF803" s="988">
        <f>'DIY Grundmodell'!R890</f>
        <v>45832</v>
      </c>
      <c r="AG803" s="89">
        <f>'DIY Grundmodell'!S890</f>
        <v>712.2</v>
      </c>
      <c r="AH803" s="54">
        <f>'DIY Grundmodell'!T890</f>
        <v>9844.8688000000002</v>
      </c>
      <c r="AI803" s="89">
        <f>'DIY Grundmodell'!U890</f>
        <v>712.2</v>
      </c>
      <c r="AJ803" s="89">
        <f>'DIY Grundmodell'!V890</f>
        <v>9844.8688000000002</v>
      </c>
      <c r="AK803" s="989"/>
      <c r="AL803" s="33">
        <f>'DIY Grundmodell'!X890</f>
        <v>6092.1810500000001</v>
      </c>
    </row>
    <row r="804" spans="32:38" ht="14.1" customHeight="1" x14ac:dyDescent="0.45">
      <c r="AF804" s="988">
        <f>'DIY Grundmodell'!R891</f>
        <v>45833</v>
      </c>
      <c r="AG804" s="89">
        <f>'DIY Grundmodell'!S891</f>
        <v>708.68</v>
      </c>
      <c r="AH804" s="54">
        <f>'DIY Grundmodell'!T891</f>
        <v>6605.20658</v>
      </c>
      <c r="AI804" s="89">
        <f>'DIY Grundmodell'!U891</f>
        <v>708.68</v>
      </c>
      <c r="AJ804" s="89">
        <f>'DIY Grundmodell'!V891</f>
        <v>6605.20658</v>
      </c>
      <c r="AK804" s="989"/>
      <c r="AL804" s="33">
        <f>'DIY Grundmodell'!X891</f>
        <v>6092.1613699999998</v>
      </c>
    </row>
    <row r="805" spans="32:38" ht="14.1" customHeight="1" x14ac:dyDescent="0.45">
      <c r="AF805" s="988">
        <f>'DIY Grundmodell'!R892</f>
        <v>45834</v>
      </c>
      <c r="AG805" s="89">
        <f>'DIY Grundmodell'!S892</f>
        <v>726.09</v>
      </c>
      <c r="AH805" s="54">
        <f>'DIY Grundmodell'!T892</f>
        <v>10139.696550000001</v>
      </c>
      <c r="AI805" s="89">
        <f>'DIY Grundmodell'!U892</f>
        <v>726.09</v>
      </c>
      <c r="AJ805" s="89">
        <f>'DIY Grundmodell'!V892</f>
        <v>10139.696550000001</v>
      </c>
      <c r="AK805" s="989"/>
      <c r="AL805" s="33">
        <f>'DIY Grundmodell'!X892</f>
        <v>6141.0192800000004</v>
      </c>
    </row>
    <row r="806" spans="32:38" ht="14.1" customHeight="1" x14ac:dyDescent="0.45">
      <c r="AF806" s="988">
        <f>'DIY Grundmodell'!R893</f>
        <v>45835</v>
      </c>
      <c r="AG806" s="89">
        <f>'DIY Grundmodell'!S893</f>
        <v>733.63</v>
      </c>
      <c r="AH806" s="54">
        <f>'DIY Grundmodell'!T893</f>
        <v>13774.44247</v>
      </c>
      <c r="AI806" s="89">
        <f>'DIY Grundmodell'!U893</f>
        <v>733.63</v>
      </c>
      <c r="AJ806" s="89">
        <f>'DIY Grundmodell'!V893</f>
        <v>13774.44247</v>
      </c>
      <c r="AK806" s="989"/>
      <c r="AL806" s="33">
        <f>'DIY Grundmodell'!X893</f>
        <v>6173.0735699999996</v>
      </c>
    </row>
    <row r="807" spans="32:38" ht="14.1" customHeight="1" x14ac:dyDescent="0.45">
      <c r="AF807" s="988">
        <f>'DIY Grundmodell'!R894</f>
        <v>45836</v>
      </c>
      <c r="AG807" s="89" t="e">
        <f>'DIY Grundmodell'!S894</f>
        <v>#N/A</v>
      </c>
      <c r="AH807" s="54" t="e">
        <f>'DIY Grundmodell'!T894</f>
        <v>#N/A</v>
      </c>
      <c r="AI807" s="89">
        <f>'DIY Grundmodell'!U894</f>
        <v>733.63</v>
      </c>
      <c r="AJ807" s="89">
        <f>'DIY Grundmodell'!V894</f>
        <v>0</v>
      </c>
      <c r="AK807" s="989"/>
      <c r="AL807" s="33">
        <f>'DIY Grundmodell'!X894</f>
        <v>6173.0735699999996</v>
      </c>
    </row>
    <row r="808" spans="32:38" ht="14.1" customHeight="1" x14ac:dyDescent="0.45">
      <c r="AF808" s="988">
        <f>'DIY Grundmodell'!R895</f>
        <v>45837</v>
      </c>
      <c r="AG808" s="89" t="e">
        <f>'DIY Grundmodell'!S895</f>
        <v>#N/A</v>
      </c>
      <c r="AH808" s="54" t="e">
        <f>'DIY Grundmodell'!T895</f>
        <v>#N/A</v>
      </c>
      <c r="AI808" s="89">
        <f>'DIY Grundmodell'!U895</f>
        <v>733.63</v>
      </c>
      <c r="AJ808" s="89">
        <f>'DIY Grundmodell'!V895</f>
        <v>0</v>
      </c>
      <c r="AK808" s="989"/>
      <c r="AL808" s="33">
        <f>'DIY Grundmodell'!X895</f>
        <v>6173.0735699999996</v>
      </c>
    </row>
    <row r="809" spans="32:38" ht="14.1" customHeight="1" x14ac:dyDescent="0.45">
      <c r="AF809" s="988">
        <f>'DIY Grundmodell'!R896</f>
        <v>45838</v>
      </c>
      <c r="AG809" s="89">
        <f>'DIY Grundmodell'!S896</f>
        <v>738.09</v>
      </c>
      <c r="AH809" s="54">
        <f>'DIY Grundmodell'!T896</f>
        <v>11368.13968</v>
      </c>
      <c r="AI809" s="89">
        <f>'DIY Grundmodell'!U896</f>
        <v>738.09</v>
      </c>
      <c r="AJ809" s="89">
        <f>'DIY Grundmodell'!V896</f>
        <v>11368.13968</v>
      </c>
      <c r="AK809" s="989"/>
      <c r="AL809" s="33">
        <f>'DIY Grundmodell'!X896</f>
        <v>6204.9539500000001</v>
      </c>
    </row>
    <row r="810" spans="32:38" ht="14.1" customHeight="1" x14ac:dyDescent="0.45">
      <c r="AF810" s="988">
        <f>'DIY Grundmodell'!R897</f>
        <v>45839</v>
      </c>
      <c r="AG810" s="89">
        <f>'DIY Grundmodell'!S897</f>
        <v>719.22</v>
      </c>
      <c r="AH810" s="54">
        <f>'DIY Grundmodell'!T897</f>
        <v>9660.0221899999997</v>
      </c>
      <c r="AI810" s="89">
        <f>'DIY Grundmodell'!U897</f>
        <v>719.22</v>
      </c>
      <c r="AJ810" s="89">
        <f>'DIY Grundmodell'!V897</f>
        <v>9660.0221899999997</v>
      </c>
      <c r="AK810" s="989"/>
      <c r="AL810" s="33">
        <f>'DIY Grundmodell'!X897</f>
        <v>6198.00695</v>
      </c>
    </row>
    <row r="811" spans="32:38" ht="14.1" customHeight="1" x14ac:dyDescent="0.45">
      <c r="AF811" s="988">
        <f>'DIY Grundmodell'!R898</f>
        <v>45840</v>
      </c>
      <c r="AG811" s="89">
        <f>'DIY Grundmodell'!S898</f>
        <v>713.57</v>
      </c>
      <c r="AH811" s="54">
        <f>'DIY Grundmodell'!T898</f>
        <v>6662.4175599999999</v>
      </c>
      <c r="AI811" s="89">
        <f>'DIY Grundmodell'!U898</f>
        <v>713.57</v>
      </c>
      <c r="AJ811" s="89">
        <f>'DIY Grundmodell'!V898</f>
        <v>6662.4175599999999</v>
      </c>
      <c r="AK811" s="989"/>
      <c r="AL811" s="33">
        <f>'DIY Grundmodell'!X898</f>
        <v>6227.4196899999997</v>
      </c>
    </row>
    <row r="812" spans="32:38" ht="14.1" customHeight="1" x14ac:dyDescent="0.45">
      <c r="AF812" s="988">
        <f>'DIY Grundmodell'!R899</f>
        <v>45841</v>
      </c>
      <c r="AG812" s="89">
        <f>'DIY Grundmodell'!S899</f>
        <v>719.01</v>
      </c>
      <c r="AH812" s="54">
        <f>'DIY Grundmodell'!T899</f>
        <v>6184.6745199999996</v>
      </c>
      <c r="AI812" s="89">
        <f>'DIY Grundmodell'!U899</f>
        <v>719.01</v>
      </c>
      <c r="AJ812" s="89">
        <f>'DIY Grundmodell'!V899</f>
        <v>6184.6745199999996</v>
      </c>
      <c r="AK812" s="989"/>
      <c r="AL812" s="33">
        <f>'DIY Grundmodell'!X899</f>
        <v>6279.3509700000004</v>
      </c>
    </row>
    <row r="813" spans="32:38" ht="14.1" customHeight="1" x14ac:dyDescent="0.45">
      <c r="AF813" s="988">
        <f>'DIY Grundmodell'!R900</f>
        <v>45842</v>
      </c>
      <c r="AG813" s="89" t="e">
        <f>'DIY Grundmodell'!S900</f>
        <v>#N/A</v>
      </c>
      <c r="AH813" s="54" t="e">
        <f>'DIY Grundmodell'!T900</f>
        <v>#N/A</v>
      </c>
      <c r="AI813" s="89">
        <f>'DIY Grundmodell'!U900</f>
        <v>719.01</v>
      </c>
      <c r="AJ813" s="89">
        <f>'DIY Grundmodell'!V900</f>
        <v>0</v>
      </c>
      <c r="AK813" s="989"/>
      <c r="AL813" s="33">
        <f>'DIY Grundmodell'!X900</f>
        <v>6279.3509700000004</v>
      </c>
    </row>
    <row r="814" spans="32:38" ht="14.1" customHeight="1" x14ac:dyDescent="0.45">
      <c r="AF814" s="988">
        <f>'DIY Grundmodell'!R901</f>
        <v>45843</v>
      </c>
      <c r="AG814" s="89" t="e">
        <f>'DIY Grundmodell'!S901</f>
        <v>#N/A</v>
      </c>
      <c r="AH814" s="54" t="e">
        <f>'DIY Grundmodell'!T901</f>
        <v>#N/A</v>
      </c>
      <c r="AI814" s="89">
        <f>'DIY Grundmodell'!U901</f>
        <v>719.01</v>
      </c>
      <c r="AJ814" s="89">
        <f>'DIY Grundmodell'!V901</f>
        <v>0</v>
      </c>
      <c r="AK814" s="989"/>
      <c r="AL814" s="33">
        <f>'DIY Grundmodell'!X901</f>
        <v>6279.3509700000004</v>
      </c>
    </row>
    <row r="815" spans="32:38" ht="14.1" customHeight="1" x14ac:dyDescent="0.45">
      <c r="AF815" s="988">
        <f>'DIY Grundmodell'!R902</f>
        <v>45844</v>
      </c>
      <c r="AG815" s="89" t="e">
        <f>'DIY Grundmodell'!S902</f>
        <v>#N/A</v>
      </c>
      <c r="AH815" s="54" t="e">
        <f>'DIY Grundmodell'!T902</f>
        <v>#N/A</v>
      </c>
      <c r="AI815" s="89">
        <f>'DIY Grundmodell'!U902</f>
        <v>719.01</v>
      </c>
      <c r="AJ815" s="89">
        <f>'DIY Grundmodell'!V902</f>
        <v>0</v>
      </c>
      <c r="AK815" s="989"/>
      <c r="AL815" s="33">
        <f>'DIY Grundmodell'!X902</f>
        <v>6279.3509700000004</v>
      </c>
    </row>
    <row r="816" spans="32:38" ht="14.1" customHeight="1" x14ac:dyDescent="0.45">
      <c r="AF816" s="988">
        <f>'DIY Grundmodell'!R903</f>
        <v>45845</v>
      </c>
      <c r="AG816" s="89">
        <f>'DIY Grundmodell'!S903</f>
        <v>718.35</v>
      </c>
      <c r="AH816" s="54">
        <f>'DIY Grundmodell'!T903</f>
        <v>6793.4934199999998</v>
      </c>
      <c r="AI816" s="89">
        <f>'DIY Grundmodell'!U903</f>
        <v>718.35</v>
      </c>
      <c r="AJ816" s="89">
        <f>'DIY Grundmodell'!V903</f>
        <v>6793.4934199999998</v>
      </c>
      <c r="AK816" s="989"/>
      <c r="AL816" s="33">
        <f>'DIY Grundmodell'!X903</f>
        <v>6229.9774600000001</v>
      </c>
    </row>
    <row r="817" spans="32:38" ht="14.1" customHeight="1" x14ac:dyDescent="0.45">
      <c r="AF817" s="988">
        <f>'DIY Grundmodell'!R904</f>
        <v>45846</v>
      </c>
      <c r="AG817" s="89">
        <f>'DIY Grundmodell'!S904</f>
        <v>720.67</v>
      </c>
      <c r="AH817" s="54">
        <f>'DIY Grundmodell'!T904</f>
        <v>5600.1053199999997</v>
      </c>
      <c r="AI817" s="89">
        <f>'DIY Grundmodell'!U904</f>
        <v>720.67</v>
      </c>
      <c r="AJ817" s="89">
        <f>'DIY Grundmodell'!V904</f>
        <v>5600.1053199999997</v>
      </c>
      <c r="AK817" s="989"/>
      <c r="AL817" s="33">
        <f>'DIY Grundmodell'!X904</f>
        <v>6225.5234099999998</v>
      </c>
    </row>
    <row r="818" spans="32:38" ht="14.1" customHeight="1" x14ac:dyDescent="0.45">
      <c r="AF818" s="988">
        <f>'DIY Grundmodell'!R905</f>
        <v>45847</v>
      </c>
      <c r="AG818" s="89">
        <f>'DIY Grundmodell'!S905</f>
        <v>732.78</v>
      </c>
      <c r="AH818" s="54">
        <f>'DIY Grundmodell'!T905</f>
        <v>8366.8549299999995</v>
      </c>
      <c r="AI818" s="89">
        <f>'DIY Grundmodell'!U905</f>
        <v>732.78</v>
      </c>
      <c r="AJ818" s="89">
        <f>'DIY Grundmodell'!V905</f>
        <v>8366.8549299999995</v>
      </c>
      <c r="AK818" s="989"/>
      <c r="AL818" s="33">
        <f>'DIY Grundmodell'!X905</f>
        <v>6263.2643799999996</v>
      </c>
    </row>
    <row r="819" spans="32:38" ht="14.1" customHeight="1" x14ac:dyDescent="0.45">
      <c r="AF819" s="988">
        <f>'DIY Grundmodell'!R906</f>
        <v>45848</v>
      </c>
      <c r="AG819" s="89">
        <f>'DIY Grundmodell'!S906</f>
        <v>727.24</v>
      </c>
      <c r="AH819" s="54">
        <f>'DIY Grundmodell'!T906</f>
        <v>7215.8563599999998</v>
      </c>
      <c r="AI819" s="89">
        <f>'DIY Grundmodell'!U906</f>
        <v>727.24</v>
      </c>
      <c r="AJ819" s="89">
        <f>'DIY Grundmodell'!V906</f>
        <v>7215.8563599999998</v>
      </c>
      <c r="AK819" s="989"/>
      <c r="AL819" s="33">
        <f>'DIY Grundmodell'!X906</f>
        <v>6280.4583000000002</v>
      </c>
    </row>
    <row r="820" spans="32:38" ht="14.1" customHeight="1" x14ac:dyDescent="0.45">
      <c r="AF820" s="988">
        <f>'DIY Grundmodell'!R907</f>
        <v>45849</v>
      </c>
      <c r="AG820" s="89">
        <f>'DIY Grundmodell'!S907</f>
        <v>717.51</v>
      </c>
      <c r="AH820" s="54">
        <f>'DIY Grundmodell'!T907</f>
        <v>7802.1176400000004</v>
      </c>
      <c r="AI820" s="89">
        <f>'DIY Grundmodell'!U907</f>
        <v>717.51</v>
      </c>
      <c r="AJ820" s="89">
        <f>'DIY Grundmodell'!V907</f>
        <v>7802.1176400000004</v>
      </c>
      <c r="AK820" s="989"/>
      <c r="AL820" s="33">
        <f>'DIY Grundmodell'!X907</f>
        <v>6259.7464399999999</v>
      </c>
    </row>
    <row r="821" spans="32:38" ht="14.1" customHeight="1" x14ac:dyDescent="0.45">
      <c r="AF821" s="988">
        <f>'DIY Grundmodell'!R908</f>
        <v>45850</v>
      </c>
      <c r="AG821" s="89" t="e">
        <f>'DIY Grundmodell'!S908</f>
        <v>#N/A</v>
      </c>
      <c r="AH821" s="54" t="e">
        <f>'DIY Grundmodell'!T908</f>
        <v>#N/A</v>
      </c>
      <c r="AI821" s="89">
        <f>'DIY Grundmodell'!U908</f>
        <v>717.51</v>
      </c>
      <c r="AJ821" s="89">
        <f>'DIY Grundmodell'!V908</f>
        <v>0</v>
      </c>
      <c r="AK821" s="989"/>
      <c r="AL821" s="33">
        <f>'DIY Grundmodell'!X908</f>
        <v>6259.7464399999999</v>
      </c>
    </row>
    <row r="822" spans="32:38" ht="14.1" customHeight="1" x14ac:dyDescent="0.45">
      <c r="AF822" s="988">
        <f>'DIY Grundmodell'!R909</f>
        <v>45851</v>
      </c>
      <c r="AG822" s="89" t="e">
        <f>'DIY Grundmodell'!S909</f>
        <v>#N/A</v>
      </c>
      <c r="AH822" s="54" t="e">
        <f>'DIY Grundmodell'!T909</f>
        <v>#N/A</v>
      </c>
      <c r="AI822" s="89">
        <f>'DIY Grundmodell'!U909</f>
        <v>717.51</v>
      </c>
      <c r="AJ822" s="89">
        <f>'DIY Grundmodell'!V909</f>
        <v>0</v>
      </c>
      <c r="AK822" s="989"/>
      <c r="AL822" s="33">
        <f>'DIY Grundmodell'!X909</f>
        <v>6259.7464399999999</v>
      </c>
    </row>
    <row r="823" spans="32:38" ht="14.1" customHeight="1" x14ac:dyDescent="0.45">
      <c r="AF823" s="988">
        <f>'DIY Grundmodell'!R910</f>
        <v>45852</v>
      </c>
      <c r="AG823" s="89">
        <f>'DIY Grundmodell'!S910</f>
        <v>720.92</v>
      </c>
      <c r="AH823" s="54">
        <f>'DIY Grundmodell'!T910</f>
        <v>6444.5915299999997</v>
      </c>
      <c r="AI823" s="89">
        <f>'DIY Grundmodell'!U910</f>
        <v>720.92</v>
      </c>
      <c r="AJ823" s="89">
        <f>'DIY Grundmodell'!V910</f>
        <v>6444.5915299999997</v>
      </c>
      <c r="AK823" s="989"/>
      <c r="AL823" s="33">
        <f>'DIY Grundmodell'!X910</f>
        <v>6268.5590099999999</v>
      </c>
    </row>
    <row r="824" spans="32:38" ht="14.1" customHeight="1" x14ac:dyDescent="0.45">
      <c r="AF824" s="988">
        <f>'DIY Grundmodell'!R911</f>
        <v>45853</v>
      </c>
      <c r="AG824" s="89">
        <f>'DIY Grundmodell'!S911</f>
        <v>710.39</v>
      </c>
      <c r="AH824" s="54">
        <f>'DIY Grundmodell'!T911</f>
        <v>8190.4493199999997</v>
      </c>
      <c r="AI824" s="89">
        <f>'DIY Grundmodell'!U911</f>
        <v>710.39</v>
      </c>
      <c r="AJ824" s="89">
        <f>'DIY Grundmodell'!V911</f>
        <v>8190.4493199999997</v>
      </c>
      <c r="AK824" s="989"/>
      <c r="AL824" s="33">
        <f>'DIY Grundmodell'!X911</f>
        <v>6243.7557100000004</v>
      </c>
    </row>
    <row r="825" spans="32:38" ht="14.1" customHeight="1" x14ac:dyDescent="0.45">
      <c r="AF825" s="988">
        <f>'DIY Grundmodell'!R912</f>
        <v>45854</v>
      </c>
      <c r="AG825" s="89">
        <f>'DIY Grundmodell'!S912</f>
        <v>702.91</v>
      </c>
      <c r="AH825" s="54">
        <f>'DIY Grundmodell'!T912</f>
        <v>9185.3657000000003</v>
      </c>
      <c r="AI825" s="89">
        <f>'DIY Grundmodell'!U912</f>
        <v>702.91</v>
      </c>
      <c r="AJ825" s="89">
        <f>'DIY Grundmodell'!V912</f>
        <v>9185.3657000000003</v>
      </c>
      <c r="AK825" s="989"/>
      <c r="AL825" s="33">
        <f>'DIY Grundmodell'!X912</f>
        <v>6263.69524</v>
      </c>
    </row>
    <row r="826" spans="32:38" ht="14.1" customHeight="1" x14ac:dyDescent="0.45">
      <c r="AF826" s="988">
        <f>'DIY Grundmodell'!R913</f>
        <v>45855</v>
      </c>
      <c r="AG826" s="89">
        <f>'DIY Grundmodell'!S913</f>
        <v>701.41</v>
      </c>
      <c r="AH826" s="54">
        <f>'DIY Grundmodell'!T913</f>
        <v>8278.9274000000005</v>
      </c>
      <c r="AI826" s="89">
        <f>'DIY Grundmodell'!U913</f>
        <v>701.41</v>
      </c>
      <c r="AJ826" s="89">
        <f>'DIY Grundmodell'!V913</f>
        <v>8278.9274000000005</v>
      </c>
      <c r="AK826" s="989"/>
      <c r="AL826" s="33">
        <f>'DIY Grundmodell'!X913</f>
        <v>6297.3619099999996</v>
      </c>
    </row>
    <row r="827" spans="32:38" ht="14.1" customHeight="1" x14ac:dyDescent="0.45">
      <c r="AF827" s="988">
        <f>'DIY Grundmodell'!R914</f>
        <v>45856</v>
      </c>
      <c r="AG827" s="89">
        <f>'DIY Grundmodell'!S914</f>
        <v>704.28</v>
      </c>
      <c r="AH827" s="54">
        <f>'DIY Grundmodell'!T914</f>
        <v>9000.5237400000005</v>
      </c>
      <c r="AI827" s="89">
        <f>'DIY Grundmodell'!U914</f>
        <v>704.28</v>
      </c>
      <c r="AJ827" s="89">
        <f>'DIY Grundmodell'!V914</f>
        <v>9000.5237400000005</v>
      </c>
      <c r="AK827" s="989"/>
      <c r="AL827" s="33">
        <f>'DIY Grundmodell'!X914</f>
        <v>6296.7890399999997</v>
      </c>
    </row>
    <row r="828" spans="32:38" ht="14.1" customHeight="1" x14ac:dyDescent="0.45">
      <c r="AF828" s="988">
        <f>'DIY Grundmodell'!R915</f>
        <v>45857</v>
      </c>
      <c r="AG828" s="89" t="e">
        <f>'DIY Grundmodell'!S915</f>
        <v>#N/A</v>
      </c>
      <c r="AH828" s="54" t="e">
        <f>'DIY Grundmodell'!T915</f>
        <v>#N/A</v>
      </c>
      <c r="AI828" s="89">
        <f>'DIY Grundmodell'!U915</f>
        <v>704.28</v>
      </c>
      <c r="AJ828" s="89">
        <f>'DIY Grundmodell'!V915</f>
        <v>0</v>
      </c>
      <c r="AK828" s="989"/>
      <c r="AL828" s="33">
        <f>'DIY Grundmodell'!X915</f>
        <v>6296.7890399999997</v>
      </c>
    </row>
    <row r="829" spans="32:38" ht="14.1" customHeight="1" x14ac:dyDescent="0.45">
      <c r="AF829" s="988">
        <f>'DIY Grundmodell'!R916</f>
        <v>45858</v>
      </c>
      <c r="AG829" s="89" t="e">
        <f>'DIY Grundmodell'!S916</f>
        <v>#N/A</v>
      </c>
      <c r="AH829" s="54" t="e">
        <f>'DIY Grundmodell'!T916</f>
        <v>#N/A</v>
      </c>
      <c r="AI829" s="89">
        <f>'DIY Grundmodell'!U916</f>
        <v>704.28</v>
      </c>
      <c r="AJ829" s="89">
        <f>'DIY Grundmodell'!V916</f>
        <v>0</v>
      </c>
      <c r="AK829" s="989"/>
      <c r="AL829" s="33">
        <f>'DIY Grundmodell'!X916</f>
        <v>6296.7890399999997</v>
      </c>
    </row>
    <row r="830" spans="32:38" ht="14.1" customHeight="1" x14ac:dyDescent="0.45">
      <c r="AF830" s="988">
        <f>'DIY Grundmodell'!R917</f>
        <v>45859</v>
      </c>
      <c r="AG830" s="89">
        <f>'DIY Grundmodell'!S917</f>
        <v>712.96500000000003</v>
      </c>
      <c r="AH830" s="54">
        <f>'DIY Grundmodell'!T917</f>
        <v>6705.0016299999997</v>
      </c>
      <c r="AI830" s="89">
        <f>'DIY Grundmodell'!U917</f>
        <v>712.96500000000003</v>
      </c>
      <c r="AJ830" s="89">
        <f>'DIY Grundmodell'!V917</f>
        <v>6705.0016299999997</v>
      </c>
      <c r="AK830" s="989"/>
      <c r="AL830" s="33">
        <f>'DIY Grundmodell'!X917</f>
        <v>6305.5951800000003</v>
      </c>
    </row>
    <row r="831" spans="32:38" ht="14.1" customHeight="1" x14ac:dyDescent="0.45">
      <c r="AF831" s="988">
        <f>'DIY Grundmodell'!R918</f>
        <v>45860</v>
      </c>
      <c r="AG831" s="89">
        <f>'DIY Grundmodell'!S918</f>
        <v>704.81</v>
      </c>
      <c r="AH831" s="54">
        <f>'DIY Grundmodell'!T918</f>
        <v>6287.6551200000004</v>
      </c>
      <c r="AI831" s="89">
        <f>'DIY Grundmodell'!U918</f>
        <v>704.81</v>
      </c>
      <c r="AJ831" s="89">
        <f>'DIY Grundmodell'!V918</f>
        <v>6287.6551200000004</v>
      </c>
      <c r="AK831" s="989"/>
      <c r="AL831" s="33">
        <f>'DIY Grundmodell'!X918</f>
        <v>6309.6236799999997</v>
      </c>
    </row>
    <row r="832" spans="32:38" ht="14.1" customHeight="1" x14ac:dyDescent="0.45">
      <c r="AF832" s="988">
        <f>'DIY Grundmodell'!R919</f>
        <v>45861</v>
      </c>
      <c r="AG832" s="89">
        <f>'DIY Grundmodell'!S919</f>
        <v>713.58</v>
      </c>
      <c r="AH832" s="54">
        <f>'DIY Grundmodell'!T919</f>
        <v>6259.2490299999999</v>
      </c>
      <c r="AI832" s="89">
        <f>'DIY Grundmodell'!U919</f>
        <v>713.58</v>
      </c>
      <c r="AJ832" s="89">
        <f>'DIY Grundmodell'!V919</f>
        <v>6259.2490299999999</v>
      </c>
      <c r="AK832" s="989"/>
      <c r="AL832" s="33">
        <f>'DIY Grundmodell'!X919</f>
        <v>6358.9137899999996</v>
      </c>
    </row>
    <row r="833" spans="32:38" ht="14.1" customHeight="1" x14ac:dyDescent="0.45">
      <c r="AF833" s="988">
        <f>'DIY Grundmodell'!R920</f>
        <v>45862</v>
      </c>
      <c r="AG833" s="89">
        <f>'DIY Grundmodell'!S920</f>
        <v>714.8</v>
      </c>
      <c r="AH833" s="54">
        <f>'DIY Grundmodell'!T920</f>
        <v>7806.2135699999999</v>
      </c>
      <c r="AI833" s="89">
        <f>'DIY Grundmodell'!U920</f>
        <v>714.8</v>
      </c>
      <c r="AJ833" s="89">
        <f>'DIY Grundmodell'!V920</f>
        <v>7806.2135699999999</v>
      </c>
      <c r="AK833" s="989"/>
      <c r="AL833" s="33">
        <f>'DIY Grundmodell'!X920</f>
        <v>6363.3492999999999</v>
      </c>
    </row>
    <row r="834" spans="32:38" ht="14.1" customHeight="1" x14ac:dyDescent="0.45">
      <c r="AF834" s="988">
        <f>'DIY Grundmodell'!R921</f>
        <v>45863</v>
      </c>
      <c r="AG834" s="89">
        <f>'DIY Grundmodell'!S921</f>
        <v>712.68</v>
      </c>
      <c r="AH834" s="54">
        <f>'DIY Grundmodell'!T921</f>
        <v>5895.0737300000001</v>
      </c>
      <c r="AI834" s="89">
        <f>'DIY Grundmodell'!U921</f>
        <v>712.68</v>
      </c>
      <c r="AJ834" s="89">
        <f>'DIY Grundmodell'!V921</f>
        <v>5895.0737300000001</v>
      </c>
      <c r="AK834" s="989"/>
      <c r="AL834" s="33">
        <f>'DIY Grundmodell'!X921</f>
        <v>6388.6445000000003</v>
      </c>
    </row>
    <row r="835" spans="32:38" ht="14.1" customHeight="1" x14ac:dyDescent="0.45">
      <c r="AF835" s="988">
        <f>'DIY Grundmodell'!R922</f>
        <v>45864</v>
      </c>
      <c r="AG835" s="89" t="e">
        <f>'DIY Grundmodell'!S922</f>
        <v>#N/A</v>
      </c>
      <c r="AH835" s="54" t="e">
        <f>'DIY Grundmodell'!T922</f>
        <v>#N/A</v>
      </c>
      <c r="AI835" s="89">
        <f>'DIY Grundmodell'!U922</f>
        <v>712.68</v>
      </c>
      <c r="AJ835" s="89">
        <f>'DIY Grundmodell'!V922</f>
        <v>0</v>
      </c>
      <c r="AK835" s="989"/>
      <c r="AL835" s="33">
        <f>'DIY Grundmodell'!X922</f>
        <v>6388.6445000000003</v>
      </c>
    </row>
    <row r="836" spans="32:38" ht="14.1" customHeight="1" x14ac:dyDescent="0.45">
      <c r="AF836" s="988">
        <f>'DIY Grundmodell'!R923</f>
        <v>45865</v>
      </c>
      <c r="AG836" s="89" t="e">
        <f>'DIY Grundmodell'!S923</f>
        <v>#N/A</v>
      </c>
      <c r="AH836" s="54" t="e">
        <f>'DIY Grundmodell'!T923</f>
        <v>#N/A</v>
      </c>
      <c r="AI836" s="89">
        <f>'DIY Grundmodell'!U923</f>
        <v>712.68</v>
      </c>
      <c r="AJ836" s="89">
        <f>'DIY Grundmodell'!V923</f>
        <v>0</v>
      </c>
      <c r="AK836" s="989"/>
      <c r="AL836" s="33">
        <f>'DIY Grundmodell'!X923</f>
        <v>6388.6445000000003</v>
      </c>
    </row>
    <row r="837" spans="32:38" ht="14.1" customHeight="1" x14ac:dyDescent="0.45">
      <c r="AF837" s="988">
        <f>'DIY Grundmodell'!R924</f>
        <v>45866</v>
      </c>
      <c r="AG837" s="89">
        <f>'DIY Grundmodell'!S924</f>
        <v>717.63</v>
      </c>
      <c r="AH837" s="54">
        <f>'DIY Grundmodell'!T924</f>
        <v>6254.6786499999998</v>
      </c>
      <c r="AI837" s="89">
        <f>'DIY Grundmodell'!U924</f>
        <v>717.63</v>
      </c>
      <c r="AJ837" s="89">
        <f>'DIY Grundmodell'!V924</f>
        <v>6254.6786499999998</v>
      </c>
      <c r="AK837" s="989"/>
      <c r="AL837" s="33">
        <f>'DIY Grundmodell'!X924</f>
        <v>6389.7664800000002</v>
      </c>
    </row>
    <row r="838" spans="32:38" ht="14.1" customHeight="1" x14ac:dyDescent="0.45">
      <c r="AF838" s="988">
        <f>'DIY Grundmodell'!R925</f>
        <v>45867</v>
      </c>
      <c r="AG838" s="89">
        <f>'DIY Grundmodell'!S925</f>
        <v>700</v>
      </c>
      <c r="AH838" s="54">
        <f>'DIY Grundmodell'!T925</f>
        <v>9286.9223999999995</v>
      </c>
      <c r="AI838" s="89">
        <f>'DIY Grundmodell'!U925</f>
        <v>700</v>
      </c>
      <c r="AJ838" s="89">
        <f>'DIY Grundmodell'!V925</f>
        <v>9286.9223999999995</v>
      </c>
      <c r="AK838" s="989"/>
      <c r="AL838" s="33">
        <f>'DIY Grundmodell'!X925</f>
        <v>6370.8612999999996</v>
      </c>
    </row>
    <row r="839" spans="32:38" ht="14.1" customHeight="1" x14ac:dyDescent="0.45">
      <c r="AF839" s="988">
        <f>'DIY Grundmodell'!R926</f>
        <v>45868</v>
      </c>
      <c r="AG839" s="89">
        <f>'DIY Grundmodell'!S926</f>
        <v>695.21</v>
      </c>
      <c r="AH839" s="54">
        <f>'DIY Grundmodell'!T926</f>
        <v>18824.400000000001</v>
      </c>
      <c r="AI839" s="89">
        <f>'DIY Grundmodell'!U926</f>
        <v>695.21</v>
      </c>
      <c r="AJ839" s="89">
        <f>'DIY Grundmodell'!V926</f>
        <v>18824.400000000001</v>
      </c>
      <c r="AK839" s="989"/>
      <c r="AL839" s="33">
        <f>'DIY Grundmodell'!X926</f>
        <v>6362.89876</v>
      </c>
    </row>
    <row r="840" spans="32:38" ht="14.1" customHeight="1" x14ac:dyDescent="0.45">
      <c r="AF840" s="988">
        <f>'DIY Grundmodell'!R927</f>
        <v>45869</v>
      </c>
      <c r="AG840" s="89">
        <f>'DIY Grundmodell'!S927</f>
        <v>773.44</v>
      </c>
      <c r="AH840" s="54">
        <f>'DIY Grundmodell'!T927</f>
        <v>30033.524440000001</v>
      </c>
      <c r="AI840" s="89">
        <f>'DIY Grundmodell'!U927</f>
        <v>773.44</v>
      </c>
      <c r="AJ840" s="89">
        <f>'DIY Grundmodell'!V927</f>
        <v>30033.524440000001</v>
      </c>
      <c r="AK840" s="989"/>
      <c r="AL840" s="33">
        <f>'DIY Grundmodell'!X927</f>
        <v>6339.3945700000004</v>
      </c>
    </row>
    <row r="841" spans="32:38" ht="14.1" customHeight="1" x14ac:dyDescent="0.45">
      <c r="AF841" s="988">
        <f>'DIY Grundmodell'!R928</f>
        <v>45870</v>
      </c>
      <c r="AG841" s="89">
        <f>'DIY Grundmodell'!S928</f>
        <v>750.01</v>
      </c>
      <c r="AH841" s="54">
        <f>'DIY Grundmodell'!T928</f>
        <v>14271.72279</v>
      </c>
      <c r="AI841" s="89">
        <f>'DIY Grundmodell'!U928</f>
        <v>750.01</v>
      </c>
      <c r="AJ841" s="89">
        <f>'DIY Grundmodell'!V928</f>
        <v>14271.72279</v>
      </c>
      <c r="AK841" s="989"/>
      <c r="AL841" s="33">
        <f>'DIY Grundmodell'!X928</f>
        <v>6238.0065699999996</v>
      </c>
    </row>
    <row r="842" spans="32:38" ht="14.1" customHeight="1" x14ac:dyDescent="0.45">
      <c r="AF842" s="988">
        <f>'DIY Grundmodell'!R929</f>
        <v>45871</v>
      </c>
      <c r="AG842" s="89" t="e">
        <f>'DIY Grundmodell'!S929</f>
        <v>#N/A</v>
      </c>
      <c r="AH842" s="54" t="e">
        <f>'DIY Grundmodell'!T929</f>
        <v>#N/A</v>
      </c>
      <c r="AI842" s="89">
        <f>'DIY Grundmodell'!U929</f>
        <v>750.01</v>
      </c>
      <c r="AJ842" s="89">
        <f>'DIY Grundmodell'!V929</f>
        <v>0</v>
      </c>
      <c r="AK842" s="989"/>
      <c r="AL842" s="33">
        <f>'DIY Grundmodell'!X929</f>
        <v>6238.0065699999996</v>
      </c>
    </row>
    <row r="843" spans="32:38" ht="14.1" customHeight="1" x14ac:dyDescent="0.45">
      <c r="AF843" s="988">
        <f>'DIY Grundmodell'!R930</f>
        <v>45872</v>
      </c>
      <c r="AG843" s="89" t="e">
        <f>'DIY Grundmodell'!S930</f>
        <v>#N/A</v>
      </c>
      <c r="AH843" s="54" t="e">
        <f>'DIY Grundmodell'!T930</f>
        <v>#N/A</v>
      </c>
      <c r="AI843" s="89">
        <f>'DIY Grundmodell'!U930</f>
        <v>750.01</v>
      </c>
      <c r="AJ843" s="89">
        <f>'DIY Grundmodell'!V930</f>
        <v>0</v>
      </c>
      <c r="AK843" s="989"/>
      <c r="AL843" s="33">
        <f>'DIY Grundmodell'!X930</f>
        <v>6238.0065699999996</v>
      </c>
    </row>
    <row r="844" spans="32:38" ht="14.1" customHeight="1" x14ac:dyDescent="0.45">
      <c r="AF844" s="988">
        <f>'DIY Grundmodell'!R931</f>
        <v>45873</v>
      </c>
      <c r="AG844" s="89">
        <f>'DIY Grundmodell'!S931</f>
        <v>776.37</v>
      </c>
      <c r="AH844" s="54">
        <f>'DIY Grundmodell'!T931</f>
        <v>12267.986790000001</v>
      </c>
      <c r="AI844" s="89">
        <f>'DIY Grundmodell'!U931</f>
        <v>776.37</v>
      </c>
      <c r="AJ844" s="89">
        <f>'DIY Grundmodell'!V931</f>
        <v>12267.986790000001</v>
      </c>
      <c r="AK844" s="989"/>
      <c r="AL844" s="33">
        <f>'DIY Grundmodell'!X931</f>
        <v>6329.9395000000004</v>
      </c>
    </row>
    <row r="845" spans="32:38" ht="14.1" customHeight="1" x14ac:dyDescent="0.45">
      <c r="AF845" s="988">
        <f>'DIY Grundmodell'!R932</f>
        <v>45874</v>
      </c>
      <c r="AG845" s="89">
        <f>'DIY Grundmodell'!S932</f>
        <v>763.46</v>
      </c>
      <c r="AH845" s="54">
        <f>'DIY Grundmodell'!T932</f>
        <v>8886.8988599999993</v>
      </c>
      <c r="AI845" s="89">
        <f>'DIY Grundmodell'!U932</f>
        <v>763.46</v>
      </c>
      <c r="AJ845" s="89">
        <f>'DIY Grundmodell'!V932</f>
        <v>8886.8988599999993</v>
      </c>
      <c r="AK845" s="989"/>
      <c r="AL845" s="33">
        <f>'DIY Grundmodell'!X932</f>
        <v>6299.1939499999999</v>
      </c>
    </row>
    <row r="846" spans="32:38" ht="14.1" customHeight="1" x14ac:dyDescent="0.45">
      <c r="AF846" s="988">
        <f>'DIY Grundmodell'!R933</f>
        <v>45875</v>
      </c>
      <c r="AG846" s="89">
        <f>'DIY Grundmodell'!S933</f>
        <v>771.99</v>
      </c>
      <c r="AH846" s="54">
        <f>'DIY Grundmodell'!T933</f>
        <v>7514.4811799999998</v>
      </c>
      <c r="AI846" s="89">
        <f>'DIY Grundmodell'!U933</f>
        <v>771.99</v>
      </c>
      <c r="AJ846" s="89">
        <f>'DIY Grundmodell'!V933</f>
        <v>7514.4811799999998</v>
      </c>
      <c r="AK846" s="989"/>
      <c r="AL846" s="33">
        <f>'DIY Grundmodell'!X933</f>
        <v>6345.0595400000002</v>
      </c>
    </row>
    <row r="847" spans="32:38" ht="14.1" customHeight="1" x14ac:dyDescent="0.45">
      <c r="AF847" s="988">
        <f>'DIY Grundmodell'!R934</f>
        <v>45876</v>
      </c>
      <c r="AG847" s="89">
        <f>'DIY Grundmodell'!S934</f>
        <v>761.83</v>
      </c>
      <c r="AH847" s="54">
        <f>'DIY Grundmodell'!T934</f>
        <v>6871.4712</v>
      </c>
      <c r="AI847" s="89">
        <f>'DIY Grundmodell'!U934</f>
        <v>761.83</v>
      </c>
      <c r="AJ847" s="89">
        <f>'DIY Grundmodell'!V934</f>
        <v>6871.4712</v>
      </c>
      <c r="AK847" s="989"/>
      <c r="AL847" s="33">
        <f>'DIY Grundmodell'!X934</f>
        <v>6339.99773</v>
      </c>
    </row>
    <row r="848" spans="32:38" ht="14.1" customHeight="1" x14ac:dyDescent="0.45">
      <c r="AF848" s="988">
        <f>'DIY Grundmodell'!R935</f>
        <v>45877</v>
      </c>
      <c r="AG848" s="89">
        <f>'DIY Grundmodell'!S935</f>
        <v>769.3</v>
      </c>
      <c r="AH848" s="54">
        <f>'DIY Grundmodell'!T935</f>
        <v>5631.85682</v>
      </c>
      <c r="AI848" s="89">
        <f>'DIY Grundmodell'!U935</f>
        <v>769.3</v>
      </c>
      <c r="AJ848" s="89">
        <f>'DIY Grundmodell'!V935</f>
        <v>5631.85682</v>
      </c>
      <c r="AK848" s="989"/>
      <c r="AL848" s="33">
        <f>'DIY Grundmodell'!X935</f>
        <v>6389.4453100000001</v>
      </c>
    </row>
    <row r="849" spans="32:38" ht="14.1" customHeight="1" x14ac:dyDescent="0.45">
      <c r="AF849" s="988">
        <f>'DIY Grundmodell'!R936</f>
        <v>45878</v>
      </c>
      <c r="AG849" s="89" t="e">
        <f>'DIY Grundmodell'!S936</f>
        <v>#N/A</v>
      </c>
      <c r="AH849" s="54" t="e">
        <f>'DIY Grundmodell'!T936</f>
        <v>#N/A</v>
      </c>
      <c r="AI849" s="89">
        <f>'DIY Grundmodell'!U936</f>
        <v>769.3</v>
      </c>
      <c r="AJ849" s="89">
        <f>'DIY Grundmodell'!V936</f>
        <v>0</v>
      </c>
      <c r="AK849" s="989"/>
      <c r="AL849" s="33">
        <f>'DIY Grundmodell'!X936</f>
        <v>6389.4453100000001</v>
      </c>
    </row>
    <row r="850" spans="32:38" ht="14.1" customHeight="1" x14ac:dyDescent="0.45">
      <c r="AF850" s="988">
        <f>'DIY Grundmodell'!R937</f>
        <v>45879</v>
      </c>
      <c r="AG850" s="89" t="e">
        <f>'DIY Grundmodell'!S937</f>
        <v>#N/A</v>
      </c>
      <c r="AH850" s="54" t="e">
        <f>'DIY Grundmodell'!T937</f>
        <v>#N/A</v>
      </c>
      <c r="AI850" s="89">
        <f>'DIY Grundmodell'!U937</f>
        <v>769.3</v>
      </c>
      <c r="AJ850" s="89">
        <f>'DIY Grundmodell'!V937</f>
        <v>0</v>
      </c>
      <c r="AK850" s="989"/>
      <c r="AL850" s="33">
        <f>'DIY Grundmodell'!X937</f>
        <v>6389.4453100000001</v>
      </c>
    </row>
    <row r="851" spans="32:38" ht="14.1" customHeight="1" x14ac:dyDescent="0.45">
      <c r="AF851" s="988">
        <f>'DIY Grundmodell'!R938</f>
        <v>45880</v>
      </c>
      <c r="AG851" s="89">
        <f>'DIY Grundmodell'!S938</f>
        <v>765.87</v>
      </c>
      <c r="AH851" s="54">
        <f>'DIY Grundmodell'!T938</f>
        <v>5829.7748700000002</v>
      </c>
      <c r="AI851" s="89">
        <f>'DIY Grundmodell'!U938</f>
        <v>765.87</v>
      </c>
      <c r="AJ851" s="89">
        <f>'DIY Grundmodell'!V938</f>
        <v>5829.7748700000002</v>
      </c>
      <c r="AK851" s="989"/>
      <c r="AL851" s="33">
        <f>'DIY Grundmodell'!X938</f>
        <v>6373.4533700000002</v>
      </c>
    </row>
    <row r="852" spans="32:38" ht="14.1" customHeight="1" x14ac:dyDescent="0.45">
      <c r="AF852" s="988">
        <f>'DIY Grundmodell'!R939</f>
        <v>45881</v>
      </c>
      <c r="AG852" s="89">
        <f>'DIY Grundmodell'!S939</f>
        <v>790</v>
      </c>
      <c r="AH852" s="54">
        <f>'DIY Grundmodell'!T939</f>
        <v>11518.014349999999</v>
      </c>
      <c r="AI852" s="89">
        <f>'DIY Grundmodell'!U939</f>
        <v>790</v>
      </c>
      <c r="AJ852" s="89">
        <f>'DIY Grundmodell'!V939</f>
        <v>11518.014349999999</v>
      </c>
      <c r="AK852" s="989"/>
      <c r="AL852" s="33">
        <f>'DIY Grundmodell'!X939</f>
        <v>6445.7622000000001</v>
      </c>
    </row>
    <row r="853" spans="32:38" ht="14.1" customHeight="1" x14ac:dyDescent="0.45">
      <c r="AF853" s="988">
        <f>'DIY Grundmodell'!R940</f>
        <v>45882</v>
      </c>
      <c r="AG853" s="89">
        <f>'DIY Grundmodell'!S940</f>
        <v>780.08</v>
      </c>
      <c r="AH853" s="54">
        <f>'DIY Grundmodell'!T940</f>
        <v>6873.8699399999996</v>
      </c>
      <c r="AI853" s="89">
        <f>'DIY Grundmodell'!U940</f>
        <v>780.08</v>
      </c>
      <c r="AJ853" s="89">
        <f>'DIY Grundmodell'!V940</f>
        <v>6873.8699399999996</v>
      </c>
      <c r="AK853" s="989"/>
      <c r="AL853" s="33">
        <f>'DIY Grundmodell'!X940</f>
        <v>6466.5846899999997</v>
      </c>
    </row>
    <row r="854" spans="32:38" ht="14.1" customHeight="1" x14ac:dyDescent="0.45">
      <c r="AF854" s="988">
        <f>'DIY Grundmodell'!R941</f>
        <v>45883</v>
      </c>
      <c r="AG854" s="89">
        <f>'DIY Grundmodell'!S941</f>
        <v>782.13</v>
      </c>
      <c r="AH854" s="54">
        <f>'DIY Grundmodell'!T941</f>
        <v>6347.9180299999998</v>
      </c>
      <c r="AI854" s="89">
        <f>'DIY Grundmodell'!U941</f>
        <v>782.13</v>
      </c>
      <c r="AJ854" s="89">
        <f>'DIY Grundmodell'!V941</f>
        <v>6347.9180299999998</v>
      </c>
      <c r="AK854" s="989"/>
      <c r="AL854" s="33">
        <f>'DIY Grundmodell'!X941</f>
        <v>6468.5351899999996</v>
      </c>
    </row>
    <row r="855" spans="32:38" ht="14.1" customHeight="1" x14ac:dyDescent="0.45">
      <c r="AF855" s="988">
        <f>'DIY Grundmodell'!R942</f>
        <v>45884</v>
      </c>
      <c r="AG855" s="89">
        <f>'DIY Grundmodell'!S942</f>
        <v>785.23</v>
      </c>
      <c r="AH855" s="54">
        <f>'DIY Grundmodell'!T942</f>
        <v>10502.73472</v>
      </c>
      <c r="AI855" s="89">
        <f>'DIY Grundmodell'!U942</f>
        <v>785.23</v>
      </c>
      <c r="AJ855" s="89">
        <f>'DIY Grundmodell'!V942</f>
        <v>10502.73472</v>
      </c>
      <c r="AK855" s="989"/>
      <c r="AL855" s="33">
        <f>'DIY Grundmodell'!X942</f>
        <v>6449.7965800000002</v>
      </c>
    </row>
    <row r="856" spans="32:38" ht="14.1" customHeight="1" x14ac:dyDescent="0.45">
      <c r="AF856" s="988">
        <f>'DIY Grundmodell'!R943</f>
        <v>45885</v>
      </c>
      <c r="AG856" s="89" t="e">
        <f>'DIY Grundmodell'!S943</f>
        <v>#N/A</v>
      </c>
      <c r="AH856" s="54" t="e">
        <f>'DIY Grundmodell'!T943</f>
        <v>#N/A</v>
      </c>
      <c r="AI856" s="89">
        <f>'DIY Grundmodell'!U943</f>
        <v>785.23</v>
      </c>
      <c r="AJ856" s="89">
        <f>'DIY Grundmodell'!V943</f>
        <v>0</v>
      </c>
      <c r="AK856" s="989"/>
      <c r="AL856" s="33">
        <f>'DIY Grundmodell'!X943</f>
        <v>6449.7965800000002</v>
      </c>
    </row>
    <row r="857" spans="32:38" ht="14.1" customHeight="1" x14ac:dyDescent="0.45">
      <c r="AF857" s="988">
        <f>'DIY Grundmodell'!R944</f>
        <v>45886</v>
      </c>
      <c r="AG857" s="89" t="e">
        <f>'DIY Grundmodell'!S944</f>
        <v>#N/A</v>
      </c>
      <c r="AH857" s="54" t="e">
        <f>'DIY Grundmodell'!T944</f>
        <v>#N/A</v>
      </c>
      <c r="AI857" s="89">
        <f>'DIY Grundmodell'!U944</f>
        <v>785.23</v>
      </c>
      <c r="AJ857" s="89">
        <f>'DIY Grundmodell'!V944</f>
        <v>0</v>
      </c>
      <c r="AK857" s="989"/>
      <c r="AL857" s="33">
        <f>'DIY Grundmodell'!X944</f>
        <v>6449.7965800000002</v>
      </c>
    </row>
    <row r="858" spans="32:38" ht="14.1" customHeight="1" x14ac:dyDescent="0.45">
      <c r="AF858" s="988">
        <f>'DIY Grundmodell'!R945</f>
        <v>45887</v>
      </c>
      <c r="AG858" s="89">
        <f>'DIY Grundmodell'!S945</f>
        <v>767.37</v>
      </c>
      <c r="AH858" s="54">
        <f>'DIY Grundmodell'!T945</f>
        <v>12672.146360000001</v>
      </c>
      <c r="AI858" s="89">
        <f>'DIY Grundmodell'!U945</f>
        <v>767.37</v>
      </c>
      <c r="AJ858" s="89">
        <f>'DIY Grundmodell'!V945</f>
        <v>12672.146360000001</v>
      </c>
      <c r="AK858" s="989"/>
      <c r="AL858" s="33">
        <f>'DIY Grundmodell'!X945</f>
        <v>6449.1491500000002</v>
      </c>
    </row>
    <row r="859" spans="32:38" ht="14.1" customHeight="1" x14ac:dyDescent="0.45">
      <c r="AF859" s="988">
        <f>'DIY Grundmodell'!R946</f>
        <v>45888</v>
      </c>
      <c r="AG859" s="89">
        <f>'DIY Grundmodell'!S946</f>
        <v>751.48</v>
      </c>
      <c r="AH859" s="54">
        <f>'DIY Grundmodell'!T946</f>
        <v>9233.2018000000007</v>
      </c>
      <c r="AI859" s="89">
        <f>'DIY Grundmodell'!U946</f>
        <v>751.48</v>
      </c>
      <c r="AJ859" s="89">
        <f>'DIY Grundmodell'!V946</f>
        <v>9233.2018000000007</v>
      </c>
      <c r="AK859" s="989"/>
      <c r="AL859" s="33">
        <f>'DIY Grundmodell'!X946</f>
        <v>6411.3745900000004</v>
      </c>
    </row>
    <row r="860" spans="32:38" ht="14.1" customHeight="1" x14ac:dyDescent="0.45">
      <c r="AF860" s="988">
        <f>'DIY Grundmodell'!R947</f>
        <v>45889</v>
      </c>
      <c r="AG860" s="89">
        <f>'DIY Grundmodell'!S947</f>
        <v>747.72</v>
      </c>
      <c r="AH860" s="54">
        <f>'DIY Grundmodell'!T947</f>
        <v>8896.5146299999997</v>
      </c>
      <c r="AI860" s="89">
        <f>'DIY Grundmodell'!U947</f>
        <v>747.72</v>
      </c>
      <c r="AJ860" s="89">
        <f>'DIY Grundmodell'!V947</f>
        <v>8896.5146299999997</v>
      </c>
      <c r="AK860" s="989"/>
      <c r="AL860" s="33">
        <f>'DIY Grundmodell'!X947</f>
        <v>6395.7811899999997</v>
      </c>
    </row>
    <row r="861" spans="32:38" ht="14.1" customHeight="1" x14ac:dyDescent="0.45">
      <c r="AF861" s="988">
        <f>'DIY Grundmodell'!R948</f>
        <v>45890</v>
      </c>
      <c r="AG861" s="89">
        <f>'DIY Grundmodell'!S948</f>
        <v>739.1</v>
      </c>
      <c r="AH861" s="54">
        <f>'DIY Grundmodell'!T948</f>
        <v>6560.4785000000002</v>
      </c>
      <c r="AI861" s="89">
        <f>'DIY Grundmodell'!U948</f>
        <v>739.1</v>
      </c>
      <c r="AJ861" s="89">
        <f>'DIY Grundmodell'!V948</f>
        <v>6560.4785000000002</v>
      </c>
      <c r="AK861" s="989"/>
      <c r="AL861" s="33">
        <f>'DIY Grundmodell'!X948</f>
        <v>6370.1726699999999</v>
      </c>
    </row>
    <row r="862" spans="32:38" ht="14.1" customHeight="1" x14ac:dyDescent="0.45">
      <c r="AF862" s="988">
        <f>'DIY Grundmodell'!R949</f>
        <v>45891</v>
      </c>
      <c r="AG862" s="89">
        <f>'DIY Grundmodell'!S949</f>
        <v>754.79</v>
      </c>
      <c r="AH862" s="54">
        <f>'DIY Grundmodell'!T949</f>
        <v>8010.33493</v>
      </c>
      <c r="AI862" s="89">
        <f>'DIY Grundmodell'!U949</f>
        <v>754.79</v>
      </c>
      <c r="AJ862" s="89">
        <f>'DIY Grundmodell'!V949</f>
        <v>8010.33493</v>
      </c>
      <c r="AK862" s="989"/>
      <c r="AL862" s="33">
        <f>'DIY Grundmodell'!X949</f>
        <v>6466.9129700000003</v>
      </c>
    </row>
    <row r="863" spans="32:38" ht="14.1" customHeight="1" x14ac:dyDescent="0.45">
      <c r="AF863" s="988">
        <f>'DIY Grundmodell'!R950</f>
        <v>45892</v>
      </c>
      <c r="AG863" s="89" t="e">
        <f>'DIY Grundmodell'!S950</f>
        <v>#N/A</v>
      </c>
      <c r="AH863" s="54" t="e">
        <f>'DIY Grundmodell'!T950</f>
        <v>#N/A</v>
      </c>
      <c r="AI863" s="89">
        <f>'DIY Grundmodell'!U950</f>
        <v>754.79</v>
      </c>
      <c r="AJ863" s="89">
        <f>'DIY Grundmodell'!V950</f>
        <v>0</v>
      </c>
      <c r="AK863" s="989"/>
      <c r="AL863" s="33">
        <f>'DIY Grundmodell'!X950</f>
        <v>6466.9129700000003</v>
      </c>
    </row>
    <row r="864" spans="32:38" ht="14.1" customHeight="1" x14ac:dyDescent="0.45">
      <c r="AF864" s="988">
        <f>'DIY Grundmodell'!R951</f>
        <v>45893</v>
      </c>
      <c r="AG864" s="89" t="e">
        <f>'DIY Grundmodell'!S951</f>
        <v>#N/A</v>
      </c>
      <c r="AH864" s="54" t="e">
        <f>'DIY Grundmodell'!T951</f>
        <v>#N/A</v>
      </c>
      <c r="AI864" s="89">
        <f>'DIY Grundmodell'!U951</f>
        <v>754.79</v>
      </c>
      <c r="AJ864" s="89">
        <f>'DIY Grundmodell'!V951</f>
        <v>0</v>
      </c>
      <c r="AK864" s="989"/>
      <c r="AL864" s="33">
        <f>'DIY Grundmodell'!X951</f>
        <v>6466.9129700000003</v>
      </c>
    </row>
    <row r="865" spans="32:38" ht="14.1" customHeight="1" x14ac:dyDescent="0.45">
      <c r="AF865" s="988">
        <f>'DIY Grundmodell'!R952</f>
        <v>45894</v>
      </c>
      <c r="AG865" s="89">
        <f>'DIY Grundmodell'!S952</f>
        <v>753.3</v>
      </c>
      <c r="AH865" s="54">
        <f>'DIY Grundmodell'!T952</f>
        <v>5168.5103200000003</v>
      </c>
      <c r="AI865" s="89">
        <f>'DIY Grundmodell'!U952</f>
        <v>753.3</v>
      </c>
      <c r="AJ865" s="89">
        <f>'DIY Grundmodell'!V952</f>
        <v>5168.5103200000003</v>
      </c>
      <c r="AK865" s="989"/>
      <c r="AL865" s="33">
        <f>'DIY Grundmodell'!X952</f>
        <v>6439.31988</v>
      </c>
    </row>
    <row r="866" spans="32:38" ht="14.1" customHeight="1" x14ac:dyDescent="0.45">
      <c r="AF866" s="988">
        <f>'DIY Grundmodell'!R953</f>
        <v>45895</v>
      </c>
      <c r="AG866" s="89">
        <f>'DIY Grundmodell'!S953</f>
        <v>754.1</v>
      </c>
      <c r="AH866" s="54">
        <f>'DIY Grundmodell'!T953</f>
        <v>5732.5173800000002</v>
      </c>
      <c r="AI866" s="89">
        <f>'DIY Grundmodell'!U953</f>
        <v>754.1</v>
      </c>
      <c r="AJ866" s="89">
        <f>'DIY Grundmodell'!V953</f>
        <v>5732.5173800000002</v>
      </c>
      <c r="AK866" s="989"/>
      <c r="AL866" s="33">
        <f>'DIY Grundmodell'!X953</f>
        <v>6465.9352799999997</v>
      </c>
    </row>
    <row r="867" spans="32:38" ht="14.1" customHeight="1" x14ac:dyDescent="0.45">
      <c r="AF867" s="988">
        <f>'DIY Grundmodell'!R954</f>
        <v>45896</v>
      </c>
      <c r="AG867" s="89">
        <f>'DIY Grundmodell'!S954</f>
        <v>747.38</v>
      </c>
      <c r="AH867" s="54">
        <f>'DIY Grundmodell'!T954</f>
        <v>6214.7898100000002</v>
      </c>
      <c r="AI867" s="89">
        <f>'DIY Grundmodell'!U954</f>
        <v>747.38</v>
      </c>
      <c r="AJ867" s="89">
        <f>'DIY Grundmodell'!V954</f>
        <v>6214.7898100000002</v>
      </c>
      <c r="AK867" s="989"/>
      <c r="AL867" s="33">
        <f>'DIY Grundmodell'!X954</f>
        <v>6481.40319</v>
      </c>
    </row>
    <row r="868" spans="32:38" ht="14.1" customHeight="1" x14ac:dyDescent="0.45">
      <c r="AF868" s="988">
        <f>'DIY Grundmodell'!R955</f>
        <v>45897</v>
      </c>
      <c r="AG868" s="89">
        <f>'DIY Grundmodell'!S955</f>
        <v>751.11</v>
      </c>
      <c r="AH868" s="54">
        <f>'DIY Grundmodell'!T955</f>
        <v>5609.2556800000002</v>
      </c>
      <c r="AI868" s="89">
        <f>'DIY Grundmodell'!U955</f>
        <v>751.11</v>
      </c>
      <c r="AJ868" s="89">
        <f>'DIY Grundmodell'!V955</f>
        <v>5609.2556800000002</v>
      </c>
      <c r="AK868" s="989"/>
      <c r="AL868" s="33">
        <f>'DIY Grundmodell'!X955</f>
        <v>6501.8594199999998</v>
      </c>
    </row>
    <row r="869" spans="32:38" ht="14.1" customHeight="1" x14ac:dyDescent="0.45">
      <c r="AF869" s="988">
        <f>'DIY Grundmodell'!R956</f>
        <v>45898</v>
      </c>
      <c r="AG869" s="89">
        <f>'DIY Grundmodell'!S956</f>
        <v>738.7</v>
      </c>
      <c r="AH869" s="54">
        <f>'DIY Grundmodell'!T956</f>
        <v>6700.4123300000001</v>
      </c>
      <c r="AI869" s="89">
        <f>'DIY Grundmodell'!U956</f>
        <v>738.7</v>
      </c>
      <c r="AJ869" s="89">
        <f>'DIY Grundmodell'!V956</f>
        <v>6700.4123300000001</v>
      </c>
      <c r="AK869" s="989"/>
      <c r="AL869" s="33">
        <f>'DIY Grundmodell'!X956</f>
        <v>6460.2626700000001</v>
      </c>
    </row>
    <row r="870" spans="32:38" ht="14.1" customHeight="1" x14ac:dyDescent="0.45">
      <c r="AF870" s="988">
        <f>'DIY Grundmodell'!R957</f>
        <v>45899</v>
      </c>
      <c r="AG870" s="89" t="e">
        <f>'DIY Grundmodell'!S957</f>
        <v>#N/A</v>
      </c>
      <c r="AH870" s="54" t="e">
        <f>'DIY Grundmodell'!T957</f>
        <v>#N/A</v>
      </c>
      <c r="AI870" s="89">
        <f>'DIY Grundmodell'!U957</f>
        <v>738.7</v>
      </c>
      <c r="AJ870" s="89">
        <f>'DIY Grundmodell'!V957</f>
        <v>0</v>
      </c>
      <c r="AK870" s="989"/>
      <c r="AL870" s="33">
        <f>'DIY Grundmodell'!X957</f>
        <v>6460.2626700000001</v>
      </c>
    </row>
    <row r="871" spans="32:38" ht="14.1" customHeight="1" x14ac:dyDescent="0.45">
      <c r="AF871" s="988">
        <f>'DIY Grundmodell'!R958</f>
        <v>45900</v>
      </c>
      <c r="AG871" s="89" t="e">
        <f>'DIY Grundmodell'!S958</f>
        <v>#N/A</v>
      </c>
      <c r="AH871" s="54" t="e">
        <f>'DIY Grundmodell'!T958</f>
        <v>#N/A</v>
      </c>
      <c r="AI871" s="89">
        <f>'DIY Grundmodell'!U958</f>
        <v>738.7</v>
      </c>
      <c r="AJ871" s="89">
        <f>'DIY Grundmodell'!V958</f>
        <v>0</v>
      </c>
      <c r="AK871" s="989"/>
      <c r="AL871" s="33">
        <f>'DIY Grundmodell'!X958</f>
        <v>6460.2626700000001</v>
      </c>
    </row>
    <row r="872" spans="32:38" ht="14.1" customHeight="1" x14ac:dyDescent="0.45">
      <c r="AF872" s="988">
        <f>'DIY Grundmodell'!R959</f>
        <v>45901</v>
      </c>
      <c r="AG872" s="89" t="e">
        <f>'DIY Grundmodell'!S959</f>
        <v>#N/A</v>
      </c>
      <c r="AH872" s="54" t="e">
        <f>'DIY Grundmodell'!T959</f>
        <v>#N/A</v>
      </c>
      <c r="AI872" s="89">
        <f>'DIY Grundmodell'!U959</f>
        <v>738.7</v>
      </c>
      <c r="AJ872" s="89">
        <f>'DIY Grundmodell'!V959</f>
        <v>0</v>
      </c>
      <c r="AK872" s="989"/>
      <c r="AL872" s="33">
        <f>'DIY Grundmodell'!X959</f>
        <v>6460.2626700000001</v>
      </c>
    </row>
    <row r="873" spans="32:38" ht="14.1" customHeight="1" x14ac:dyDescent="0.45">
      <c r="AF873" s="988">
        <f>'DIY Grundmodell'!R960</f>
        <v>45902</v>
      </c>
      <c r="AG873" s="89">
        <f>'DIY Grundmodell'!S960</f>
        <v>735.11</v>
      </c>
      <c r="AH873" s="54">
        <f>'DIY Grundmodell'!T960</f>
        <v>6873.9084899999998</v>
      </c>
      <c r="AI873" s="89">
        <f>'DIY Grundmodell'!U960</f>
        <v>735.11</v>
      </c>
      <c r="AJ873" s="89">
        <f>'DIY Grundmodell'!V960</f>
        <v>6873.9084899999998</v>
      </c>
      <c r="AK873" s="989"/>
      <c r="AL873" s="33">
        <f>'DIY Grundmodell'!X960</f>
        <v>6415.5413399999998</v>
      </c>
    </row>
    <row r="874" spans="32:38" ht="14.1" customHeight="1" x14ac:dyDescent="0.45">
      <c r="AF874" s="988">
        <f>'DIY Grundmodell'!R961</f>
        <v>45903</v>
      </c>
      <c r="AG874" s="89">
        <f>'DIY Grundmodell'!S961</f>
        <v>737.05</v>
      </c>
      <c r="AH874" s="54">
        <f>'DIY Grundmodell'!T961</f>
        <v>5674.7926500000003</v>
      </c>
      <c r="AI874" s="89">
        <f>'DIY Grundmodell'!U961</f>
        <v>737.05</v>
      </c>
      <c r="AJ874" s="89">
        <f>'DIY Grundmodell'!V961</f>
        <v>5674.7926500000003</v>
      </c>
      <c r="AK874" s="989"/>
      <c r="AL874" s="33">
        <f>'DIY Grundmodell'!X961</f>
        <v>6448.2608499999997</v>
      </c>
    </row>
    <row r="875" spans="32:38" ht="14.1" customHeight="1" x14ac:dyDescent="0.45">
      <c r="AF875" s="988">
        <f>'DIY Grundmodell'!R962</f>
        <v>45904</v>
      </c>
      <c r="AG875" s="89">
        <f>'DIY Grundmodell'!S962</f>
        <v>748.65</v>
      </c>
      <c r="AH875" s="54">
        <f>'DIY Grundmodell'!T962</f>
        <v>8563.8657500000008</v>
      </c>
      <c r="AI875" s="89">
        <f>'DIY Grundmodell'!U962</f>
        <v>748.65</v>
      </c>
      <c r="AJ875" s="89">
        <f>'DIY Grundmodell'!V962</f>
        <v>8563.8657500000008</v>
      </c>
      <c r="AK875" s="989"/>
      <c r="AL875" s="33">
        <f>'DIY Grundmodell'!X962</f>
        <v>6502.0829199999998</v>
      </c>
    </row>
    <row r="876" spans="32:38" ht="14.1" customHeight="1" x14ac:dyDescent="0.45">
      <c r="AF876" s="988">
        <f>'DIY Grundmodell'!R963</f>
        <v>45905</v>
      </c>
      <c r="AG876" s="89">
        <f>'DIY Grundmodell'!S963</f>
        <v>752.45</v>
      </c>
      <c r="AH876" s="54">
        <f>'DIY Grundmodell'!T963</f>
        <v>7271.2561800000003</v>
      </c>
      <c r="AI876" s="89">
        <f>'DIY Grundmodell'!U963</f>
        <v>752.45</v>
      </c>
      <c r="AJ876" s="89">
        <f>'DIY Grundmodell'!V963</f>
        <v>7271.2561800000003</v>
      </c>
      <c r="AK876" s="989"/>
      <c r="AL876" s="33">
        <f>'DIY Grundmodell'!X963</f>
        <v>6481.4955300000001</v>
      </c>
    </row>
    <row r="877" spans="32:38" ht="14.1" customHeight="1" x14ac:dyDescent="0.45">
      <c r="AF877" s="988">
        <f>'DIY Grundmodell'!R964</f>
        <v>45906</v>
      </c>
      <c r="AG877" s="89" t="e">
        <f>'DIY Grundmodell'!S964</f>
        <v>#N/A</v>
      </c>
      <c r="AH877" s="54" t="e">
        <f>'DIY Grundmodell'!T964</f>
        <v>#N/A</v>
      </c>
      <c r="AI877" s="89">
        <f>'DIY Grundmodell'!U964</f>
        <v>752.45</v>
      </c>
      <c r="AJ877" s="89">
        <f>'DIY Grundmodell'!V964</f>
        <v>0</v>
      </c>
      <c r="AK877" s="989"/>
      <c r="AL877" s="33">
        <f>'DIY Grundmodell'!X964</f>
        <v>6481.4955300000001</v>
      </c>
    </row>
    <row r="878" spans="32:38" ht="14.1" customHeight="1" x14ac:dyDescent="0.45">
      <c r="AF878" s="988">
        <f>'DIY Grundmodell'!R965</f>
        <v>45907</v>
      </c>
      <c r="AG878" s="89" t="e">
        <f>'DIY Grundmodell'!S965</f>
        <v>#N/A</v>
      </c>
      <c r="AH878" s="54" t="e">
        <f>'DIY Grundmodell'!T965</f>
        <v>#N/A</v>
      </c>
      <c r="AI878" s="89">
        <f>'DIY Grundmodell'!U965</f>
        <v>752.45</v>
      </c>
      <c r="AJ878" s="89">
        <f>'DIY Grundmodell'!V965</f>
        <v>0</v>
      </c>
      <c r="AK878" s="989"/>
      <c r="AL878" s="33">
        <f>'DIY Grundmodell'!X965</f>
        <v>6481.4955300000001</v>
      </c>
    </row>
    <row r="879" spans="32:38" ht="14.1" customHeight="1" x14ac:dyDescent="0.45">
      <c r="AF879" s="988">
        <f>'DIY Grundmodell'!R966</f>
        <v>45908</v>
      </c>
      <c r="AG879" s="89">
        <f>'DIY Grundmodell'!S966</f>
        <v>752.3</v>
      </c>
      <c r="AH879" s="54">
        <f>'DIY Grundmodell'!T966</f>
        <v>9845.9639800000004</v>
      </c>
      <c r="AI879" s="89">
        <f>'DIY Grundmodell'!U966</f>
        <v>752.3</v>
      </c>
      <c r="AJ879" s="89">
        <f>'DIY Grundmodell'!V966</f>
        <v>9845.9639800000004</v>
      </c>
      <c r="AK879" s="989"/>
      <c r="AL879" s="33">
        <f>'DIY Grundmodell'!X966</f>
        <v>6495.1548300000004</v>
      </c>
    </row>
    <row r="880" spans="32:38" ht="14.1" customHeight="1" x14ac:dyDescent="0.45">
      <c r="AF880" s="988">
        <f>'DIY Grundmodell'!R967</f>
        <v>45909</v>
      </c>
      <c r="AG880" s="89">
        <f>'DIY Grundmodell'!S967</f>
        <v>765.7</v>
      </c>
      <c r="AH880" s="54">
        <f>'DIY Grundmodell'!T967</f>
        <v>8421.9542099999999</v>
      </c>
      <c r="AI880" s="89">
        <f>'DIY Grundmodell'!U967</f>
        <v>765.7</v>
      </c>
      <c r="AJ880" s="89">
        <f>'DIY Grundmodell'!V967</f>
        <v>8421.9542099999999</v>
      </c>
      <c r="AK880" s="989"/>
      <c r="AL880" s="33">
        <f>'DIY Grundmodell'!X967</f>
        <v>6512.6107499999998</v>
      </c>
    </row>
    <row r="881" spans="32:38" ht="14.1" customHeight="1" x14ac:dyDescent="0.45">
      <c r="AF881" s="988">
        <f>'DIY Grundmodell'!R968</f>
        <v>45910</v>
      </c>
      <c r="AG881" s="89">
        <f>'DIY Grundmodell'!S968</f>
        <v>751.98</v>
      </c>
      <c r="AH881" s="54">
        <f>'DIY Grundmodell'!T968</f>
        <v>9383.4139899999991</v>
      </c>
      <c r="AI881" s="89">
        <f>'DIY Grundmodell'!U968</f>
        <v>751.98</v>
      </c>
      <c r="AJ881" s="89">
        <f>'DIY Grundmodell'!V968</f>
        <v>9383.4139899999991</v>
      </c>
      <c r="AK881" s="989"/>
      <c r="AL881" s="33">
        <f>'DIY Grundmodell'!X968</f>
        <v>6532.0433400000002</v>
      </c>
    </row>
    <row r="882" spans="32:38" ht="14.1" customHeight="1" x14ac:dyDescent="0.45">
      <c r="AF882" s="988">
        <f>'DIY Grundmodell'!R969</f>
        <v>45911</v>
      </c>
      <c r="AG882" s="89">
        <f>'DIY Grundmodell'!S969</f>
        <v>750.9</v>
      </c>
      <c r="AH882" s="54">
        <f>'DIY Grundmodell'!T969</f>
        <v>5949.5939600000002</v>
      </c>
      <c r="AI882" s="89">
        <f>'DIY Grundmodell'!U969</f>
        <v>750.9</v>
      </c>
      <c r="AJ882" s="89">
        <f>'DIY Grundmodell'!V969</f>
        <v>5949.5939600000002</v>
      </c>
      <c r="AK882" s="989"/>
      <c r="AL882" s="33">
        <f>'DIY Grundmodell'!X969</f>
        <v>6587.4708700000001</v>
      </c>
    </row>
    <row r="883" spans="32:38" ht="14.1" customHeight="1" x14ac:dyDescent="0.45">
      <c r="AF883" s="988">
        <f>'DIY Grundmodell'!R970</f>
        <v>45912</v>
      </c>
      <c r="AG883" s="89">
        <f>'DIY Grundmodell'!S970</f>
        <v>755.59</v>
      </c>
      <c r="AH883" s="54">
        <f>'DIY Grundmodell'!T970</f>
        <v>6232.52718</v>
      </c>
      <c r="AI883" s="89">
        <f>'DIY Grundmodell'!U970</f>
        <v>755.59</v>
      </c>
      <c r="AJ883" s="89">
        <f>'DIY Grundmodell'!V970</f>
        <v>6232.52718</v>
      </c>
      <c r="AK883" s="989"/>
      <c r="AL883" s="33">
        <f>'DIY Grundmodell'!X970</f>
        <v>6584.2850200000003</v>
      </c>
    </row>
    <row r="884" spans="32:38" ht="14.1" customHeight="1" x14ac:dyDescent="0.45">
      <c r="AF884" s="988">
        <f>'DIY Grundmodell'!R971</f>
        <v>45913</v>
      </c>
      <c r="AG884" s="89" t="e">
        <f>'DIY Grundmodell'!S971</f>
        <v>#N/A</v>
      </c>
      <c r="AH884" s="54" t="e">
        <f>'DIY Grundmodell'!T971</f>
        <v>#N/A</v>
      </c>
      <c r="AI884" s="89">
        <f>'DIY Grundmodell'!U971</f>
        <v>755.59</v>
      </c>
      <c r="AJ884" s="89">
        <f>'DIY Grundmodell'!V971</f>
        <v>0</v>
      </c>
      <c r="AK884" s="989"/>
      <c r="AL884" s="33">
        <f>'DIY Grundmodell'!X971</f>
        <v>6584.2850200000003</v>
      </c>
    </row>
    <row r="885" spans="32:38" ht="14.1" customHeight="1" x14ac:dyDescent="0.45">
      <c r="AF885" s="988">
        <f>'DIY Grundmodell'!R972</f>
        <v>45914</v>
      </c>
      <c r="AG885" s="89" t="e">
        <f>'DIY Grundmodell'!S972</f>
        <v>#N/A</v>
      </c>
      <c r="AH885" s="54" t="e">
        <f>'DIY Grundmodell'!T972</f>
        <v>#N/A</v>
      </c>
      <c r="AI885" s="89">
        <f>'DIY Grundmodell'!U972</f>
        <v>755.59</v>
      </c>
      <c r="AJ885" s="89">
        <f>'DIY Grundmodell'!V972</f>
        <v>0</v>
      </c>
      <c r="AK885" s="989"/>
      <c r="AL885" s="33">
        <f>'DIY Grundmodell'!X972</f>
        <v>6584.2850200000003</v>
      </c>
    </row>
    <row r="886" spans="32:38" ht="14.1" customHeight="1" x14ac:dyDescent="0.45">
      <c r="AF886" s="988">
        <f>'DIY Grundmodell'!R973</f>
        <v>45915</v>
      </c>
      <c r="AG886" s="89">
        <f>'DIY Grundmodell'!S973</f>
        <v>764.7</v>
      </c>
      <c r="AH886" s="54">
        <f>'DIY Grundmodell'!T973</f>
        <v>8055.1815699999997</v>
      </c>
      <c r="AI886" s="89">
        <f>'DIY Grundmodell'!U973</f>
        <v>764.7</v>
      </c>
      <c r="AJ886" s="89">
        <f>'DIY Grundmodell'!V973</f>
        <v>8055.1815699999997</v>
      </c>
      <c r="AK886" s="989"/>
      <c r="AL886" s="33">
        <f>'DIY Grundmodell'!X973</f>
        <v>6615.2767599999997</v>
      </c>
    </row>
    <row r="887" spans="32:38" ht="14.1" customHeight="1" x14ac:dyDescent="0.45">
      <c r="AF887" s="988">
        <f>'DIY Grundmodell'!R974</f>
        <v>45916</v>
      </c>
      <c r="AG887" s="89">
        <f>'DIY Grundmodell'!S974</f>
        <v>779</v>
      </c>
      <c r="AH887" s="54">
        <f>'DIY Grundmodell'!T974</f>
        <v>9178.5534800000005</v>
      </c>
      <c r="AI887" s="89">
        <f>'DIY Grundmodell'!U974</f>
        <v>779</v>
      </c>
      <c r="AJ887" s="89">
        <f>'DIY Grundmodell'!V974</f>
        <v>9178.5534800000005</v>
      </c>
      <c r="AK887" s="989"/>
      <c r="AL887" s="33">
        <f>'DIY Grundmodell'!X974</f>
        <v>6606.75594</v>
      </c>
    </row>
    <row r="888" spans="32:38" ht="14.1" customHeight="1" x14ac:dyDescent="0.45">
      <c r="AF888" s="988">
        <f>'DIY Grundmodell'!R975</f>
        <v>45917</v>
      </c>
      <c r="AG888" s="89">
        <f>'DIY Grundmodell'!S975</f>
        <v>775.71500000000003</v>
      </c>
      <c r="AH888" s="54">
        <f>'DIY Grundmodell'!T975</f>
        <v>7292.3935499999998</v>
      </c>
      <c r="AI888" s="89">
        <f>'DIY Grundmodell'!U975</f>
        <v>775.71500000000003</v>
      </c>
      <c r="AJ888" s="89">
        <f>'DIY Grundmodell'!V975</f>
        <v>7292.3935499999998</v>
      </c>
      <c r="AK888" s="989"/>
      <c r="AL888" s="33">
        <f>'DIY Grundmodell'!X975</f>
        <v>6600.3470900000002</v>
      </c>
    </row>
    <row r="889" spans="32:38" ht="14.1" customHeight="1" x14ac:dyDescent="0.45">
      <c r="AF889" s="988">
        <f>'DIY Grundmodell'!R976</f>
        <v>45918</v>
      </c>
      <c r="AG889" s="89">
        <f>'DIY Grundmodell'!S976</f>
        <v>780.25</v>
      </c>
      <c r="AH889" s="54">
        <f>'DIY Grundmodell'!T976</f>
        <v>8547.5997399999997</v>
      </c>
      <c r="AI889" s="89">
        <f>'DIY Grundmodell'!U976</f>
        <v>780.25</v>
      </c>
      <c r="AJ889" s="89">
        <f>'DIY Grundmodell'!V976</f>
        <v>8547.5997399999997</v>
      </c>
      <c r="AK889" s="989"/>
      <c r="AL889" s="33">
        <f>'DIY Grundmodell'!X976</f>
        <v>6631.9628899999998</v>
      </c>
    </row>
    <row r="890" spans="32:38" ht="14.1" customHeight="1" x14ac:dyDescent="0.45">
      <c r="AF890" s="988">
        <f>'DIY Grundmodell'!R977</f>
        <v>45919</v>
      </c>
      <c r="AG890" s="89">
        <f>'DIY Grundmodell'!S977</f>
        <v>778.38</v>
      </c>
      <c r="AH890" s="54">
        <f>'DIY Grundmodell'!T977</f>
        <v>18445.133870000001</v>
      </c>
      <c r="AI890" s="89">
        <f>'DIY Grundmodell'!U977</f>
        <v>778.38</v>
      </c>
      <c r="AJ890" s="89">
        <f>'DIY Grundmodell'!V977</f>
        <v>18445.133870000001</v>
      </c>
      <c r="AK890" s="989"/>
      <c r="AL890" s="33">
        <f>'DIY Grundmodell'!X977</f>
        <v>6664.3648000000003</v>
      </c>
    </row>
    <row r="891" spans="32:38" ht="14.1" customHeight="1" x14ac:dyDescent="0.45">
      <c r="AF891" s="988">
        <f>'DIY Grundmodell'!R978</f>
        <v>45920</v>
      </c>
      <c r="AG891" s="89" t="e">
        <f>'DIY Grundmodell'!S978</f>
        <v>#N/A</v>
      </c>
      <c r="AH891" s="54" t="e">
        <f>'DIY Grundmodell'!T978</f>
        <v>#N/A</v>
      </c>
      <c r="AI891" s="89">
        <f>'DIY Grundmodell'!U978</f>
        <v>778.38</v>
      </c>
      <c r="AJ891" s="89">
        <f>'DIY Grundmodell'!V978</f>
        <v>0</v>
      </c>
      <c r="AK891" s="989"/>
      <c r="AL891" s="33">
        <f>'DIY Grundmodell'!X978</f>
        <v>6664.3648000000003</v>
      </c>
    </row>
    <row r="892" spans="32:38" ht="14.1" customHeight="1" x14ac:dyDescent="0.45">
      <c r="AF892" s="988">
        <f>'DIY Grundmodell'!R979</f>
        <v>45921</v>
      </c>
      <c r="AG892" s="89" t="e">
        <f>'DIY Grundmodell'!S979</f>
        <v>#N/A</v>
      </c>
      <c r="AH892" s="54" t="e">
        <f>'DIY Grundmodell'!T979</f>
        <v>#N/A</v>
      </c>
      <c r="AI892" s="89">
        <f>'DIY Grundmodell'!U979</f>
        <v>778.38</v>
      </c>
      <c r="AJ892" s="89">
        <f>'DIY Grundmodell'!V979</f>
        <v>0</v>
      </c>
      <c r="AK892" s="989"/>
      <c r="AL892" s="33">
        <f>'DIY Grundmodell'!X979</f>
        <v>6664.3648000000003</v>
      </c>
    </row>
    <row r="893" spans="32:38" ht="14.1" customHeight="1" x14ac:dyDescent="0.45">
      <c r="AF893" s="988">
        <f>'DIY Grundmodell'!R980</f>
        <v>45922</v>
      </c>
      <c r="AG893" s="89">
        <f>'DIY Grundmodell'!S980</f>
        <v>765.16</v>
      </c>
      <c r="AH893" s="54">
        <f>'DIY Grundmodell'!T980</f>
        <v>8957.6867999999995</v>
      </c>
      <c r="AI893" s="89">
        <f>'DIY Grundmodell'!U980</f>
        <v>765.16</v>
      </c>
      <c r="AJ893" s="89">
        <f>'DIY Grundmodell'!V980</f>
        <v>8957.6867999999995</v>
      </c>
      <c r="AK893" s="989"/>
      <c r="AL893" s="33">
        <f>'DIY Grundmodell'!X980</f>
        <v>6693.7533400000002</v>
      </c>
    </row>
    <row r="894" spans="32:38" ht="14.1" customHeight="1" x14ac:dyDescent="0.45">
      <c r="AF894" s="988">
        <f>'DIY Grundmodell'!R981</f>
        <v>45923</v>
      </c>
      <c r="AG894" s="89">
        <f>'DIY Grundmodell'!S981</f>
        <v>755.4</v>
      </c>
      <c r="AH894" s="54">
        <f>'DIY Grundmodell'!T981</f>
        <v>8213.1560000000009</v>
      </c>
      <c r="AI894" s="89">
        <f>'DIY Grundmodell'!U981</f>
        <v>755.4</v>
      </c>
      <c r="AJ894" s="89">
        <f>'DIY Grundmodell'!V981</f>
        <v>8213.1560000000009</v>
      </c>
      <c r="AK894" s="989"/>
      <c r="AL894" s="33">
        <f>'DIY Grundmodell'!X981</f>
        <v>6656.9198800000004</v>
      </c>
    </row>
    <row r="895" spans="32:38" ht="14.1" customHeight="1" x14ac:dyDescent="0.45">
      <c r="AF895" s="988">
        <f>'DIY Grundmodell'!R982</f>
        <v>45924</v>
      </c>
      <c r="AG895" s="89">
        <f>'DIY Grundmodell'!S982</f>
        <v>760.66</v>
      </c>
      <c r="AH895" s="54">
        <f>'DIY Grundmodell'!T982</f>
        <v>6715.2791500000003</v>
      </c>
      <c r="AI895" s="89">
        <f>'DIY Grundmodell'!U982</f>
        <v>760.66</v>
      </c>
      <c r="AJ895" s="89">
        <f>'DIY Grundmodell'!V982</f>
        <v>6715.2791500000003</v>
      </c>
      <c r="AK895" s="989"/>
      <c r="AL895" s="33">
        <f>'DIY Grundmodell'!X982</f>
        <v>6637.9736700000003</v>
      </c>
    </row>
    <row r="896" spans="32:38" ht="14.1" customHeight="1" x14ac:dyDescent="0.45">
      <c r="AF896" s="988">
        <f>'DIY Grundmodell'!R983</f>
        <v>45925</v>
      </c>
      <c r="AG896" s="89">
        <f>'DIY Grundmodell'!S983</f>
        <v>748.91</v>
      </c>
      <c r="AH896" s="54">
        <f>'DIY Grundmodell'!T983</f>
        <v>7931.7544900000003</v>
      </c>
      <c r="AI896" s="89">
        <f>'DIY Grundmodell'!U983</f>
        <v>748.91</v>
      </c>
      <c r="AJ896" s="89">
        <f>'DIY Grundmodell'!V983</f>
        <v>7931.7544900000003</v>
      </c>
      <c r="AK896" s="989"/>
      <c r="AL896" s="33">
        <f>'DIY Grundmodell'!X983</f>
        <v>6604.7172399999999</v>
      </c>
    </row>
    <row r="897" spans="32:38" ht="14.1" customHeight="1" x14ac:dyDescent="0.45">
      <c r="AF897" s="988">
        <f>'DIY Grundmodell'!R984</f>
        <v>45926</v>
      </c>
      <c r="AG897" s="89">
        <f>'DIY Grundmodell'!S984</f>
        <v>743.75</v>
      </c>
      <c r="AH897" s="54">
        <f>'DIY Grundmodell'!T984</f>
        <v>7211.65139</v>
      </c>
      <c r="AI897" s="89">
        <f>'DIY Grundmodell'!U984</f>
        <v>743.75</v>
      </c>
      <c r="AJ897" s="89">
        <f>'DIY Grundmodell'!V984</f>
        <v>7211.65139</v>
      </c>
      <c r="AK897" s="989"/>
      <c r="AL897" s="33">
        <f>'DIY Grundmodell'!X984</f>
        <v>6643.6975400000001</v>
      </c>
    </row>
    <row r="898" spans="32:38" ht="14.1" customHeight="1" x14ac:dyDescent="0.45">
      <c r="AF898" s="988">
        <f>'DIY Grundmodell'!R985</f>
        <v>45927</v>
      </c>
      <c r="AG898" s="89" t="e">
        <f>'DIY Grundmodell'!S985</f>
        <v>#N/A</v>
      </c>
      <c r="AH898" s="54" t="e">
        <f>'DIY Grundmodell'!T985</f>
        <v>#N/A</v>
      </c>
      <c r="AI898" s="89">
        <f>'DIY Grundmodell'!U985</f>
        <v>743.75</v>
      </c>
      <c r="AJ898" s="89">
        <f>'DIY Grundmodell'!V985</f>
        <v>0</v>
      </c>
      <c r="AK898" s="989"/>
      <c r="AL898" s="33">
        <f>'DIY Grundmodell'!X985</f>
        <v>6643.6975400000001</v>
      </c>
    </row>
    <row r="899" spans="32:38" ht="14.1" customHeight="1" x14ac:dyDescent="0.45">
      <c r="AF899" s="988">
        <f>'DIY Grundmodell'!R986</f>
        <v>45928</v>
      </c>
      <c r="AG899" s="89" t="e">
        <f>'DIY Grundmodell'!S986</f>
        <v>#N/A</v>
      </c>
      <c r="AH899" s="54" t="e">
        <f>'DIY Grundmodell'!T986</f>
        <v>#N/A</v>
      </c>
      <c r="AI899" s="89">
        <f>'DIY Grundmodell'!U986</f>
        <v>743.75</v>
      </c>
      <c r="AJ899" s="89">
        <f>'DIY Grundmodell'!V986</f>
        <v>0</v>
      </c>
      <c r="AK899" s="989"/>
      <c r="AL899" s="33">
        <f>'DIY Grundmodell'!X986</f>
        <v>6643.6975400000001</v>
      </c>
    </row>
    <row r="900" spans="32:38" ht="14.1" customHeight="1" x14ac:dyDescent="0.45">
      <c r="AF900" s="988">
        <f>'DIY Grundmodell'!R987</f>
        <v>45929</v>
      </c>
      <c r="AG900" s="89">
        <f>'DIY Grundmodell'!S987</f>
        <v>743.4</v>
      </c>
      <c r="AH900" s="54">
        <f>'DIY Grundmodell'!T987</f>
        <v>6874.0473300000003</v>
      </c>
      <c r="AI900" s="89">
        <f>'DIY Grundmodell'!U987</f>
        <v>743.4</v>
      </c>
      <c r="AJ900" s="89">
        <f>'DIY Grundmodell'!V987</f>
        <v>6874.0473300000003</v>
      </c>
      <c r="AK900" s="989"/>
      <c r="AL900" s="33">
        <f>'DIY Grundmodell'!X987</f>
        <v>6661.2073300000002</v>
      </c>
    </row>
    <row r="901" spans="32:38" ht="14.1" customHeight="1" x14ac:dyDescent="0.45">
      <c r="AF901" s="988">
        <f>'DIY Grundmodell'!R988</f>
        <v>45930</v>
      </c>
      <c r="AG901" s="89">
        <f>'DIY Grundmodell'!S988</f>
        <v>734.38</v>
      </c>
      <c r="AH901" s="54">
        <f>'DIY Grundmodell'!T988</f>
        <v>11916.60067</v>
      </c>
      <c r="AI901" s="89">
        <f>'DIY Grundmodell'!U988</f>
        <v>734.38</v>
      </c>
      <c r="AJ901" s="89">
        <f>'DIY Grundmodell'!V988</f>
        <v>11916.60067</v>
      </c>
      <c r="AK901" s="989"/>
      <c r="AL901" s="33">
        <f>'DIY Grundmodell'!X988</f>
        <v>6688.4590399999997</v>
      </c>
    </row>
    <row r="902" spans="32:38" ht="14.1" customHeight="1" x14ac:dyDescent="0.45">
      <c r="AF902" s="988">
        <f>'DIY Grundmodell'!R989</f>
        <v>45931</v>
      </c>
      <c r="AG902" s="89">
        <f>'DIY Grundmodell'!S989</f>
        <v>717.34</v>
      </c>
      <c r="AH902" s="54">
        <f>'DIY Grundmodell'!T989</f>
        <v>14647.81954</v>
      </c>
      <c r="AI902" s="89">
        <f>'DIY Grundmodell'!U989</f>
        <v>717.34</v>
      </c>
      <c r="AJ902" s="89">
        <f>'DIY Grundmodell'!V989</f>
        <v>14647.81954</v>
      </c>
      <c r="AK902" s="989"/>
      <c r="AL902" s="33">
        <f>'DIY Grundmodell'!X989</f>
        <v>6711.2039100000002</v>
      </c>
    </row>
    <row r="903" spans="32:38" ht="14.1" customHeight="1" x14ac:dyDescent="0.45">
      <c r="AF903" s="988">
        <f>'DIY Grundmodell'!R990</f>
        <v>45932</v>
      </c>
      <c r="AG903" s="89">
        <f>'DIY Grundmodell'!S990</f>
        <v>727.05</v>
      </c>
      <c r="AH903" s="54">
        <f>'DIY Grundmodell'!T990</f>
        <v>8299.4727800000001</v>
      </c>
      <c r="AI903" s="89">
        <f>'DIY Grundmodell'!U990</f>
        <v>727.05</v>
      </c>
      <c r="AJ903" s="89">
        <f>'DIY Grundmodell'!V990</f>
        <v>8299.4727800000001</v>
      </c>
      <c r="AK903" s="989"/>
      <c r="AL903" s="33">
        <f>'DIY Grundmodell'!X990</f>
        <v>6715.3463000000002</v>
      </c>
    </row>
    <row r="904" spans="32:38" ht="14.1" customHeight="1" x14ac:dyDescent="0.45">
      <c r="AF904" s="988">
        <f>'DIY Grundmodell'!R991</f>
        <v>45933</v>
      </c>
      <c r="AG904" s="89">
        <f>'DIY Grundmodell'!S991</f>
        <v>710.56</v>
      </c>
      <c r="AH904" s="54">
        <f>'DIY Grundmodell'!T991</f>
        <v>11478.60296</v>
      </c>
      <c r="AI904" s="89">
        <f>'DIY Grundmodell'!U991</f>
        <v>710.56</v>
      </c>
      <c r="AJ904" s="89">
        <f>'DIY Grundmodell'!V991</f>
        <v>11478.60296</v>
      </c>
      <c r="AK904" s="989"/>
      <c r="AL904" s="33">
        <f>'DIY Grundmodell'!X991</f>
        <v>6715.7892599999996</v>
      </c>
    </row>
    <row r="905" spans="32:38" ht="14.1" customHeight="1" x14ac:dyDescent="0.45">
      <c r="AF905" s="988">
        <f>'DIY Grundmodell'!R992</f>
        <v>45934</v>
      </c>
      <c r="AG905" s="89" t="e">
        <f>'DIY Grundmodell'!S992</f>
        <v>#N/A</v>
      </c>
      <c r="AH905" s="54" t="e">
        <f>'DIY Grundmodell'!T992</f>
        <v>#N/A</v>
      </c>
      <c r="AI905" s="89">
        <f>'DIY Grundmodell'!U992</f>
        <v>710.56</v>
      </c>
      <c r="AJ905" s="89">
        <f>'DIY Grundmodell'!V992</f>
        <v>0</v>
      </c>
      <c r="AK905" s="989"/>
      <c r="AL905" s="33">
        <f>'DIY Grundmodell'!X992</f>
        <v>6715.7892599999996</v>
      </c>
    </row>
    <row r="906" spans="32:38" ht="14.1" customHeight="1" x14ac:dyDescent="0.45">
      <c r="AF906" s="988">
        <f>'DIY Grundmodell'!R993</f>
        <v>45935</v>
      </c>
      <c r="AG906" s="89" t="e">
        <f>'DIY Grundmodell'!S993</f>
        <v>#N/A</v>
      </c>
      <c r="AH906" s="54" t="e">
        <f>'DIY Grundmodell'!T993</f>
        <v>#N/A</v>
      </c>
      <c r="AI906" s="89">
        <f>'DIY Grundmodell'!U993</f>
        <v>710.56</v>
      </c>
      <c r="AJ906" s="89">
        <f>'DIY Grundmodell'!V993</f>
        <v>0</v>
      </c>
      <c r="AK906" s="989"/>
      <c r="AL906" s="33">
        <f>'DIY Grundmodell'!X993</f>
        <v>6715.7892599999996</v>
      </c>
    </row>
    <row r="907" spans="32:38" ht="14.1" customHeight="1" x14ac:dyDescent="0.45">
      <c r="AF907" s="988">
        <f>'DIY Grundmodell'!R994</f>
        <v>45936</v>
      </c>
      <c r="AG907" s="89">
        <f>'DIY Grundmodell'!S994</f>
        <v>715.66</v>
      </c>
      <c r="AH907" s="54">
        <f>'DIY Grundmodell'!T994</f>
        <v>15497.4298</v>
      </c>
      <c r="AI907" s="89">
        <f>'DIY Grundmodell'!U994</f>
        <v>715.66</v>
      </c>
      <c r="AJ907" s="89">
        <f>'DIY Grundmodell'!V994</f>
        <v>15497.4298</v>
      </c>
      <c r="AK907" s="989"/>
      <c r="AL907" s="33">
        <f>'DIY Grundmodell'!X994</f>
        <v>6740.2813599999999</v>
      </c>
    </row>
    <row r="908" spans="32:38" ht="14.1" customHeight="1" x14ac:dyDescent="0.45">
      <c r="AF908" s="988">
        <f>'DIY Grundmodell'!R995</f>
        <v>45937</v>
      </c>
      <c r="AG908" s="89">
        <f>'DIY Grundmodell'!S995</f>
        <v>713.08</v>
      </c>
      <c r="AH908" s="54">
        <f>'DIY Grundmodell'!T995</f>
        <v>8601.8327000000008</v>
      </c>
      <c r="AI908" s="89">
        <f>'DIY Grundmodell'!U995</f>
        <v>713.08</v>
      </c>
      <c r="AJ908" s="89">
        <f>'DIY Grundmodell'!V995</f>
        <v>8601.8327000000008</v>
      </c>
      <c r="AK908" s="989"/>
      <c r="AL908" s="33">
        <f>'DIY Grundmodell'!X995</f>
        <v>6714.5879199999999</v>
      </c>
    </row>
    <row r="909" spans="32:38" ht="14.1" customHeight="1" x14ac:dyDescent="0.45">
      <c r="AF909" s="988">
        <f>'DIY Grundmodell'!R996</f>
        <v>45938</v>
      </c>
      <c r="AG909" s="89">
        <f>'DIY Grundmodell'!S996</f>
        <v>717.84</v>
      </c>
      <c r="AH909" s="54">
        <f>'DIY Grundmodell'!T996</f>
        <v>7745.9034899999997</v>
      </c>
      <c r="AI909" s="89">
        <f>'DIY Grundmodell'!U996</f>
        <v>717.84</v>
      </c>
      <c r="AJ909" s="89">
        <f>'DIY Grundmodell'!V996</f>
        <v>7745.9034899999997</v>
      </c>
      <c r="AK909" s="989"/>
      <c r="AL909" s="33">
        <f>'DIY Grundmodell'!X996</f>
        <v>6753.7170699999997</v>
      </c>
    </row>
    <row r="910" spans="32:38" ht="14.1" customHeight="1" x14ac:dyDescent="0.45">
      <c r="AF910" s="988">
        <f>'DIY Grundmodell'!R997</f>
        <v>45939</v>
      </c>
      <c r="AG910" s="89">
        <f>'DIY Grundmodell'!S997</f>
        <v>733.51</v>
      </c>
      <c r="AH910" s="54">
        <f>'DIY Grundmodell'!T997</f>
        <v>9328.1728299999995</v>
      </c>
      <c r="AI910" s="89">
        <f>'DIY Grundmodell'!U997</f>
        <v>733.51</v>
      </c>
      <c r="AJ910" s="89">
        <f>'DIY Grundmodell'!V997</f>
        <v>9328.1728299999995</v>
      </c>
      <c r="AK910" s="989"/>
      <c r="AL910" s="33">
        <f>'DIY Grundmodell'!X997</f>
        <v>6735.1107899999997</v>
      </c>
    </row>
    <row r="911" spans="32:38" ht="14.1" customHeight="1" x14ac:dyDescent="0.45">
      <c r="AF911" s="988">
        <f>'DIY Grundmodell'!R998</f>
        <v>45940</v>
      </c>
      <c r="AG911" s="89">
        <f>'DIY Grundmodell'!S998</f>
        <v>705.3</v>
      </c>
      <c r="AH911" s="54">
        <f>'DIY Grundmodell'!T998</f>
        <v>11976.05818</v>
      </c>
      <c r="AI911" s="89">
        <f>'DIY Grundmodell'!U998</f>
        <v>705.3</v>
      </c>
      <c r="AJ911" s="89">
        <f>'DIY Grundmodell'!V998</f>
        <v>11976.05818</v>
      </c>
      <c r="AK911" s="989"/>
      <c r="AL911" s="33">
        <f>'DIY Grundmodell'!X998</f>
        <v>6552.51325</v>
      </c>
    </row>
    <row r="912" spans="32:38" ht="14.1" customHeight="1" x14ac:dyDescent="0.45">
      <c r="AF912" s="988">
        <f>'DIY Grundmodell'!R999</f>
        <v>45941</v>
      </c>
      <c r="AG912" s="89" t="e">
        <f>'DIY Grundmodell'!S999</f>
        <v>#N/A</v>
      </c>
      <c r="AH912" s="54" t="e">
        <f>'DIY Grundmodell'!T999</f>
        <v>#N/A</v>
      </c>
      <c r="AI912" s="89">
        <f>'DIY Grundmodell'!U999</f>
        <v>705.3</v>
      </c>
      <c r="AJ912" s="89">
        <f>'DIY Grundmodell'!V999</f>
        <v>0</v>
      </c>
      <c r="AK912" s="989"/>
      <c r="AL912" s="33">
        <f>'DIY Grundmodell'!X999</f>
        <v>6552.51325</v>
      </c>
    </row>
    <row r="913" spans="32:38" ht="14.1" customHeight="1" x14ac:dyDescent="0.45">
      <c r="AF913" s="988">
        <f>'DIY Grundmodell'!R1000</f>
        <v>45942</v>
      </c>
      <c r="AG913" s="89" t="e">
        <f>'DIY Grundmodell'!S1000</f>
        <v>#N/A</v>
      </c>
      <c r="AH913" s="54" t="e">
        <f>'DIY Grundmodell'!T1000</f>
        <v>#N/A</v>
      </c>
      <c r="AI913" s="89">
        <f>'DIY Grundmodell'!U1000</f>
        <v>705.3</v>
      </c>
      <c r="AJ913" s="89">
        <f>'DIY Grundmodell'!V1000</f>
        <v>0</v>
      </c>
      <c r="AK913" s="989"/>
      <c r="AL913" s="33">
        <f>'DIY Grundmodell'!X1000</f>
        <v>6552.51325</v>
      </c>
    </row>
    <row r="914" spans="32:38" ht="14.1" customHeight="1" x14ac:dyDescent="0.45">
      <c r="AF914" s="988">
        <f>'DIY Grundmodell'!R1001</f>
        <v>45943</v>
      </c>
      <c r="AG914" s="89">
        <f>'DIY Grundmodell'!S1001</f>
        <v>715.7</v>
      </c>
      <c r="AH914" s="54">
        <f>'DIY Grundmodell'!T1001</f>
        <v>6621.5104000000001</v>
      </c>
      <c r="AI914" s="89">
        <f>'DIY Grundmodell'!U1001</f>
        <v>715.7</v>
      </c>
      <c r="AJ914" s="89">
        <f>'DIY Grundmodell'!V1001</f>
        <v>6621.5104000000001</v>
      </c>
      <c r="AK914" s="989"/>
      <c r="AL914" s="33">
        <f>'DIY Grundmodell'!X1001</f>
        <v>6654.7190899999996</v>
      </c>
    </row>
    <row r="915" spans="32:38" ht="14.1" customHeight="1" x14ac:dyDescent="0.45">
      <c r="AF915" s="988">
        <f>'DIY Grundmodell'!R1002</f>
        <v>45944</v>
      </c>
      <c r="AG915" s="89">
        <f>'DIY Grundmodell'!S1002</f>
        <v>708.65</v>
      </c>
      <c r="AH915" s="54">
        <f>'DIY Grundmodell'!T1002</f>
        <v>6257.2073</v>
      </c>
      <c r="AI915" s="89">
        <f>'DIY Grundmodell'!U1002</f>
        <v>708.65</v>
      </c>
      <c r="AJ915" s="89">
        <f>'DIY Grundmodell'!V1002</f>
        <v>6257.2073</v>
      </c>
      <c r="AK915" s="989"/>
      <c r="AL915" s="33">
        <f>'DIY Grundmodell'!X1002</f>
        <v>6644.3083999999999</v>
      </c>
    </row>
    <row r="916" spans="32:38" ht="14.1" customHeight="1" x14ac:dyDescent="0.45">
      <c r="AF916" s="988">
        <f>'DIY Grundmodell'!R1003</f>
        <v>45945</v>
      </c>
      <c r="AG916" s="89">
        <f>'DIY Grundmodell'!S1003</f>
        <v>717.55</v>
      </c>
      <c r="AH916" s="54">
        <f>'DIY Grundmodell'!T1003</f>
        <v>7352.5669399999997</v>
      </c>
      <c r="AI916" s="89">
        <f>'DIY Grundmodell'!U1003</f>
        <v>717.55</v>
      </c>
      <c r="AJ916" s="89">
        <f>'DIY Grundmodell'!V1003</f>
        <v>7352.5669399999997</v>
      </c>
      <c r="AK916" s="989"/>
      <c r="AL916" s="33">
        <f>'DIY Grundmodell'!X1003</f>
        <v>6671.0582800000002</v>
      </c>
    </row>
    <row r="917" spans="32:38" ht="14.1" customHeight="1" x14ac:dyDescent="0.45">
      <c r="AF917" s="988">
        <f>'DIY Grundmodell'!R1004</f>
        <v>45946</v>
      </c>
      <c r="AG917" s="89">
        <f>'DIY Grundmodell'!S1004</f>
        <v>712.07</v>
      </c>
      <c r="AH917" s="54">
        <f>'DIY Grundmodell'!T1004</f>
        <v>6420.7423099999996</v>
      </c>
      <c r="AI917" s="89">
        <f>'DIY Grundmodell'!U1004</f>
        <v>712.07</v>
      </c>
      <c r="AJ917" s="89">
        <f>'DIY Grundmodell'!V1004</f>
        <v>6420.7423099999996</v>
      </c>
      <c r="AK917" s="989"/>
      <c r="AL917" s="33">
        <f>'DIY Grundmodell'!X1004</f>
        <v>6629.0742300000002</v>
      </c>
    </row>
    <row r="918" spans="32:38" ht="14.1" customHeight="1" x14ac:dyDescent="0.45">
      <c r="AF918" s="988">
        <f>'DIY Grundmodell'!R1005</f>
        <v>45947</v>
      </c>
      <c r="AG918" s="89">
        <f>'DIY Grundmodell'!S1005</f>
        <v>716.91499999999996</v>
      </c>
      <c r="AH918" s="54">
        <f>'DIY Grundmodell'!T1005</f>
        <v>8769.6204400000006</v>
      </c>
      <c r="AI918" s="89">
        <f>'DIY Grundmodell'!U1005</f>
        <v>716.91499999999996</v>
      </c>
      <c r="AJ918" s="89">
        <f>'DIY Grundmodell'!V1005</f>
        <v>8769.6204400000006</v>
      </c>
      <c r="AK918" s="989"/>
      <c r="AL918" s="33">
        <f>'DIY Grundmodell'!X1005</f>
        <v>6664.01098</v>
      </c>
    </row>
    <row r="919" spans="32:38" ht="14.1" customHeight="1" x14ac:dyDescent="0.45">
      <c r="AF919" s="988">
        <f>'DIY Grundmodell'!R1006</f>
        <v>45948</v>
      </c>
      <c r="AG919" s="89" t="e">
        <f>'DIY Grundmodell'!S1006</f>
        <v>#N/A</v>
      </c>
      <c r="AH919" s="54" t="e">
        <f>'DIY Grundmodell'!T1006</f>
        <v>#N/A</v>
      </c>
      <c r="AI919" s="89">
        <f>'DIY Grundmodell'!U1006</f>
        <v>716.91499999999996</v>
      </c>
      <c r="AJ919" s="89">
        <f>'DIY Grundmodell'!V1006</f>
        <v>0</v>
      </c>
      <c r="AK919" s="989"/>
      <c r="AL919" s="33">
        <f>'DIY Grundmodell'!X1006</f>
        <v>6664.01098</v>
      </c>
    </row>
    <row r="920" spans="32:38" ht="14.1" customHeight="1" x14ac:dyDescent="0.45">
      <c r="AF920" s="988">
        <f>'DIY Grundmodell'!R1007</f>
        <v>45949</v>
      </c>
      <c r="AG920" s="89" t="e">
        <f>'DIY Grundmodell'!S1007</f>
        <v>#N/A</v>
      </c>
      <c r="AH920" s="54" t="e">
        <f>'DIY Grundmodell'!T1007</f>
        <v>#N/A</v>
      </c>
      <c r="AI920" s="89">
        <f>'DIY Grundmodell'!U1007</f>
        <v>716.91499999999996</v>
      </c>
      <c r="AJ920" s="89">
        <f>'DIY Grundmodell'!V1007</f>
        <v>0</v>
      </c>
      <c r="AK920" s="989"/>
      <c r="AL920" s="33">
        <f>'DIY Grundmodell'!X1007</f>
        <v>6664.01098</v>
      </c>
    </row>
    <row r="921" spans="32:38" ht="14.1" customHeight="1" x14ac:dyDescent="0.45">
      <c r="AF921" s="988">
        <f>'DIY Grundmodell'!R1008</f>
        <v>45950</v>
      </c>
      <c r="AG921" s="89">
        <f>'DIY Grundmodell'!S1008</f>
        <v>732.17</v>
      </c>
      <c r="AH921" s="54">
        <f>'DIY Grundmodell'!T1008</f>
        <v>6516.4623600000004</v>
      </c>
      <c r="AI921" s="89">
        <f>'DIY Grundmodell'!U1008</f>
        <v>732.17</v>
      </c>
      <c r="AJ921" s="89">
        <f>'DIY Grundmodell'!V1008</f>
        <v>6516.4623600000004</v>
      </c>
      <c r="AK921" s="989"/>
      <c r="AL921" s="33">
        <f>'DIY Grundmodell'!X1008</f>
        <v>6735.1265100000001</v>
      </c>
    </row>
    <row r="922" spans="32:38" ht="14.1" customHeight="1" x14ac:dyDescent="0.45">
      <c r="AF922" s="988">
        <f>'DIY Grundmodell'!R1009</f>
        <v>45951</v>
      </c>
      <c r="AG922" s="89">
        <f>'DIY Grundmodell'!S1009</f>
        <v>733.27</v>
      </c>
      <c r="AH922" s="54">
        <f>'DIY Grundmodell'!T1009</f>
        <v>5607.5129399999996</v>
      </c>
      <c r="AI922" s="89">
        <f>'DIY Grundmodell'!U1009</f>
        <v>733.27</v>
      </c>
      <c r="AJ922" s="89">
        <f>'DIY Grundmodell'!V1009</f>
        <v>5607.5129399999996</v>
      </c>
      <c r="AK922" s="989"/>
      <c r="AL922" s="33">
        <f>'DIY Grundmodell'!X1009</f>
        <v>6735.3514999999998</v>
      </c>
    </row>
    <row r="923" spans="32:38" ht="14.1" customHeight="1" x14ac:dyDescent="0.45">
      <c r="AF923" s="988">
        <f>'DIY Grundmodell'!R1010</f>
        <v>45952</v>
      </c>
      <c r="AG923" s="89">
        <f>'DIY Grundmodell'!S1010</f>
        <v>733.41</v>
      </c>
      <c r="AH923" s="54">
        <f>'DIY Grundmodell'!T1010</f>
        <v>6405.9630399999996</v>
      </c>
      <c r="AI923" s="89">
        <f>'DIY Grundmodell'!U1010</f>
        <v>733.41</v>
      </c>
      <c r="AJ923" s="89">
        <f>'DIY Grundmodell'!V1010</f>
        <v>6405.9630399999996</v>
      </c>
      <c r="AK923" s="989"/>
      <c r="AL923" s="33">
        <f>'DIY Grundmodell'!X1010</f>
        <v>6699.4023999999999</v>
      </c>
    </row>
    <row r="924" spans="32:38" ht="14.1" customHeight="1" x14ac:dyDescent="0.45">
      <c r="AF924" s="988">
        <f>'DIY Grundmodell'!R1011</f>
        <v>45953</v>
      </c>
      <c r="AG924" s="89">
        <f>'DIY Grundmodell'!S1011</f>
        <v>734</v>
      </c>
      <c r="AH924" s="54">
        <f>'DIY Grundmodell'!T1011</f>
        <v>7234.2849200000001</v>
      </c>
      <c r="AI924" s="89">
        <f>'DIY Grundmodell'!U1011</f>
        <v>734</v>
      </c>
      <c r="AJ924" s="89">
        <f>'DIY Grundmodell'!V1011</f>
        <v>7234.2849200000001</v>
      </c>
      <c r="AK924" s="989"/>
      <c r="AL924" s="33">
        <f>'DIY Grundmodell'!X1011</f>
        <v>6738.4377100000002</v>
      </c>
    </row>
    <row r="925" spans="32:38" ht="14.1" customHeight="1" x14ac:dyDescent="0.45">
      <c r="AF925" s="988">
        <f>'DIY Grundmodell'!R1012</f>
        <v>45954</v>
      </c>
      <c r="AG925" s="89">
        <f>'DIY Grundmodell'!S1012</f>
        <v>738.36</v>
      </c>
      <c r="AH925" s="54">
        <f>'DIY Grundmodell'!T1012</f>
        <v>6756.9295000000002</v>
      </c>
      <c r="AI925" s="89">
        <f>'DIY Grundmodell'!U1012</f>
        <v>738.36</v>
      </c>
      <c r="AJ925" s="89">
        <f>'DIY Grundmodell'!V1012</f>
        <v>6756.9295000000002</v>
      </c>
      <c r="AK925" s="989"/>
      <c r="AL925" s="33">
        <f>'DIY Grundmodell'!X1012</f>
        <v>6791.6938099999998</v>
      </c>
    </row>
    <row r="926" spans="32:38" ht="14.1" customHeight="1" x14ac:dyDescent="0.45">
      <c r="AF926" s="988">
        <f>'DIY Grundmodell'!R1013</f>
        <v>45955</v>
      </c>
      <c r="AG926" s="89" t="e">
        <f>'DIY Grundmodell'!S1013</f>
        <v>#N/A</v>
      </c>
      <c r="AH926" s="54" t="e">
        <f>'DIY Grundmodell'!T1013</f>
        <v>#N/A</v>
      </c>
      <c r="AI926" s="89">
        <f>'DIY Grundmodell'!U1013</f>
        <v>738.36</v>
      </c>
      <c r="AJ926" s="89">
        <f>'DIY Grundmodell'!V1013</f>
        <v>0</v>
      </c>
      <c r="AK926" s="989"/>
      <c r="AL926" s="33">
        <f>'DIY Grundmodell'!X1013</f>
        <v>6791.6938099999998</v>
      </c>
    </row>
    <row r="927" spans="32:38" ht="14.1" customHeight="1" x14ac:dyDescent="0.45">
      <c r="AF927" s="988">
        <f>'DIY Grundmodell'!R1014</f>
        <v>45956</v>
      </c>
      <c r="AG927" s="89" t="e">
        <f>'DIY Grundmodell'!S1014</f>
        <v>#N/A</v>
      </c>
      <c r="AH927" s="54" t="e">
        <f>'DIY Grundmodell'!T1014</f>
        <v>#N/A</v>
      </c>
      <c r="AI927" s="89">
        <f>'DIY Grundmodell'!U1014</f>
        <v>738.36</v>
      </c>
      <c r="AJ927" s="89">
        <f>'DIY Grundmodell'!V1014</f>
        <v>0</v>
      </c>
      <c r="AK927" s="989"/>
      <c r="AL927" s="33">
        <f>'DIY Grundmodell'!X1014</f>
        <v>6791.6938099999998</v>
      </c>
    </row>
    <row r="928" spans="32:38" ht="14.1" customHeight="1" x14ac:dyDescent="0.45">
      <c r="AF928" s="988">
        <f>'DIY Grundmodell'!R1015</f>
        <v>45957</v>
      </c>
      <c r="AG928" s="89">
        <f>'DIY Grundmodell'!S1015</f>
        <v>750.82</v>
      </c>
      <c r="AH928" s="54">
        <f>'DIY Grundmodell'!T1015</f>
        <v>8500.0932900000007</v>
      </c>
      <c r="AI928" s="89">
        <f>'DIY Grundmodell'!U1015</f>
        <v>750.82</v>
      </c>
      <c r="AJ928" s="89">
        <f>'DIY Grundmodell'!V1015</f>
        <v>8500.0932900000007</v>
      </c>
      <c r="AK928" s="989"/>
      <c r="AL928" s="33">
        <f>'DIY Grundmodell'!X1015</f>
        <v>6875.1568900000002</v>
      </c>
    </row>
    <row r="929" spans="32:38" ht="14.1" customHeight="1" x14ac:dyDescent="0.45">
      <c r="AF929" s="988">
        <f>'DIY Grundmodell'!R1016</f>
        <v>45958</v>
      </c>
      <c r="AG929" s="89">
        <f>'DIY Grundmodell'!S1016</f>
        <v>751.44</v>
      </c>
      <c r="AH929" s="54">
        <f>'DIY Grundmodell'!T1016</f>
        <v>9162.9225999999999</v>
      </c>
      <c r="AI929" s="89">
        <f>'DIY Grundmodell'!U1016</f>
        <v>751.44</v>
      </c>
      <c r="AJ929" s="89">
        <f>'DIY Grundmodell'!V1016</f>
        <v>9162.9225999999999</v>
      </c>
      <c r="AK929" s="989"/>
      <c r="AL929" s="33">
        <f>'DIY Grundmodell'!X1016</f>
        <v>6890.8883699999997</v>
      </c>
    </row>
    <row r="930" spans="32:38" ht="14.1" customHeight="1" x14ac:dyDescent="0.45">
      <c r="AF930" s="988">
        <f>'DIY Grundmodell'!R1017</f>
        <v>45959</v>
      </c>
      <c r="AG930" s="89">
        <f>'DIY Grundmodell'!S1017</f>
        <v>751.67</v>
      </c>
      <c r="AH930" s="54">
        <f>'DIY Grundmodell'!T1017</f>
        <v>20158.731049999999</v>
      </c>
      <c r="AI930" s="89">
        <f>'DIY Grundmodell'!U1017</f>
        <v>751.67</v>
      </c>
      <c r="AJ930" s="89">
        <f>'DIY Grundmodell'!V1017</f>
        <v>20158.731049999999</v>
      </c>
      <c r="AK930" s="989"/>
      <c r="AL930" s="33">
        <f>'DIY Grundmodell'!X1017</f>
        <v>6890.5870500000001</v>
      </c>
    </row>
    <row r="931" spans="32:38" ht="14.1" customHeight="1" x14ac:dyDescent="0.45">
      <c r="AF931" s="988">
        <f>'DIY Grundmodell'!R1018</f>
        <v>45960</v>
      </c>
      <c r="AG931" s="89">
        <f>'DIY Grundmodell'!S1018</f>
        <v>666.47</v>
      </c>
      <c r="AH931" s="54">
        <f>'DIY Grundmodell'!T1018</f>
        <v>58942.669450000001</v>
      </c>
      <c r="AI931" s="89">
        <f>'DIY Grundmodell'!U1018</f>
        <v>666.47</v>
      </c>
      <c r="AJ931" s="89">
        <f>'DIY Grundmodell'!V1018</f>
        <v>58942.669450000001</v>
      </c>
      <c r="AK931" s="989"/>
      <c r="AL931" s="33">
        <f>'DIY Grundmodell'!X1018</f>
        <v>6822.34033</v>
      </c>
    </row>
    <row r="932" spans="32:38" ht="14.1" customHeight="1" x14ac:dyDescent="0.45">
      <c r="AF932" s="988">
        <f>'DIY Grundmodell'!R1019</f>
        <v>45961</v>
      </c>
      <c r="AG932" s="89">
        <f>'DIY Grundmodell'!S1019</f>
        <v>648.35</v>
      </c>
      <c r="AH932" s="54">
        <f>'DIY Grundmodell'!T1019</f>
        <v>36925.587119999997</v>
      </c>
      <c r="AI932" s="89">
        <f>'DIY Grundmodell'!U1019</f>
        <v>648.35</v>
      </c>
      <c r="AJ932" s="89">
        <f>'DIY Grundmodell'!V1019</f>
        <v>36925.587119999997</v>
      </c>
      <c r="AK932" s="989"/>
      <c r="AL932" s="33">
        <f>'DIY Grundmodell'!X1019</f>
        <v>6840.1987399999998</v>
      </c>
    </row>
    <row r="933" spans="32:38" ht="14.1" customHeight="1" x14ac:dyDescent="0.45">
      <c r="AF933" s="988">
        <f>'DIY Grundmodell'!R1020</f>
        <v>45962</v>
      </c>
      <c r="AG933" s="89" t="e">
        <f>'DIY Grundmodell'!S1020</f>
        <v>#N/A</v>
      </c>
      <c r="AH933" s="54" t="e">
        <f>'DIY Grundmodell'!T1020</f>
        <v>#N/A</v>
      </c>
      <c r="AI933" s="89">
        <f>'DIY Grundmodell'!U1020</f>
        <v>648.35</v>
      </c>
      <c r="AJ933" s="89">
        <f>'DIY Grundmodell'!V1020</f>
        <v>0</v>
      </c>
      <c r="AK933" s="989"/>
      <c r="AL933" s="33">
        <f>'DIY Grundmodell'!X1020</f>
        <v>6840.1987399999998</v>
      </c>
    </row>
    <row r="934" spans="32:38" ht="14.1" customHeight="1" x14ac:dyDescent="0.45">
      <c r="AF934" s="988">
        <f>'DIY Grundmodell'!R1021</f>
        <v>45963</v>
      </c>
      <c r="AG934" s="89" t="e">
        <f>'DIY Grundmodell'!S1021</f>
        <v>#N/A</v>
      </c>
      <c r="AH934" s="54" t="e">
        <f>'DIY Grundmodell'!T1021</f>
        <v>#N/A</v>
      </c>
      <c r="AI934" s="89">
        <f>'DIY Grundmodell'!U1021</f>
        <v>648.35</v>
      </c>
      <c r="AJ934" s="89">
        <f>'DIY Grundmodell'!V1021</f>
        <v>0</v>
      </c>
      <c r="AK934" s="989"/>
      <c r="AL934" s="33">
        <f>'DIY Grundmodell'!X1021</f>
        <v>6840.1987399999998</v>
      </c>
    </row>
    <row r="935" spans="32:38" ht="14.1" customHeight="1" x14ac:dyDescent="0.45">
      <c r="AF935" s="988">
        <f>'DIY Grundmodell'!R1022</f>
        <v>45964</v>
      </c>
      <c r="AG935" s="89">
        <f>'DIY Grundmodell'!S1022</f>
        <v>637.71</v>
      </c>
      <c r="AH935" s="54">
        <f>'DIY Grundmodell'!T1022</f>
        <v>21046.725119999999</v>
      </c>
      <c r="AI935" s="89">
        <f>'DIY Grundmodell'!U1022</f>
        <v>637.71</v>
      </c>
      <c r="AJ935" s="89">
        <f>'DIY Grundmodell'!V1022</f>
        <v>21046.725119999999</v>
      </c>
      <c r="AK935" s="989"/>
      <c r="AL935" s="33">
        <f>'DIY Grundmodell'!X1022</f>
        <v>6851.96666</v>
      </c>
    </row>
    <row r="936" spans="32:38" ht="14.1" customHeight="1" x14ac:dyDescent="0.45">
      <c r="AF936" s="988">
        <f>'DIY Grundmodell'!R1023</f>
        <v>45965</v>
      </c>
      <c r="AG936" s="89">
        <f>'DIY Grundmodell'!S1023</f>
        <v>627.32000000000005</v>
      </c>
      <c r="AH936" s="54">
        <f>'DIY Grundmodell'!T1023</f>
        <v>17161.312829999999</v>
      </c>
      <c r="AI936" s="89">
        <f>'DIY Grundmodell'!U1023</f>
        <v>627.32000000000005</v>
      </c>
      <c r="AJ936" s="89">
        <f>'DIY Grundmodell'!V1023</f>
        <v>17161.312829999999</v>
      </c>
      <c r="AK936" s="989"/>
      <c r="AL936" s="33">
        <f>'DIY Grundmodell'!X1023</f>
        <v>6771.5474899999999</v>
      </c>
    </row>
    <row r="937" spans="32:38" ht="14.1" customHeight="1" x14ac:dyDescent="0.45">
      <c r="AF937" s="988">
        <f>'DIY Grundmodell'!R1024</f>
        <v>45966</v>
      </c>
      <c r="AG937" s="89">
        <f>'DIY Grundmodell'!S1024</f>
        <v>635.95000000000005</v>
      </c>
      <c r="AH937" s="54">
        <f>'DIY Grundmodell'!T1024</f>
        <v>12858.816790000001</v>
      </c>
      <c r="AI937" s="89">
        <f>'DIY Grundmodell'!U1024</f>
        <v>635.95000000000005</v>
      </c>
      <c r="AJ937" s="89">
        <f>'DIY Grundmodell'!V1024</f>
        <v>12858.816790000001</v>
      </c>
      <c r="AK937" s="989"/>
      <c r="AL937" s="33">
        <f>'DIY Grundmodell'!X1024</f>
        <v>6796.2894299999998</v>
      </c>
    </row>
    <row r="938" spans="32:38" ht="14.1" customHeight="1" x14ac:dyDescent="0.45">
      <c r="AF938" s="988">
        <f>'DIY Grundmodell'!R1025</f>
        <v>45967</v>
      </c>
      <c r="AG938" s="89">
        <f>'DIY Grundmodell'!S1025</f>
        <v>618.94000000000005</v>
      </c>
      <c r="AH938" s="54">
        <f>'DIY Grundmodell'!T1025</f>
        <v>14624.77853</v>
      </c>
      <c r="AI938" s="89">
        <f>'DIY Grundmodell'!U1025</f>
        <v>618.94000000000005</v>
      </c>
      <c r="AJ938" s="89">
        <f>'DIY Grundmodell'!V1025</f>
        <v>14624.77853</v>
      </c>
      <c r="AK938" s="989"/>
      <c r="AL938" s="33">
        <f>'DIY Grundmodell'!X1025</f>
        <v>6720.3201499999996</v>
      </c>
    </row>
    <row r="939" spans="32:38" ht="14.1" customHeight="1" x14ac:dyDescent="0.45">
      <c r="AF939" s="988">
        <f>'DIY Grundmodell'!R1026</f>
        <v>45968</v>
      </c>
      <c r="AG939" s="89">
        <f>'DIY Grundmodell'!S1026</f>
        <v>621.71</v>
      </c>
      <c r="AH939" s="54">
        <f>'DIY Grundmodell'!T1026</f>
        <v>18618.241190000001</v>
      </c>
      <c r="AI939" s="89">
        <f>'DIY Grundmodell'!U1026</f>
        <v>621.71</v>
      </c>
      <c r="AJ939" s="89">
        <f>'DIY Grundmodell'!V1026</f>
        <v>18618.241190000001</v>
      </c>
      <c r="AK939" s="989"/>
      <c r="AL939" s="33">
        <f>'DIY Grundmodell'!X1026</f>
        <v>6728.8011100000003</v>
      </c>
    </row>
    <row r="940" spans="32:38" ht="14.1" customHeight="1" x14ac:dyDescent="0.45">
      <c r="AF940" s="988">
        <f>'DIY Grundmodell'!R1027</f>
        <v>45969</v>
      </c>
      <c r="AG940" s="89" t="e">
        <f>'DIY Grundmodell'!S1027</f>
        <v>#N/A</v>
      </c>
      <c r="AH940" s="54" t="e">
        <f>'DIY Grundmodell'!T1027</f>
        <v>#N/A</v>
      </c>
      <c r="AI940" s="89">
        <f>'DIY Grundmodell'!U1027</f>
        <v>621.71</v>
      </c>
      <c r="AJ940" s="89">
        <f>'DIY Grundmodell'!V1027</f>
        <v>0</v>
      </c>
      <c r="AK940" s="989"/>
      <c r="AL940" s="33">
        <f>'DIY Grundmodell'!X1027</f>
        <v>6728.8011100000003</v>
      </c>
    </row>
    <row r="941" spans="32:38" ht="14.1" customHeight="1" x14ac:dyDescent="0.45">
      <c r="AF941" s="988">
        <f>'DIY Grundmodell'!R1028</f>
        <v>45970</v>
      </c>
      <c r="AG941" s="89" t="e">
        <f>'DIY Grundmodell'!S1028</f>
        <v>#N/A</v>
      </c>
      <c r="AH941" s="54" t="e">
        <f>'DIY Grundmodell'!T1028</f>
        <v>#N/A</v>
      </c>
      <c r="AI941" s="89">
        <f>'DIY Grundmodell'!U1028</f>
        <v>621.71</v>
      </c>
      <c r="AJ941" s="89">
        <f>'DIY Grundmodell'!V1028</f>
        <v>0</v>
      </c>
      <c r="AK941" s="989"/>
      <c r="AL941" s="33">
        <f>'DIY Grundmodell'!X1028</f>
        <v>6728.8011100000003</v>
      </c>
    </row>
    <row r="942" spans="32:38" ht="14.1" customHeight="1" x14ac:dyDescent="0.45">
      <c r="AF942" s="988">
        <f>'DIY Grundmodell'!R1029</f>
        <v>45971</v>
      </c>
      <c r="AG942" s="89">
        <f>'DIY Grundmodell'!S1029</f>
        <v>631.76</v>
      </c>
      <c r="AH942" s="54">
        <f>'DIY Grundmodell'!T1029</f>
        <v>12158.2212</v>
      </c>
      <c r="AI942" s="89">
        <f>'DIY Grundmodell'!U1029</f>
        <v>631.76</v>
      </c>
      <c r="AJ942" s="89">
        <f>'DIY Grundmodell'!V1029</f>
        <v>12158.2212</v>
      </c>
      <c r="AK942" s="989"/>
      <c r="AL942" s="33">
        <f>'DIY Grundmodell'!X1029</f>
        <v>6832.4301599999999</v>
      </c>
    </row>
    <row r="943" spans="32:38" ht="14.1" customHeight="1" x14ac:dyDescent="0.45">
      <c r="AF943" s="988">
        <f>'DIY Grundmodell'!R1030</f>
        <v>45972</v>
      </c>
      <c r="AG943" s="89">
        <f>'DIY Grundmodell'!S1030</f>
        <v>627.08000000000004</v>
      </c>
      <c r="AH943" s="54">
        <f>'DIY Grundmodell'!T1030</f>
        <v>8341.5354200000002</v>
      </c>
      <c r="AI943" s="89">
        <f>'DIY Grundmodell'!U1030</f>
        <v>627.08000000000004</v>
      </c>
      <c r="AJ943" s="89">
        <f>'DIY Grundmodell'!V1030</f>
        <v>8341.5354200000002</v>
      </c>
      <c r="AK943" s="989"/>
      <c r="AL943" s="33">
        <f>'DIY Grundmodell'!X1030</f>
        <v>6846.6142300000001</v>
      </c>
    </row>
    <row r="944" spans="32:38" ht="14.1" customHeight="1" x14ac:dyDescent="0.45">
      <c r="AF944" s="988">
        <f>'DIY Grundmodell'!R1031</f>
        <v>45973</v>
      </c>
      <c r="AG944" s="89">
        <f>'DIY Grundmodell'!S1031</f>
        <v>609.01</v>
      </c>
      <c r="AH944" s="54">
        <f>'DIY Grundmodell'!T1031</f>
        <v>14916.647580000001</v>
      </c>
      <c r="AI944" s="89">
        <f>'DIY Grundmodell'!U1031</f>
        <v>609.01</v>
      </c>
      <c r="AJ944" s="89">
        <f>'DIY Grundmodell'!V1031</f>
        <v>14916.647580000001</v>
      </c>
      <c r="AK944" s="989"/>
      <c r="AL944" s="33">
        <f>'DIY Grundmodell'!X1031</f>
        <v>6850.9164799999999</v>
      </c>
    </row>
    <row r="945" spans="32:38" ht="14.1" customHeight="1" x14ac:dyDescent="0.45">
      <c r="AF945" s="988">
        <f>'DIY Grundmodell'!R1032</f>
        <v>45974</v>
      </c>
      <c r="AG945" s="89">
        <f>'DIY Grundmodell'!S1032</f>
        <v>609.89</v>
      </c>
      <c r="AH945" s="54">
        <f>'DIY Grundmodell'!T1032</f>
        <v>12791.73833</v>
      </c>
      <c r="AI945" s="89">
        <f>'DIY Grundmodell'!U1032</f>
        <v>609.89</v>
      </c>
      <c r="AJ945" s="89">
        <f>'DIY Grundmodell'!V1032</f>
        <v>12791.73833</v>
      </c>
      <c r="AK945" s="989"/>
      <c r="AL945" s="33">
        <f>'DIY Grundmodell'!X1032</f>
        <v>6737.4887200000003</v>
      </c>
    </row>
    <row r="946" spans="32:38" ht="14.1" customHeight="1" x14ac:dyDescent="0.45">
      <c r="AF946" s="988">
        <f>'DIY Grundmodell'!R1033</f>
        <v>45975</v>
      </c>
      <c r="AG946" s="89">
        <f>'DIY Grundmodell'!S1033</f>
        <v>609.46</v>
      </c>
      <c r="AH946" s="54">
        <f>'DIY Grundmodell'!T1033</f>
        <v>12630.53802</v>
      </c>
      <c r="AI946" s="89">
        <f>'DIY Grundmodell'!U1033</f>
        <v>609.46</v>
      </c>
      <c r="AJ946" s="89">
        <f>'DIY Grundmodell'!V1033</f>
        <v>12630.53802</v>
      </c>
      <c r="AK946" s="989"/>
      <c r="AL946" s="33">
        <f>'DIY Grundmodell'!X1033</f>
        <v>6734.11067</v>
      </c>
    </row>
    <row r="947" spans="32:38" ht="14.1" customHeight="1" x14ac:dyDescent="0.45">
      <c r="AF947" s="988">
        <f>'DIY Grundmodell'!R1034</f>
        <v>45976</v>
      </c>
      <c r="AG947" s="89" t="e">
        <f>'DIY Grundmodell'!S1034</f>
        <v>#N/A</v>
      </c>
      <c r="AH947" s="54" t="e">
        <f>'DIY Grundmodell'!T1034</f>
        <v>#N/A</v>
      </c>
      <c r="AI947" s="89">
        <f>'DIY Grundmodell'!U1034</f>
        <v>609.46</v>
      </c>
      <c r="AJ947" s="89">
        <f>'DIY Grundmodell'!V1034</f>
        <v>0</v>
      </c>
      <c r="AK947" s="989"/>
      <c r="AL947" s="33">
        <f>'DIY Grundmodell'!X1034</f>
        <v>6734.11067</v>
      </c>
    </row>
    <row r="948" spans="32:38" ht="14.1" customHeight="1" x14ac:dyDescent="0.45">
      <c r="AF948" s="988">
        <f>'DIY Grundmodell'!R1035</f>
        <v>45977</v>
      </c>
      <c r="AG948" s="89" t="e">
        <f>'DIY Grundmodell'!S1035</f>
        <v>#N/A</v>
      </c>
      <c r="AH948" s="54" t="e">
        <f>'DIY Grundmodell'!T1035</f>
        <v>#N/A</v>
      </c>
      <c r="AI948" s="89">
        <f>'DIY Grundmodell'!U1035</f>
        <v>609.46</v>
      </c>
      <c r="AJ948" s="89">
        <f>'DIY Grundmodell'!V1035</f>
        <v>0</v>
      </c>
      <c r="AK948" s="989"/>
      <c r="AL948" s="33">
        <f>'DIY Grundmodell'!X1035</f>
        <v>6734.11067</v>
      </c>
    </row>
    <row r="949" spans="32:38" ht="14.1" customHeight="1" x14ac:dyDescent="0.45">
      <c r="AF949" s="988">
        <f>'DIY Grundmodell'!R1036</f>
        <v>45978</v>
      </c>
      <c r="AG949" s="89">
        <f>'DIY Grundmodell'!S1036</f>
        <v>602.01</v>
      </c>
      <c r="AH949" s="54">
        <f>'DIY Grundmodell'!T1036</f>
        <v>9933.9662800000006</v>
      </c>
      <c r="AI949" s="89">
        <f>'DIY Grundmodell'!U1036</f>
        <v>602.01</v>
      </c>
      <c r="AJ949" s="89">
        <f>'DIY Grundmodell'!V1036</f>
        <v>9933.9662800000006</v>
      </c>
      <c r="AK949" s="989"/>
      <c r="AL949" s="33">
        <f>'DIY Grundmodell'!X1036</f>
        <v>6672.4116299999996</v>
      </c>
    </row>
    <row r="950" spans="32:38" ht="14.1" customHeight="1" x14ac:dyDescent="0.45">
      <c r="AF950" s="988">
        <f>'DIY Grundmodell'!R1037</f>
        <v>45979</v>
      </c>
      <c r="AG950" s="89">
        <f>'DIY Grundmodell'!S1037</f>
        <v>597.69000000000005</v>
      </c>
      <c r="AH950" s="54">
        <f>'DIY Grundmodell'!T1037</f>
        <v>15241.48171</v>
      </c>
      <c r="AI950" s="89">
        <f>'DIY Grundmodell'!U1037</f>
        <v>597.69000000000005</v>
      </c>
      <c r="AJ950" s="89">
        <f>'DIY Grundmodell'!V1037</f>
        <v>15241.48171</v>
      </c>
      <c r="AK950" s="989"/>
      <c r="AL950" s="33">
        <f>'DIY Grundmodell'!X1037</f>
        <v>6617.32006</v>
      </c>
    </row>
    <row r="951" spans="32:38" ht="14.1" customHeight="1" x14ac:dyDescent="0.45">
      <c r="AF951" s="988">
        <f>'DIY Grundmodell'!R1038</f>
        <v>45980</v>
      </c>
      <c r="AG951" s="89">
        <f>'DIY Grundmodell'!S1038</f>
        <v>590.32000000000005</v>
      </c>
      <c r="AH951" s="54">
        <f>'DIY Grundmodell'!T1038</f>
        <v>14607.293079999999</v>
      </c>
      <c r="AI951" s="89">
        <f>'DIY Grundmodell'!U1038</f>
        <v>590.32000000000005</v>
      </c>
      <c r="AJ951" s="89">
        <f>'DIY Grundmodell'!V1038</f>
        <v>14607.293079999999</v>
      </c>
      <c r="AK951" s="989"/>
      <c r="AL951" s="33">
        <f>'DIY Grundmodell'!X1038</f>
        <v>6642.1585100000002</v>
      </c>
    </row>
    <row r="952" spans="32:38" ht="14.1" customHeight="1" x14ac:dyDescent="0.45">
      <c r="AF952" s="988">
        <f>'DIY Grundmodell'!R1039</f>
        <v>45981</v>
      </c>
      <c r="AG952" s="89">
        <f>'DIY Grundmodell'!S1039</f>
        <v>589.15</v>
      </c>
      <c r="AH952" s="54">
        <f>'DIY Grundmodell'!T1039</f>
        <v>12138.27159</v>
      </c>
      <c r="AI952" s="89">
        <f>'DIY Grundmodell'!U1039</f>
        <v>589.15</v>
      </c>
      <c r="AJ952" s="89">
        <f>'DIY Grundmodell'!V1039</f>
        <v>12138.27159</v>
      </c>
      <c r="AK952" s="989"/>
      <c r="AL952" s="33">
        <f>'DIY Grundmodell'!X1039</f>
        <v>6538.7626700000001</v>
      </c>
    </row>
    <row r="953" spans="32:38" ht="14.1" customHeight="1" x14ac:dyDescent="0.45">
      <c r="AF953" s="988">
        <f>'DIY Grundmodell'!R1040</f>
        <v>45982</v>
      </c>
      <c r="AG953" s="89">
        <f>'DIY Grundmodell'!S1040</f>
        <v>594.25</v>
      </c>
      <c r="AH953" s="54">
        <f>'DIY Grundmodell'!T1040</f>
        <v>12510.52181</v>
      </c>
      <c r="AI953" s="89">
        <f>'DIY Grundmodell'!U1040</f>
        <v>594.25</v>
      </c>
      <c r="AJ953" s="89">
        <f>'DIY Grundmodell'!V1040</f>
        <v>12510.52181</v>
      </c>
      <c r="AK953" s="989"/>
      <c r="AL953" s="33">
        <f>'DIY Grundmodell'!X1040</f>
        <v>6602.9863299999997</v>
      </c>
    </row>
    <row r="954" spans="32:38" ht="14.1" customHeight="1" x14ac:dyDescent="0.45">
      <c r="AF954" s="988">
        <f>'DIY Grundmodell'!R1041</f>
        <v>45983</v>
      </c>
      <c r="AG954" s="89" t="e">
        <f>'DIY Grundmodell'!S1041</f>
        <v>#N/A</v>
      </c>
      <c r="AH954" s="54" t="e">
        <f>'DIY Grundmodell'!T1041</f>
        <v>#N/A</v>
      </c>
      <c r="AI954" s="89">
        <f>'DIY Grundmodell'!U1041</f>
        <v>594.25</v>
      </c>
      <c r="AJ954" s="89">
        <f>'DIY Grundmodell'!V1041</f>
        <v>0</v>
      </c>
      <c r="AK954" s="989"/>
      <c r="AL954" s="33">
        <f>'DIY Grundmodell'!X1041</f>
        <v>6602.9863299999997</v>
      </c>
    </row>
    <row r="955" spans="32:38" ht="14.1" customHeight="1" x14ac:dyDescent="0.45">
      <c r="AF955" s="988">
        <f>'DIY Grundmodell'!R1042</f>
        <v>45984</v>
      </c>
      <c r="AG955" s="89" t="e">
        <f>'DIY Grundmodell'!S1042</f>
        <v>#N/A</v>
      </c>
      <c r="AH955" s="54" t="e">
        <f>'DIY Grundmodell'!T1042</f>
        <v>#N/A</v>
      </c>
      <c r="AI955" s="89">
        <f>'DIY Grundmodell'!U1042</f>
        <v>594.25</v>
      </c>
      <c r="AJ955" s="89">
        <f>'DIY Grundmodell'!V1042</f>
        <v>0</v>
      </c>
      <c r="AK955" s="989"/>
      <c r="AL955" s="33">
        <f>'DIY Grundmodell'!X1042</f>
        <v>6602.9863299999997</v>
      </c>
    </row>
    <row r="956" spans="32:38" ht="14.1" customHeight="1" x14ac:dyDescent="0.45">
      <c r="AF956" s="988">
        <f>'DIY Grundmodell'!R1043</f>
        <v>45985</v>
      </c>
      <c r="AG956" s="89">
        <f>'DIY Grundmodell'!S1043</f>
        <v>613.04999999999995</v>
      </c>
      <c r="AH956" s="54">
        <f>'DIY Grundmodell'!T1043</f>
        <v>14440.351060000001</v>
      </c>
      <c r="AI956" s="89">
        <f>'DIY Grundmodell'!U1043</f>
        <v>613.04999999999995</v>
      </c>
      <c r="AJ956" s="89">
        <f>'DIY Grundmodell'!V1043</f>
        <v>14440.351060000001</v>
      </c>
      <c r="AK956" s="989"/>
      <c r="AL956" s="33">
        <f>'DIY Grundmodell'!X1043</f>
        <v>6705.1170899999997</v>
      </c>
    </row>
    <row r="957" spans="32:38" ht="14.1" customHeight="1" x14ac:dyDescent="0.45">
      <c r="AF957" s="988">
        <f>'DIY Grundmodell'!R1044</f>
        <v>45986</v>
      </c>
      <c r="AG957" s="89">
        <f>'DIY Grundmodell'!S1044</f>
        <v>636.22</v>
      </c>
      <c r="AH957" s="54">
        <f>'DIY Grundmodell'!T1044</f>
        <v>16041.00086</v>
      </c>
      <c r="AI957" s="89">
        <f>'DIY Grundmodell'!U1044</f>
        <v>636.22</v>
      </c>
      <c r="AJ957" s="89">
        <f>'DIY Grundmodell'!V1044</f>
        <v>16041.00086</v>
      </c>
      <c r="AK957" s="989"/>
      <c r="AL957" s="33">
        <f>'DIY Grundmodell'!X1044</f>
        <v>6765.8759700000001</v>
      </c>
    </row>
    <row r="958" spans="32:38" ht="14.1" customHeight="1" x14ac:dyDescent="0.45">
      <c r="AF958" s="988">
        <f>'DIY Grundmodell'!R1045</f>
        <v>45987</v>
      </c>
      <c r="AG958" s="89">
        <f>'DIY Grundmodell'!S1045</f>
        <v>633.61</v>
      </c>
      <c r="AH958" s="54">
        <f>'DIY Grundmodell'!T1045</f>
        <v>9636.8792599999997</v>
      </c>
      <c r="AI958" s="89">
        <f>'DIY Grundmodell'!U1045</f>
        <v>633.61</v>
      </c>
      <c r="AJ958" s="89">
        <f>'DIY Grundmodell'!V1045</f>
        <v>9636.8792599999997</v>
      </c>
      <c r="AK958" s="989"/>
      <c r="AL958" s="33">
        <f>'DIY Grundmodell'!X1045</f>
        <v>6812.6130899999998</v>
      </c>
    </row>
    <row r="959" spans="32:38" ht="14.1" customHeight="1" x14ac:dyDescent="0.45">
      <c r="AF959" s="988">
        <f>'DIY Grundmodell'!R1046</f>
        <v>45988</v>
      </c>
      <c r="AG959" s="89" t="e">
        <f>'DIY Grundmodell'!S1046</f>
        <v>#N/A</v>
      </c>
      <c r="AH959" s="54" t="e">
        <f>'DIY Grundmodell'!T1046</f>
        <v>#N/A</v>
      </c>
      <c r="AI959" s="89">
        <f>'DIY Grundmodell'!U1046</f>
        <v>633.61</v>
      </c>
      <c r="AJ959" s="89">
        <f>'DIY Grundmodell'!V1046</f>
        <v>0</v>
      </c>
      <c r="AK959" s="989"/>
      <c r="AL959" s="33">
        <f>'DIY Grundmodell'!X1046</f>
        <v>6812.6130899999998</v>
      </c>
    </row>
    <row r="960" spans="32:38" ht="14.1" customHeight="1" x14ac:dyDescent="0.45">
      <c r="AF960" s="988">
        <f>'DIY Grundmodell'!R1047</f>
        <v>45989</v>
      </c>
      <c r="AG960" s="89">
        <f>'DIY Grundmodell'!S1047</f>
        <v>647.95000000000005</v>
      </c>
      <c r="AH960" s="54">
        <f>'DIY Grundmodell'!T1047</f>
        <v>7148.9606400000002</v>
      </c>
      <c r="AI960" s="89">
        <f>'DIY Grundmodell'!U1047</f>
        <v>647.95000000000005</v>
      </c>
      <c r="AJ960" s="89">
        <f>'DIY Grundmodell'!V1047</f>
        <v>7148.9606400000002</v>
      </c>
      <c r="AK960" s="989"/>
      <c r="AL960" s="33">
        <f>'DIY Grundmodell'!X1047</f>
        <v>6849.0873700000002</v>
      </c>
    </row>
    <row r="961" spans="32:38" ht="14.1" customHeight="1" x14ac:dyDescent="0.45">
      <c r="AF961" s="988">
        <f>'DIY Grundmodell'!R1048</f>
        <v>45990</v>
      </c>
      <c r="AG961" s="89" t="e">
        <f>'DIY Grundmodell'!S1048</f>
        <v>#N/A</v>
      </c>
      <c r="AH961" s="54" t="e">
        <f>'DIY Grundmodell'!T1048</f>
        <v>#N/A</v>
      </c>
      <c r="AI961" s="89">
        <f>'DIY Grundmodell'!U1048</f>
        <v>647.95000000000005</v>
      </c>
      <c r="AJ961" s="89">
        <f>'DIY Grundmodell'!V1048</f>
        <v>0</v>
      </c>
      <c r="AK961" s="989"/>
      <c r="AL961" s="33">
        <f>'DIY Grundmodell'!X1048</f>
        <v>6849.0873700000002</v>
      </c>
    </row>
    <row r="962" spans="32:38" ht="14.1" customHeight="1" x14ac:dyDescent="0.45">
      <c r="AF962" s="988">
        <f>'DIY Grundmodell'!R1049</f>
        <v>45991</v>
      </c>
      <c r="AG962" s="89" t="e">
        <f>'DIY Grundmodell'!S1049</f>
        <v>#N/A</v>
      </c>
      <c r="AH962" s="54" t="e">
        <f>'DIY Grundmodell'!T1049</f>
        <v>#N/A</v>
      </c>
      <c r="AI962" s="89">
        <f>'DIY Grundmodell'!U1049</f>
        <v>647.95000000000005</v>
      </c>
      <c r="AJ962" s="89">
        <f>'DIY Grundmodell'!V1049</f>
        <v>0</v>
      </c>
      <c r="AK962" s="989"/>
      <c r="AL962" s="33">
        <f>'DIY Grundmodell'!X1049</f>
        <v>6849.0873700000002</v>
      </c>
    </row>
    <row r="963" spans="32:38" ht="14.1" customHeight="1" x14ac:dyDescent="0.45">
      <c r="AF963" s="988">
        <f>'DIY Grundmodell'!R1050</f>
        <v>45992</v>
      </c>
      <c r="AG963" s="89">
        <f>'DIY Grundmodell'!S1050</f>
        <v>640.87</v>
      </c>
      <c r="AH963" s="54">
        <f>'DIY Grundmodell'!T1050</f>
        <v>8350.4861099999998</v>
      </c>
      <c r="AI963" s="89">
        <f>'DIY Grundmodell'!U1050</f>
        <v>640.87</v>
      </c>
      <c r="AJ963" s="89">
        <f>'DIY Grundmodell'!V1050</f>
        <v>8350.4861099999998</v>
      </c>
      <c r="AK963" s="989"/>
      <c r="AL963" s="33">
        <f>'DIY Grundmodell'!X1050</f>
        <v>6812.6258500000004</v>
      </c>
    </row>
    <row r="964" spans="32:38" ht="14.1" customHeight="1" x14ac:dyDescent="0.45">
      <c r="AF964" s="988">
        <f>'DIY Grundmodell'!R1051</f>
        <v>45993</v>
      </c>
      <c r="AG964" s="89">
        <f>'DIY Grundmodell'!S1051</f>
        <v>647.1</v>
      </c>
      <c r="AH964" s="54">
        <f>'DIY Grundmodell'!T1051</f>
        <v>7532.8063300000003</v>
      </c>
      <c r="AI964" s="89">
        <f>'DIY Grundmodell'!U1051</f>
        <v>647.1</v>
      </c>
      <c r="AJ964" s="89">
        <f>'DIY Grundmodell'!V1051</f>
        <v>7532.8063300000003</v>
      </c>
      <c r="AK964" s="989"/>
      <c r="AL964" s="33">
        <f>'DIY Grundmodell'!X1051</f>
        <v>6829.3705799999998</v>
      </c>
    </row>
    <row r="965" spans="32:38" ht="14.1" customHeight="1" x14ac:dyDescent="0.45">
      <c r="AF965" s="988">
        <f>'DIY Grundmodell'!R1052</f>
        <v>45994</v>
      </c>
      <c r="AG965" s="89">
        <f>'DIY Grundmodell'!S1052</f>
        <v>639.6</v>
      </c>
      <c r="AH965" s="54">
        <f>'DIY Grundmodell'!T1052</f>
        <v>7121.5014799999999</v>
      </c>
      <c r="AI965" s="89">
        <f>'DIY Grundmodell'!U1052</f>
        <v>639.6</v>
      </c>
      <c r="AJ965" s="89">
        <f>'DIY Grundmodell'!V1052</f>
        <v>7121.5014799999999</v>
      </c>
      <c r="AK965" s="989"/>
      <c r="AL965" s="33">
        <f>'DIY Grundmodell'!X1052</f>
        <v>6849.7227199999998</v>
      </c>
    </row>
    <row r="966" spans="32:38" ht="14.1" customHeight="1" x14ac:dyDescent="0.45">
      <c r="AF966" s="988">
        <f>'DIY Grundmodell'!R1053</f>
        <v>45995</v>
      </c>
      <c r="AG966" s="89">
        <f>'DIY Grundmodell'!S1053</f>
        <v>661.53</v>
      </c>
      <c r="AH966" s="54">
        <f>'DIY Grundmodell'!T1053</f>
        <v>19762.958689999999</v>
      </c>
      <c r="AI966" s="89">
        <f>'DIY Grundmodell'!U1053</f>
        <v>661.53</v>
      </c>
      <c r="AJ966" s="89">
        <f>'DIY Grundmodell'!V1053</f>
        <v>19762.958689999999</v>
      </c>
      <c r="AK966" s="989"/>
      <c r="AL966" s="33">
        <f>'DIY Grundmodell'!X1053</f>
        <v>6857.1196900000004</v>
      </c>
    </row>
    <row r="967" spans="32:38" ht="14.1" customHeight="1" x14ac:dyDescent="0.45">
      <c r="AF967" s="988">
        <f>'DIY Grundmodell'!R1054</f>
        <v>45996</v>
      </c>
      <c r="AG967" s="89">
        <f>'DIY Grundmodell'!S1054</f>
        <v>673.42</v>
      </c>
      <c r="AH967" s="54">
        <f>'DIY Grundmodell'!T1054</f>
        <v>14281.797759999999</v>
      </c>
      <c r="AI967" s="89">
        <f>'DIY Grundmodell'!U1054</f>
        <v>673.42</v>
      </c>
      <c r="AJ967" s="89">
        <f>'DIY Grundmodell'!V1054</f>
        <v>14281.797759999999</v>
      </c>
      <c r="AK967" s="989"/>
      <c r="AL967" s="33">
        <f>'DIY Grundmodell'!X1054</f>
        <v>6870.4042099999997</v>
      </c>
    </row>
    <row r="968" spans="32:38" ht="14.1" customHeight="1" x14ac:dyDescent="0.45">
      <c r="AF968" s="988">
        <f>'DIY Grundmodell'!R1055</f>
        <v>45997</v>
      </c>
      <c r="AG968" s="89" t="e">
        <f>'DIY Grundmodell'!S1055</f>
        <v>#N/A</v>
      </c>
      <c r="AH968" s="54" t="e">
        <f>'DIY Grundmodell'!T1055</f>
        <v>#N/A</v>
      </c>
      <c r="AI968" s="89">
        <f>'DIY Grundmodell'!U1055</f>
        <v>673.42</v>
      </c>
      <c r="AJ968" s="89">
        <f>'DIY Grundmodell'!V1055</f>
        <v>0</v>
      </c>
      <c r="AK968" s="989"/>
      <c r="AL968" s="33">
        <f>'DIY Grundmodell'!X1055</f>
        <v>6870.4042099999997</v>
      </c>
    </row>
    <row r="969" spans="32:38" ht="14.1" customHeight="1" x14ac:dyDescent="0.45">
      <c r="AF969" s="988">
        <f>'DIY Grundmodell'!R1056</f>
        <v>45998</v>
      </c>
      <c r="AG969" s="89" t="e">
        <f>'DIY Grundmodell'!S1056</f>
        <v>#N/A</v>
      </c>
      <c r="AH969" s="54" t="e">
        <f>'DIY Grundmodell'!T1056</f>
        <v>#N/A</v>
      </c>
      <c r="AI969" s="89">
        <f>'DIY Grundmodell'!U1056</f>
        <v>673.42</v>
      </c>
      <c r="AJ969" s="89">
        <f>'DIY Grundmodell'!V1056</f>
        <v>0</v>
      </c>
      <c r="AK969" s="989"/>
      <c r="AL969" s="33">
        <f>'DIY Grundmodell'!X1056</f>
        <v>6870.4042099999997</v>
      </c>
    </row>
    <row r="970" spans="32:38" ht="14.1" customHeight="1" x14ac:dyDescent="0.45">
      <c r="AF970" s="988">
        <f>'DIY Grundmodell'!R1057</f>
        <v>45999</v>
      </c>
      <c r="AG970" s="89">
        <f>'DIY Grundmodell'!S1057</f>
        <v>666.8</v>
      </c>
      <c r="AH970" s="54">
        <f>'DIY Grundmodell'!T1057</f>
        <v>8775.7387999999992</v>
      </c>
      <c r="AI970" s="89">
        <f>'DIY Grundmodell'!U1057</f>
        <v>666.8</v>
      </c>
      <c r="AJ970" s="89">
        <f>'DIY Grundmodell'!V1057</f>
        <v>8775.7387999999992</v>
      </c>
      <c r="AK970" s="989"/>
      <c r="AL970" s="33">
        <f>'DIY Grundmodell'!X1057</f>
        <v>6846.5061699999997</v>
      </c>
    </row>
    <row r="971" spans="32:38" ht="14.1" customHeight="1" x14ac:dyDescent="0.45">
      <c r="AF971" s="988">
        <f>'DIY Grundmodell'!R1058</f>
        <v>46000</v>
      </c>
      <c r="AG971" s="89">
        <f>'DIY Grundmodell'!S1058</f>
        <v>656.96</v>
      </c>
      <c r="AH971" s="54">
        <f>'DIY Grundmodell'!T1058</f>
        <v>8538.5853299999999</v>
      </c>
      <c r="AI971" s="89">
        <f>'DIY Grundmodell'!U1058</f>
        <v>656.96</v>
      </c>
      <c r="AJ971" s="89">
        <f>'DIY Grundmodell'!V1058</f>
        <v>8538.5853299999999</v>
      </c>
      <c r="AK971" s="989"/>
      <c r="AL971" s="33">
        <f>'DIY Grundmodell'!X1058</f>
        <v>6840.5096199999998</v>
      </c>
    </row>
    <row r="972" spans="32:38" ht="14.1" customHeight="1" x14ac:dyDescent="0.45">
      <c r="AF972" s="988">
        <f>'DIY Grundmodell'!R1059</f>
        <v>46001</v>
      </c>
      <c r="AG972" s="89">
        <f>'DIY Grundmodell'!S1059</f>
        <v>650.13</v>
      </c>
      <c r="AH972" s="54">
        <f>'DIY Grundmodell'!T1059</f>
        <v>10994.272370000001</v>
      </c>
      <c r="AI972" s="89">
        <f>'DIY Grundmodell'!U1059</f>
        <v>650.13</v>
      </c>
      <c r="AJ972" s="89">
        <f>'DIY Grundmodell'!V1059</f>
        <v>10994.272370000001</v>
      </c>
      <c r="AK972" s="989"/>
      <c r="AL972" s="33">
        <f>'DIY Grundmodell'!X1059</f>
        <v>6886.6829900000002</v>
      </c>
    </row>
    <row r="973" spans="32:38" ht="14.1" customHeight="1" x14ac:dyDescent="0.45">
      <c r="AF973" s="988">
        <f>'DIY Grundmodell'!R1060</f>
        <v>46002</v>
      </c>
      <c r="AG973" s="89">
        <f>'DIY Grundmodell'!S1060</f>
        <v>652.71</v>
      </c>
      <c r="AH973" s="54">
        <f>'DIY Grundmodell'!T1060</f>
        <v>8522.2556299999997</v>
      </c>
      <c r="AI973" s="89">
        <f>'DIY Grundmodell'!U1060</f>
        <v>652.71</v>
      </c>
      <c r="AJ973" s="89">
        <f>'DIY Grundmodell'!V1060</f>
        <v>8522.2556299999997</v>
      </c>
      <c r="AK973" s="989"/>
      <c r="AL973" s="33">
        <f>'DIY Grundmodell'!X1060</f>
        <v>6900.9951899999996</v>
      </c>
    </row>
    <row r="974" spans="32:38" ht="14.1" customHeight="1" x14ac:dyDescent="0.45">
      <c r="AF974" s="988">
        <f>'DIY Grundmodell'!R1061</f>
        <v>46003</v>
      </c>
      <c r="AG974" s="89">
        <f>'DIY Grundmodell'!S1061</f>
        <v>644.23</v>
      </c>
      <c r="AH974" s="54">
        <f>'DIY Grundmodell'!T1061</f>
        <v>9030.11715</v>
      </c>
      <c r="AI974" s="89">
        <f>'DIY Grundmodell'!U1061</f>
        <v>644.23</v>
      </c>
      <c r="AJ974" s="89">
        <f>'DIY Grundmodell'!V1061</f>
        <v>9030.11715</v>
      </c>
      <c r="AK974" s="989"/>
      <c r="AL974" s="33">
        <f>'DIY Grundmodell'!X1061</f>
        <v>6827.4064600000002</v>
      </c>
    </row>
    <row r="975" spans="32:38" ht="14.1" customHeight="1" x14ac:dyDescent="0.45">
      <c r="AF975" s="988">
        <f>'DIY Grundmodell'!R1062</f>
        <v>46004</v>
      </c>
      <c r="AG975" s="89" t="e">
        <f>'DIY Grundmodell'!S1062</f>
        <v>#N/A</v>
      </c>
      <c r="AH975" s="54" t="e">
        <f>'DIY Grundmodell'!T1062</f>
        <v>#N/A</v>
      </c>
      <c r="AI975" s="89">
        <f>'DIY Grundmodell'!U1062</f>
        <v>644.23</v>
      </c>
      <c r="AJ975" s="89">
        <f>'DIY Grundmodell'!V1062</f>
        <v>0</v>
      </c>
      <c r="AK975" s="989"/>
      <c r="AL975" s="33">
        <f>'DIY Grundmodell'!X1062</f>
        <v>6827.4064600000002</v>
      </c>
    </row>
    <row r="976" spans="32:38" ht="14.1" customHeight="1" x14ac:dyDescent="0.45">
      <c r="AF976" s="988">
        <f>'DIY Grundmodell'!R1063</f>
        <v>46005</v>
      </c>
      <c r="AG976" s="89" t="e">
        <f>'DIY Grundmodell'!S1063</f>
        <v>#N/A</v>
      </c>
      <c r="AH976" s="54" t="e">
        <f>'DIY Grundmodell'!T1063</f>
        <v>#N/A</v>
      </c>
      <c r="AI976" s="89">
        <f>'DIY Grundmodell'!U1063</f>
        <v>644.23</v>
      </c>
      <c r="AJ976" s="89">
        <f>'DIY Grundmodell'!V1063</f>
        <v>0</v>
      </c>
      <c r="AK976" s="989"/>
      <c r="AL976" s="33">
        <f>'DIY Grundmodell'!X1063</f>
        <v>6827.4064600000002</v>
      </c>
    </row>
    <row r="977" spans="32:38" ht="14.1" customHeight="1" x14ac:dyDescent="0.45">
      <c r="AF977" s="988">
        <f>'DIY Grundmodell'!R1064</f>
        <v>46006</v>
      </c>
      <c r="AG977" s="89">
        <f>'DIY Grundmodell'!S1064</f>
        <v>647.51</v>
      </c>
      <c r="AH977" s="54">
        <f>'DIY Grundmodell'!T1064</f>
        <v>10068.189969999999</v>
      </c>
      <c r="AI977" s="89">
        <f>'DIY Grundmodell'!U1064</f>
        <v>647.51</v>
      </c>
      <c r="AJ977" s="89">
        <f>'DIY Grundmodell'!V1064</f>
        <v>10068.189969999999</v>
      </c>
      <c r="AK977" s="989"/>
      <c r="AL977" s="33">
        <f>'DIY Grundmodell'!X1064</f>
        <v>6816.5083000000004</v>
      </c>
    </row>
    <row r="978" spans="32:38" ht="14.1" customHeight="1" x14ac:dyDescent="0.45">
      <c r="AF978" s="988">
        <f>'DIY Grundmodell'!R1065</f>
        <v>46007</v>
      </c>
      <c r="AG978" s="89">
        <f>'DIY Grundmodell'!S1065</f>
        <v>657.15</v>
      </c>
      <c r="AH978" s="54">
        <f>'DIY Grundmodell'!T1065</f>
        <v>9403.2487199999996</v>
      </c>
      <c r="AI978" s="89">
        <f>'DIY Grundmodell'!U1065</f>
        <v>657.15</v>
      </c>
      <c r="AJ978" s="89">
        <f>'DIY Grundmodell'!V1065</f>
        <v>9403.2487199999996</v>
      </c>
      <c r="AK978" s="989"/>
      <c r="AL978" s="33">
        <f>'DIY Grundmodell'!X1065</f>
        <v>6800.2572200000004</v>
      </c>
    </row>
    <row r="979" spans="32:38" ht="14.1" customHeight="1" x14ac:dyDescent="0.45">
      <c r="AF979" s="988">
        <f>'DIY Grundmodell'!R1066</f>
        <v>46008</v>
      </c>
      <c r="AG979" s="89">
        <f>'DIY Grundmodell'!S1066</f>
        <v>649.5</v>
      </c>
      <c r="AH979" s="54">
        <f>'DIY Grundmodell'!T1066</f>
        <v>10131.25693</v>
      </c>
      <c r="AI979" s="89">
        <f>'DIY Grundmodell'!U1066</f>
        <v>649.5</v>
      </c>
      <c r="AJ979" s="89">
        <f>'DIY Grundmodell'!V1066</f>
        <v>10131.25693</v>
      </c>
      <c r="AK979" s="989"/>
      <c r="AL979" s="33">
        <f>'DIY Grundmodell'!X1066</f>
        <v>6721.4295499999998</v>
      </c>
    </row>
    <row r="980" spans="32:38" ht="14.1" customHeight="1" x14ac:dyDescent="0.45">
      <c r="AF980" s="988">
        <f>'DIY Grundmodell'!R1067</f>
        <v>46009</v>
      </c>
      <c r="AG980" s="89">
        <f>'DIY Grundmodell'!S1067</f>
        <v>664.45</v>
      </c>
      <c r="AH980" s="54">
        <f>'DIY Grundmodell'!T1067</f>
        <v>13461.953009999999</v>
      </c>
      <c r="AI980" s="89">
        <f>'DIY Grundmodell'!U1067</f>
        <v>664.45</v>
      </c>
      <c r="AJ980" s="89">
        <f>'DIY Grundmodell'!V1067</f>
        <v>13461.953009999999</v>
      </c>
      <c r="AK980" s="989"/>
      <c r="AL980" s="33">
        <f>'DIY Grundmodell'!X1067</f>
        <v>6774.7575699999998</v>
      </c>
    </row>
    <row r="981" spans="32:38" ht="14.1" customHeight="1" x14ac:dyDescent="0.45">
      <c r="AF981" s="988">
        <f>'DIY Grundmodell'!R1068</f>
        <v>46010</v>
      </c>
      <c r="AG981" s="89">
        <f>'DIY Grundmodell'!S1068</f>
        <v>658.77</v>
      </c>
      <c r="AH981" s="54">
        <f>'DIY Grundmodell'!T1068</f>
        <v>32923.381889999997</v>
      </c>
      <c r="AI981" s="89">
        <f>'DIY Grundmodell'!U1068</f>
        <v>658.77</v>
      </c>
      <c r="AJ981" s="89">
        <f>'DIY Grundmodell'!V1068</f>
        <v>32923.381889999997</v>
      </c>
      <c r="AK981" s="989"/>
      <c r="AL981" s="33">
        <f>'DIY Grundmodell'!X1068</f>
        <v>6834.4961899999998</v>
      </c>
    </row>
    <row r="982" spans="32:38" ht="14.1" customHeight="1" x14ac:dyDescent="0.45">
      <c r="AF982" s="988">
        <f>'DIY Grundmodell'!R1069</f>
        <v>46011</v>
      </c>
      <c r="AG982" s="89" t="e">
        <f>'DIY Grundmodell'!S1069</f>
        <v>#N/A</v>
      </c>
      <c r="AH982" s="54" t="e">
        <f>'DIY Grundmodell'!T1069</f>
        <v>#N/A</v>
      </c>
      <c r="AI982" s="89">
        <f>'DIY Grundmodell'!U1069</f>
        <v>658.77</v>
      </c>
      <c r="AJ982" s="89">
        <f>'DIY Grundmodell'!V1069</f>
        <v>0</v>
      </c>
      <c r="AK982" s="989"/>
      <c r="AL982" s="33">
        <f>'DIY Grundmodell'!X1069</f>
        <v>6834.4961899999998</v>
      </c>
    </row>
    <row r="983" spans="32:38" ht="14.1" customHeight="1" x14ac:dyDescent="0.45">
      <c r="AF983" s="988">
        <f>'DIY Grundmodell'!R1070</f>
        <v>46012</v>
      </c>
      <c r="AG983" s="89" t="e">
        <f>'DIY Grundmodell'!S1070</f>
        <v>#N/A</v>
      </c>
      <c r="AH983" s="54" t="e">
        <f>'DIY Grundmodell'!T1070</f>
        <v>#N/A</v>
      </c>
      <c r="AI983" s="89">
        <f>'DIY Grundmodell'!U1070</f>
        <v>658.77</v>
      </c>
      <c r="AJ983" s="89">
        <f>'DIY Grundmodell'!V1070</f>
        <v>0</v>
      </c>
      <c r="AK983" s="989"/>
      <c r="AL983" s="33">
        <f>'DIY Grundmodell'!X1070</f>
        <v>6834.4961899999998</v>
      </c>
    </row>
    <row r="984" spans="32:38" ht="14.1" customHeight="1" x14ac:dyDescent="0.45">
      <c r="AF984" s="988">
        <f>'DIY Grundmodell'!R1071</f>
        <v>46013</v>
      </c>
      <c r="AG984" s="89">
        <f>'DIY Grundmodell'!S1071</f>
        <v>661.5</v>
      </c>
      <c r="AH984" s="54">
        <f>'DIY Grundmodell'!T1071</f>
        <v>10358.68318</v>
      </c>
      <c r="AI984" s="89">
        <f>'DIY Grundmodell'!U1071</f>
        <v>661.5</v>
      </c>
      <c r="AJ984" s="89">
        <f>'DIY Grundmodell'!V1071</f>
        <v>10358.68318</v>
      </c>
      <c r="AK984" s="989"/>
      <c r="AL984" s="33">
        <f>'DIY Grundmodell'!X1071</f>
        <v>6878.4894800000002</v>
      </c>
    </row>
    <row r="985" spans="32:38" ht="14.1" customHeight="1" x14ac:dyDescent="0.45">
      <c r="AF985" s="988">
        <f>'DIY Grundmodell'!R1072</f>
        <v>46014</v>
      </c>
      <c r="AG985" s="89">
        <f>'DIY Grundmodell'!S1072</f>
        <v>664.94</v>
      </c>
      <c r="AH985" s="54">
        <f>'DIY Grundmodell'!T1072</f>
        <v>5643.2440399999996</v>
      </c>
      <c r="AI985" s="89">
        <f>'DIY Grundmodell'!U1072</f>
        <v>664.94</v>
      </c>
      <c r="AJ985" s="89">
        <f>'DIY Grundmodell'!V1072</f>
        <v>5643.2440399999996</v>
      </c>
      <c r="AK985" s="989"/>
      <c r="AL985" s="33">
        <f>'DIY Grundmodell'!X1072</f>
        <v>6909.7920700000004</v>
      </c>
    </row>
    <row r="986" spans="32:38" ht="14.1" customHeight="1" x14ac:dyDescent="0.45">
      <c r="AF986" s="988">
        <f>'DIY Grundmodell'!R1073</f>
        <v>46015</v>
      </c>
      <c r="AG986" s="89">
        <f>'DIY Grundmodell'!S1073</f>
        <v>667.55</v>
      </c>
      <c r="AH986" s="54">
        <f>'DIY Grundmodell'!T1073</f>
        <v>3756.6456400000002</v>
      </c>
      <c r="AI986" s="89">
        <f>'DIY Grundmodell'!U1073</f>
        <v>667.55</v>
      </c>
      <c r="AJ986" s="89">
        <f>'DIY Grundmodell'!V1073</f>
        <v>3756.6456400000002</v>
      </c>
      <c r="AK986" s="989"/>
      <c r="AL986" s="33">
        <f>'DIY Grundmodell'!X1073</f>
        <v>6932.04918</v>
      </c>
    </row>
    <row r="987" spans="32:38" ht="14.1" customHeight="1" x14ac:dyDescent="0.45">
      <c r="AF987" s="988">
        <f>'DIY Grundmodell'!R1074</f>
        <v>46016</v>
      </c>
      <c r="AG987" s="89" t="e">
        <f>'DIY Grundmodell'!S1074</f>
        <v>#N/A</v>
      </c>
      <c r="AH987" s="54" t="e">
        <f>'DIY Grundmodell'!T1074</f>
        <v>#N/A</v>
      </c>
      <c r="AI987" s="89">
        <f>'DIY Grundmodell'!U1074</f>
        <v>667.55</v>
      </c>
      <c r="AJ987" s="89">
        <f>'DIY Grundmodell'!V1074</f>
        <v>0</v>
      </c>
      <c r="AK987" s="989"/>
      <c r="AL987" s="33">
        <f>'DIY Grundmodell'!X1074</f>
        <v>6932.04918</v>
      </c>
    </row>
    <row r="988" spans="32:38" ht="14.1" customHeight="1" x14ac:dyDescent="0.45">
      <c r="AF988" s="988">
        <f>'DIY Grundmodell'!R1075</f>
        <v>46017</v>
      </c>
      <c r="AG988" s="89">
        <f>'DIY Grundmodell'!S1075</f>
        <v>663.29</v>
      </c>
      <c r="AH988" s="54">
        <f>'DIY Grundmodell'!T1075</f>
        <v>4731.78683</v>
      </c>
      <c r="AI988" s="89">
        <f>'DIY Grundmodell'!U1075</f>
        <v>663.29</v>
      </c>
      <c r="AJ988" s="89">
        <f>'DIY Grundmodell'!V1075</f>
        <v>4731.78683</v>
      </c>
      <c r="AK988" s="989"/>
      <c r="AL988" s="33">
        <f>'DIY Grundmodell'!X1075</f>
        <v>6929.9361200000003</v>
      </c>
    </row>
    <row r="989" spans="32:38" ht="14.1" customHeight="1" x14ac:dyDescent="0.45">
      <c r="AF989" s="988">
        <f>'DIY Grundmodell'!R1076</f>
        <v>46018</v>
      </c>
      <c r="AG989" s="89" t="e">
        <f>'DIY Grundmodell'!S1076</f>
        <v>#N/A</v>
      </c>
      <c r="AH989" s="54" t="e">
        <f>'DIY Grundmodell'!T1076</f>
        <v>#N/A</v>
      </c>
      <c r="AI989" s="89">
        <f>'DIY Grundmodell'!U1076</f>
        <v>663.29</v>
      </c>
      <c r="AJ989" s="89">
        <f>'DIY Grundmodell'!V1076</f>
        <v>0</v>
      </c>
      <c r="AK989" s="989"/>
      <c r="AL989" s="33">
        <f>'DIY Grundmodell'!X1076</f>
        <v>6929.9361200000003</v>
      </c>
    </row>
    <row r="990" spans="32:38" ht="14.1" customHeight="1" x14ac:dyDescent="0.45">
      <c r="AF990" s="988">
        <f>'DIY Grundmodell'!R1077</f>
        <v>46019</v>
      </c>
      <c r="AG990" s="89" t="e">
        <f>'DIY Grundmodell'!S1077</f>
        <v>#N/A</v>
      </c>
      <c r="AH990" s="54" t="e">
        <f>'DIY Grundmodell'!T1077</f>
        <v>#N/A</v>
      </c>
      <c r="AI990" s="89">
        <f>'DIY Grundmodell'!U1077</f>
        <v>663.29</v>
      </c>
      <c r="AJ990" s="89">
        <f>'DIY Grundmodell'!V1077</f>
        <v>0</v>
      </c>
      <c r="AK990" s="989"/>
      <c r="AL990" s="33">
        <f>'DIY Grundmodell'!X1077</f>
        <v>6929.9361200000003</v>
      </c>
    </row>
    <row r="991" spans="32:38" ht="14.1" customHeight="1" x14ac:dyDescent="0.45">
      <c r="AF991" s="988">
        <f>'DIY Grundmodell'!R1078</f>
        <v>46020</v>
      </c>
      <c r="AG991" s="89">
        <f>'DIY Grundmodell'!S1078</f>
        <v>658.69</v>
      </c>
      <c r="AH991" s="54">
        <f>'DIY Grundmodell'!T1078</f>
        <v>5603.1313399999999</v>
      </c>
      <c r="AI991" s="89">
        <f>'DIY Grundmodell'!U1078</f>
        <v>658.69</v>
      </c>
      <c r="AJ991" s="89">
        <f>'DIY Grundmodell'!V1078</f>
        <v>5603.1313399999999</v>
      </c>
      <c r="AK991" s="989"/>
      <c r="AL991" s="33">
        <f>'DIY Grundmodell'!X1078</f>
        <v>6905.7440500000002</v>
      </c>
    </row>
    <row r="992" spans="32:38" ht="14.1" customHeight="1" x14ac:dyDescent="0.45">
      <c r="AF992" s="988">
        <f>'DIY Grundmodell'!R1079</f>
        <v>46021</v>
      </c>
      <c r="AG992" s="89">
        <f>'DIY Grundmodell'!S1079</f>
        <v>665.95</v>
      </c>
      <c r="AH992" s="54">
        <f>'DIY Grundmodell'!T1079</f>
        <v>6118.4043000000001</v>
      </c>
      <c r="AI992" s="89">
        <f>'DIY Grundmodell'!U1079</f>
        <v>665.95</v>
      </c>
      <c r="AJ992" s="89">
        <f>'DIY Grundmodell'!V1079</f>
        <v>6118.4043000000001</v>
      </c>
      <c r="AK992" s="989"/>
      <c r="AL992" s="33">
        <f>'DIY Grundmodell'!X1079</f>
        <v>6896.2417400000004</v>
      </c>
    </row>
    <row r="993" spans="32:38" ht="14.1" customHeight="1" x14ac:dyDescent="0.45">
      <c r="AF993" s="988">
        <f>'DIY Grundmodell'!R1080</f>
        <v>46022</v>
      </c>
      <c r="AG993" s="89">
        <f>'DIY Grundmodell'!S1080</f>
        <v>660.09</v>
      </c>
      <c r="AH993" s="54">
        <f>'DIY Grundmodell'!T1080</f>
        <v>5241.3515699999998</v>
      </c>
      <c r="AI993" s="89">
        <f>'DIY Grundmodell'!U1080</f>
        <v>660.09</v>
      </c>
      <c r="AJ993" s="89">
        <f>'DIY Grundmodell'!V1080</f>
        <v>5241.3515699999998</v>
      </c>
      <c r="AK993" s="989"/>
      <c r="AL993" s="33">
        <f>'DIY Grundmodell'!X1080</f>
        <v>6845.5047100000002</v>
      </c>
    </row>
    <row r="994" spans="32:38" ht="14.1" customHeight="1" x14ac:dyDescent="0.45">
      <c r="AF994" s="988">
        <f>'DIY Grundmodell'!R1081</f>
        <v>46023</v>
      </c>
      <c r="AG994" s="89" t="e">
        <f>'DIY Grundmodell'!S1081</f>
        <v>#N/A</v>
      </c>
      <c r="AH994" s="54" t="e">
        <f>'DIY Grundmodell'!T1081</f>
        <v>#N/A</v>
      </c>
      <c r="AI994" s="89">
        <f>'DIY Grundmodell'!U1081</f>
        <v>660.09</v>
      </c>
      <c r="AJ994" s="89">
        <f>'DIY Grundmodell'!V1081</f>
        <v>0</v>
      </c>
      <c r="AK994" s="989"/>
      <c r="AL994" s="33">
        <f>'DIY Grundmodell'!X1081</f>
        <v>6845.5047100000002</v>
      </c>
    </row>
    <row r="995" spans="32:38" ht="14.1" customHeight="1" x14ac:dyDescent="0.45">
      <c r="AF995" s="988">
        <f>'DIY Grundmodell'!R1082</f>
        <v>46024</v>
      </c>
      <c r="AG995" s="89">
        <f>'DIY Grundmodell'!S1082</f>
        <v>650.41</v>
      </c>
      <c r="AH995" s="54">
        <f>'DIY Grundmodell'!T1082</f>
        <v>8927.8639199999998</v>
      </c>
      <c r="AI995" s="89">
        <f>'DIY Grundmodell'!U1082</f>
        <v>650.41</v>
      </c>
      <c r="AJ995" s="89">
        <f>'DIY Grundmodell'!V1082</f>
        <v>8927.8639199999998</v>
      </c>
      <c r="AK995" s="989"/>
      <c r="AL995" s="33">
        <f>'DIY Grundmodell'!X1082</f>
        <v>6858.4723100000001</v>
      </c>
    </row>
    <row r="996" spans="32:38" ht="14.1" customHeight="1" x14ac:dyDescent="0.45">
      <c r="AF996" s="988">
        <f>'DIY Grundmodell'!R1083</f>
        <v>46025</v>
      </c>
      <c r="AG996" s="89" t="e">
        <f>'DIY Grundmodell'!S1083</f>
        <v>#N/A</v>
      </c>
      <c r="AH996" s="54" t="e">
        <f>'DIY Grundmodell'!T1083</f>
        <v>#N/A</v>
      </c>
      <c r="AI996" s="89">
        <f>'DIY Grundmodell'!U1083</f>
        <v>650.41</v>
      </c>
      <c r="AJ996" s="89">
        <f>'DIY Grundmodell'!V1083</f>
        <v>0</v>
      </c>
      <c r="AK996" s="989"/>
      <c r="AL996" s="33">
        <f>'DIY Grundmodell'!X1083</f>
        <v>6858.4723100000001</v>
      </c>
    </row>
    <row r="997" spans="32:38" ht="14.1" customHeight="1" x14ac:dyDescent="0.45">
      <c r="AF997" s="988">
        <f>'DIY Grundmodell'!R1084</f>
        <v>46026</v>
      </c>
      <c r="AG997" s="89" t="e">
        <f>'DIY Grundmodell'!S1084</f>
        <v>#N/A</v>
      </c>
      <c r="AH997" s="54" t="e">
        <f>'DIY Grundmodell'!T1084</f>
        <v>#N/A</v>
      </c>
      <c r="AI997" s="89">
        <f>'DIY Grundmodell'!U1084</f>
        <v>650.41</v>
      </c>
      <c r="AJ997" s="89">
        <f>'DIY Grundmodell'!V1084</f>
        <v>0</v>
      </c>
      <c r="AK997" s="989"/>
      <c r="AL997" s="33">
        <f>'DIY Grundmodell'!X1084</f>
        <v>6858.4723100000001</v>
      </c>
    </row>
    <row r="998" spans="32:38" ht="14.1" customHeight="1" x14ac:dyDescent="0.45">
      <c r="AF998" s="988">
        <f>'DIY Grundmodell'!R1085</f>
        <v>46027</v>
      </c>
      <c r="AG998" s="89">
        <f>'DIY Grundmodell'!S1085</f>
        <v>658.79</v>
      </c>
      <c r="AH998" s="54">
        <f>'DIY Grundmodell'!T1085</f>
        <v>8046.2930699999997</v>
      </c>
      <c r="AI998" s="89">
        <f>'DIY Grundmodell'!U1085</f>
        <v>658.79</v>
      </c>
      <c r="AJ998" s="89">
        <f>'DIY Grundmodell'!V1085</f>
        <v>8046.2930699999997</v>
      </c>
      <c r="AK998" s="989"/>
      <c r="AL998" s="33">
        <f>'DIY Grundmodell'!X1085</f>
        <v>6902.0508499999996</v>
      </c>
    </row>
    <row r="999" spans="32:38" ht="14.1" customHeight="1" x14ac:dyDescent="0.45">
      <c r="AF999" s="988">
        <f>'DIY Grundmodell'!R1086</f>
        <v>46028</v>
      </c>
      <c r="AG999" s="89">
        <f>'DIY Grundmodell'!S1086</f>
        <v>660.62</v>
      </c>
      <c r="AH999" s="54">
        <f>'DIY Grundmodell'!T1086</f>
        <v>7315.9826800000001</v>
      </c>
      <c r="AI999" s="89">
        <f>'DIY Grundmodell'!U1086</f>
        <v>660.62</v>
      </c>
      <c r="AJ999" s="89">
        <f>'DIY Grundmodell'!V1086</f>
        <v>7315.9826800000001</v>
      </c>
      <c r="AK999" s="989"/>
      <c r="AL999" s="33">
        <f>'DIY Grundmodell'!X1086</f>
        <v>6944.8192200000003</v>
      </c>
    </row>
    <row r="1000" spans="32:38" ht="14.1" customHeight="1" x14ac:dyDescent="0.45">
      <c r="AF1000" s="988">
        <f>'DIY Grundmodell'!R1087</f>
        <v>46029</v>
      </c>
      <c r="AG1000" s="89">
        <f>'DIY Grundmodell'!S1087</f>
        <v>648.69000000000005</v>
      </c>
      <c r="AH1000" s="54">
        <f>'DIY Grundmodell'!T1087</f>
        <v>8333.2488300000005</v>
      </c>
      <c r="AI1000" s="89">
        <f>'DIY Grundmodell'!U1087</f>
        <v>648.69000000000005</v>
      </c>
      <c r="AJ1000" s="89">
        <f>'DIY Grundmodell'!V1087</f>
        <v>8333.2488300000005</v>
      </c>
      <c r="AK1000" s="989"/>
      <c r="AL1000" s="33">
        <f>'DIY Grundmodell'!X1087</f>
        <v>6920.9292599999999</v>
      </c>
    </row>
    <row r="1001" spans="32:38" ht="14.1" customHeight="1" x14ac:dyDescent="0.45">
      <c r="AF1001" s="988">
        <f>'DIY Grundmodell'!R1088</f>
        <v>46030</v>
      </c>
      <c r="AG1001" s="89">
        <f>'DIY Grundmodell'!S1088</f>
        <v>646.05999999999995</v>
      </c>
      <c r="AH1001" s="54">
        <f>'DIY Grundmodell'!T1088</f>
        <v>7702.1386700000003</v>
      </c>
      <c r="AI1001" s="89">
        <f>'DIY Grundmodell'!U1088</f>
        <v>646.05999999999995</v>
      </c>
      <c r="AJ1001" s="89">
        <f>'DIY Grundmodell'!V1088</f>
        <v>7702.1386700000003</v>
      </c>
      <c r="AK1001" s="989"/>
      <c r="AL1001" s="33">
        <f>'DIY Grundmodell'!X1088</f>
        <v>6921.4570899999999</v>
      </c>
    </row>
    <row r="1002" spans="32:38" ht="14.1" customHeight="1" x14ac:dyDescent="0.45">
      <c r="AF1002" s="988">
        <f>'DIY Grundmodell'!R1089</f>
        <v>46031</v>
      </c>
      <c r="AG1002" s="89">
        <f>'DIY Grundmodell'!S1089</f>
        <v>653.05999999999995</v>
      </c>
      <c r="AH1002" s="54">
        <f>'DIY Grundmodell'!T1089</f>
        <v>7598.3165300000001</v>
      </c>
      <c r="AI1002" s="89">
        <f>'DIY Grundmodell'!U1089</f>
        <v>653.05999999999995</v>
      </c>
      <c r="AJ1002" s="89">
        <f>'DIY Grundmodell'!V1089</f>
        <v>7598.3165300000001</v>
      </c>
      <c r="AK1002" s="989"/>
      <c r="AL1002" s="33">
        <f>'DIY Grundmodell'!X1089</f>
        <v>6966.2839199999999</v>
      </c>
    </row>
    <row r="1003" spans="32:38" ht="14.1" customHeight="1" x14ac:dyDescent="0.45">
      <c r="AF1003" s="988">
        <f>'DIY Grundmodell'!R1090</f>
        <v>46032</v>
      </c>
      <c r="AG1003" s="89" t="e">
        <f>'DIY Grundmodell'!S1090</f>
        <v>#N/A</v>
      </c>
      <c r="AH1003" s="54" t="e">
        <f>'DIY Grundmodell'!T1090</f>
        <v>#N/A</v>
      </c>
      <c r="AI1003" s="89">
        <f>'DIY Grundmodell'!U1090</f>
        <v>653.05999999999995</v>
      </c>
      <c r="AJ1003" s="89">
        <f>'DIY Grundmodell'!V1090</f>
        <v>0</v>
      </c>
      <c r="AK1003" s="989"/>
      <c r="AL1003" s="33">
        <f>'DIY Grundmodell'!X1090</f>
        <v>6966.2839199999999</v>
      </c>
    </row>
    <row r="1004" spans="32:38" ht="14.1" customHeight="1" x14ac:dyDescent="0.45">
      <c r="AF1004" s="988">
        <f>'DIY Grundmodell'!R1091</f>
        <v>46033</v>
      </c>
      <c r="AG1004" s="89" t="e">
        <f>'DIY Grundmodell'!S1091</f>
        <v>#N/A</v>
      </c>
      <c r="AH1004" s="54" t="e">
        <f>'DIY Grundmodell'!T1091</f>
        <v>#N/A</v>
      </c>
      <c r="AI1004" s="89">
        <f>'DIY Grundmodell'!U1091</f>
        <v>653.05999999999995</v>
      </c>
      <c r="AJ1004" s="89">
        <f>'DIY Grundmodell'!V1091</f>
        <v>0</v>
      </c>
      <c r="AK1004" s="989"/>
      <c r="AL1004" s="33">
        <f>'DIY Grundmodell'!X1091</f>
        <v>6966.2839199999999</v>
      </c>
    </row>
    <row r="1005" spans="32:38" ht="14.1" customHeight="1" x14ac:dyDescent="0.45">
      <c r="AF1005" s="988">
        <f>'DIY Grundmodell'!R1092</f>
        <v>46034</v>
      </c>
      <c r="AG1005" s="89">
        <f>'DIY Grundmodell'!S1092</f>
        <v>641.97</v>
      </c>
      <c r="AH1005" s="54">
        <f>'DIY Grundmodell'!T1092</f>
        <v>9499.3565600000002</v>
      </c>
      <c r="AI1005" s="89">
        <f>'DIY Grundmodell'!U1092</f>
        <v>641.97</v>
      </c>
      <c r="AJ1005" s="89">
        <f>'DIY Grundmodell'!V1092</f>
        <v>9499.3565600000002</v>
      </c>
      <c r="AK1005" s="989"/>
      <c r="AL1005" s="33">
        <f>'DIY Grundmodell'!X1092</f>
        <v>6977.2650299999996</v>
      </c>
    </row>
    <row r="1006" spans="32:38" ht="14.1" customHeight="1" x14ac:dyDescent="0.45">
      <c r="AF1006" s="988">
        <f>'DIY Grundmodell'!R1093</f>
        <v>46035</v>
      </c>
      <c r="AG1006" s="89">
        <f>'DIY Grundmodell'!S1093</f>
        <v>631.09</v>
      </c>
      <c r="AH1006" s="54">
        <f>'DIY Grundmodell'!T1093</f>
        <v>11378.80198</v>
      </c>
      <c r="AI1006" s="89">
        <f>'DIY Grundmodell'!U1093</f>
        <v>631.09</v>
      </c>
      <c r="AJ1006" s="89">
        <f>'DIY Grundmodell'!V1093</f>
        <v>11378.80198</v>
      </c>
      <c r="AK1006" s="989"/>
      <c r="AL1006" s="33">
        <f>'DIY Grundmodell'!X1093</f>
        <v>6963.7350999999999</v>
      </c>
    </row>
    <row r="1007" spans="32:38" ht="14.1" customHeight="1" x14ac:dyDescent="0.45">
      <c r="AF1007" s="988">
        <f>'DIY Grundmodell'!R1094</f>
        <v>46036</v>
      </c>
      <c r="AG1007" s="89">
        <f>'DIY Grundmodell'!S1094</f>
        <v>615.52</v>
      </c>
      <c r="AH1007" s="54">
        <f>'DIY Grundmodell'!T1094</f>
        <v>9557.7176199999994</v>
      </c>
      <c r="AI1007" s="89">
        <f>'DIY Grundmodell'!U1094</f>
        <v>615.52</v>
      </c>
      <c r="AJ1007" s="89">
        <f>'DIY Grundmodell'!V1094</f>
        <v>9557.7176199999994</v>
      </c>
      <c r="AK1007" s="989"/>
      <c r="AL1007" s="33">
        <f>'DIY Grundmodell'!X1094</f>
        <v>6926.5961500000003</v>
      </c>
    </row>
    <row r="1008" spans="32:38" ht="14.1" customHeight="1" x14ac:dyDescent="0.45">
      <c r="AF1008" s="988">
        <f>'DIY Grundmodell'!R1095</f>
        <v>46037</v>
      </c>
      <c r="AG1008" s="89">
        <f>'DIY Grundmodell'!S1095</f>
        <v>620.79999999999995</v>
      </c>
      <c r="AH1008" s="54">
        <f>'DIY Grundmodell'!T1095</f>
        <v>8117.6168100000004</v>
      </c>
      <c r="AI1008" s="89">
        <f>'DIY Grundmodell'!U1095</f>
        <v>620.79999999999995</v>
      </c>
      <c r="AJ1008" s="89">
        <f>'DIY Grundmodell'!V1095</f>
        <v>8117.6168100000004</v>
      </c>
      <c r="AK1008" s="989"/>
      <c r="AL1008" s="33">
        <f>'DIY Grundmodell'!X1095</f>
        <v>6944.4718800000001</v>
      </c>
    </row>
    <row r="1009" spans="32:38" ht="14.1" customHeight="1" x14ac:dyDescent="0.45">
      <c r="AF1009" s="988">
        <f>'DIY Grundmodell'!R1096</f>
        <v>46038</v>
      </c>
      <c r="AG1009" s="89">
        <f>'DIY Grundmodell'!S1096</f>
        <v>620.25</v>
      </c>
      <c r="AH1009" s="54">
        <f>'DIY Grundmodell'!T1096</f>
        <v>10552.01305</v>
      </c>
      <c r="AI1009" s="89">
        <f>'DIY Grundmodell'!U1096</f>
        <v>620.25</v>
      </c>
      <c r="AJ1009" s="89">
        <f>'DIY Grundmodell'!V1096</f>
        <v>10552.01305</v>
      </c>
      <c r="AK1009" s="989"/>
      <c r="AL1009" s="33">
        <f>'DIY Grundmodell'!X1096</f>
        <v>6940.0095099999999</v>
      </c>
    </row>
    <row r="1010" spans="32:38" ht="14.1" customHeight="1" x14ac:dyDescent="0.45">
      <c r="AF1010" s="988">
        <f>'DIY Grundmodell'!R1097</f>
        <v>46039</v>
      </c>
      <c r="AG1010" s="89" t="e">
        <f>'DIY Grundmodell'!S1097</f>
        <v>#N/A</v>
      </c>
      <c r="AH1010" s="54" t="e">
        <f>'DIY Grundmodell'!T1097</f>
        <v>#N/A</v>
      </c>
      <c r="AI1010" s="89">
        <f>'DIY Grundmodell'!U1097</f>
        <v>620.25</v>
      </c>
      <c r="AJ1010" s="89">
        <f>'DIY Grundmodell'!V1097</f>
        <v>0</v>
      </c>
      <c r="AK1010" s="989"/>
      <c r="AL1010" s="33">
        <f>'DIY Grundmodell'!X1097</f>
        <v>6940.0095099999999</v>
      </c>
    </row>
    <row r="1011" spans="32:38" ht="14.1" customHeight="1" x14ac:dyDescent="0.45">
      <c r="AF1011" s="988">
        <f>'DIY Grundmodell'!R1098</f>
        <v>46040</v>
      </c>
      <c r="AG1011" s="89" t="e">
        <f>'DIY Grundmodell'!S1098</f>
        <v>#N/A</v>
      </c>
      <c r="AH1011" s="54" t="e">
        <f>'DIY Grundmodell'!T1098</f>
        <v>#N/A</v>
      </c>
      <c r="AI1011" s="89">
        <f>'DIY Grundmodell'!U1098</f>
        <v>620.25</v>
      </c>
      <c r="AJ1011" s="89">
        <f>'DIY Grundmodell'!V1098</f>
        <v>0</v>
      </c>
      <c r="AK1011" s="989"/>
      <c r="AL1011" s="33">
        <f>'DIY Grundmodell'!X1098</f>
        <v>6940.0095099999999</v>
      </c>
    </row>
    <row r="1012" spans="32:38" ht="14.1" customHeight="1" x14ac:dyDescent="0.45">
      <c r="AF1012" s="988">
        <f>'DIY Grundmodell'!R1099</f>
        <v>46041</v>
      </c>
      <c r="AG1012" s="89" t="e">
        <f>'DIY Grundmodell'!S1099</f>
        <v>#N/A</v>
      </c>
      <c r="AH1012" s="54" t="e">
        <f>'DIY Grundmodell'!T1099</f>
        <v>#N/A</v>
      </c>
      <c r="AI1012" s="89">
        <f>'DIY Grundmodell'!U1099</f>
        <v>620.25</v>
      </c>
      <c r="AJ1012" s="89">
        <f>'DIY Grundmodell'!V1099</f>
        <v>0</v>
      </c>
      <c r="AK1012" s="989"/>
      <c r="AL1012" s="33">
        <f>'DIY Grundmodell'!X1099</f>
        <v>6940.0095099999999</v>
      </c>
    </row>
    <row r="1013" spans="32:38" ht="14.1" customHeight="1" x14ac:dyDescent="0.45">
      <c r="AF1013" s="988">
        <f>'DIY Grundmodell'!R1100</f>
        <v>46042</v>
      </c>
      <c r="AG1013" s="89">
        <f>'DIY Grundmodell'!S1100</f>
        <v>604.12</v>
      </c>
      <c r="AH1013" s="54">
        <f>'DIY Grundmodell'!T1100</f>
        <v>9164.2376100000001</v>
      </c>
      <c r="AI1013" s="89">
        <f>'DIY Grundmodell'!U1100</f>
        <v>604.12</v>
      </c>
      <c r="AJ1013" s="89">
        <f>'DIY Grundmodell'!V1100</f>
        <v>9164.2376100000001</v>
      </c>
      <c r="AK1013" s="989"/>
      <c r="AL1013" s="33">
        <f>'DIY Grundmodell'!X1100</f>
        <v>6796.8608100000001</v>
      </c>
    </row>
    <row r="1014" spans="32:38" ht="14.1" customHeight="1" x14ac:dyDescent="0.45">
      <c r="AF1014" s="988">
        <f>'DIY Grundmodell'!R1101</f>
        <v>46043</v>
      </c>
      <c r="AG1014" s="89">
        <f>'DIY Grundmodell'!S1101</f>
        <v>612.96</v>
      </c>
      <c r="AH1014" s="54">
        <f>'DIY Grundmodell'!T1101</f>
        <v>8884.6437299999998</v>
      </c>
      <c r="AI1014" s="89">
        <f>'DIY Grundmodell'!U1101</f>
        <v>612.96</v>
      </c>
      <c r="AJ1014" s="89">
        <f>'DIY Grundmodell'!V1101</f>
        <v>8884.6437299999998</v>
      </c>
      <c r="AK1014" s="989"/>
      <c r="AL1014" s="33">
        <f>'DIY Grundmodell'!X1101</f>
        <v>6875.6152700000002</v>
      </c>
    </row>
    <row r="1015" spans="32:38" ht="14.1" customHeight="1" x14ac:dyDescent="0.45">
      <c r="AF1015" s="988">
        <f>'DIY Grundmodell'!R1102</f>
        <v>46044</v>
      </c>
      <c r="AG1015" s="89">
        <f>'DIY Grundmodell'!S1102</f>
        <v>647.63</v>
      </c>
      <c r="AH1015" s="54">
        <f>'DIY Grundmodell'!T1102</f>
        <v>13855.82948</v>
      </c>
      <c r="AI1015" s="89">
        <f>'DIY Grundmodell'!U1102</f>
        <v>647.63</v>
      </c>
      <c r="AJ1015" s="89">
        <f>'DIY Grundmodell'!V1102</f>
        <v>13855.82948</v>
      </c>
      <c r="AK1015" s="989"/>
      <c r="AL1015" s="33">
        <f>'DIY Grundmodell'!X1102</f>
        <v>6913.3520399999998</v>
      </c>
    </row>
    <row r="1016" spans="32:38" ht="14.1" customHeight="1" x14ac:dyDescent="0.45">
      <c r="AF1016" s="988">
        <f>'DIY Grundmodell'!R1103</f>
        <v>46045</v>
      </c>
      <c r="AG1016" s="89">
        <f>'DIY Grundmodell'!S1103</f>
        <v>658.76</v>
      </c>
      <c r="AH1016" s="54">
        <f>'DIY Grundmodell'!T1103</f>
        <v>15018.227999999999</v>
      </c>
      <c r="AI1016" s="89">
        <f>'DIY Grundmodell'!U1103</f>
        <v>658.76</v>
      </c>
      <c r="AJ1016" s="89">
        <f>'DIY Grundmodell'!V1103</f>
        <v>15018.227999999999</v>
      </c>
      <c r="AK1016" s="989"/>
      <c r="AL1016" s="33">
        <f>'DIY Grundmodell'!X1103</f>
        <v>6915.6106499999996</v>
      </c>
    </row>
    <row r="1017" spans="32:38" ht="14.1" customHeight="1" x14ac:dyDescent="0.45">
      <c r="AF1017" s="988">
        <f>'DIY Grundmodell'!R1104</f>
        <v>46046</v>
      </c>
      <c r="AG1017" s="89" t="e">
        <f>'DIY Grundmodell'!S1104</f>
        <v>#N/A</v>
      </c>
      <c r="AH1017" s="54" t="e">
        <f>'DIY Grundmodell'!T1104</f>
        <v>#N/A</v>
      </c>
      <c r="AI1017" s="89">
        <f>'DIY Grundmodell'!U1104</f>
        <v>658.76</v>
      </c>
      <c r="AJ1017" s="89">
        <f>'DIY Grundmodell'!V1104</f>
        <v>0</v>
      </c>
      <c r="AK1017" s="989"/>
      <c r="AL1017" s="33">
        <f>'DIY Grundmodell'!X1104</f>
        <v>6915.6106499999996</v>
      </c>
    </row>
    <row r="1018" spans="32:38" ht="14.1" customHeight="1" x14ac:dyDescent="0.45">
      <c r="AF1018" s="988">
        <f>'DIY Grundmodell'!R1105</f>
        <v>46047</v>
      </c>
      <c r="AG1018" s="89" t="e">
        <f>'DIY Grundmodell'!S1105</f>
        <v>#N/A</v>
      </c>
      <c r="AH1018" s="54" t="e">
        <f>'DIY Grundmodell'!T1105</f>
        <v>#N/A</v>
      </c>
      <c r="AI1018" s="89">
        <f>'DIY Grundmodell'!U1105</f>
        <v>658.76</v>
      </c>
      <c r="AJ1018" s="89">
        <f>'DIY Grundmodell'!V1105</f>
        <v>0</v>
      </c>
      <c r="AK1018" s="989"/>
      <c r="AL1018" s="33">
        <f>'DIY Grundmodell'!X1105</f>
        <v>6915.6106499999996</v>
      </c>
    </row>
    <row r="1019" spans="32:38" ht="14.1" customHeight="1" x14ac:dyDescent="0.45">
      <c r="AF1019" s="988">
        <f>'DIY Grundmodell'!R1106</f>
        <v>46048</v>
      </c>
      <c r="AG1019" s="89">
        <f>'DIY Grundmodell'!S1106</f>
        <v>672.36</v>
      </c>
      <c r="AH1019" s="54">
        <f>'DIY Grundmodell'!T1106</f>
        <v>10977.87587</v>
      </c>
      <c r="AI1019" s="89">
        <f>'DIY Grundmodell'!U1106</f>
        <v>672.36</v>
      </c>
      <c r="AJ1019" s="89">
        <f>'DIY Grundmodell'!V1106</f>
        <v>10977.87587</v>
      </c>
      <c r="AK1019" s="989"/>
      <c r="AL1019" s="33">
        <f>'DIY Grundmodell'!X1106</f>
        <v>6950.2322000000004</v>
      </c>
    </row>
    <row r="1020" spans="32:38" ht="14.1" customHeight="1" x14ac:dyDescent="0.45">
      <c r="AF1020" s="988">
        <f>'DIY Grundmodell'!R1107</f>
        <v>46049</v>
      </c>
      <c r="AG1020" s="89">
        <f>'DIY Grundmodell'!S1107</f>
        <v>672.97</v>
      </c>
      <c r="AH1020" s="54">
        <f>'DIY Grundmodell'!T1107</f>
        <v>8948.7176299999992</v>
      </c>
      <c r="AI1020" s="89">
        <f>'DIY Grundmodell'!U1107</f>
        <v>672.97</v>
      </c>
      <c r="AJ1020" s="89">
        <f>'DIY Grundmodell'!V1107</f>
        <v>8948.7176299999992</v>
      </c>
      <c r="AK1020" s="989"/>
      <c r="AL1020" s="33">
        <f>'DIY Grundmodell'!X1107</f>
        <v>6978.5969299999997</v>
      </c>
    </row>
    <row r="1021" spans="32:38" ht="14.1" customHeight="1" x14ac:dyDescent="0.45">
      <c r="AF1021" s="988">
        <f>'DIY Grundmodell'!R1108</f>
        <v>46050</v>
      </c>
      <c r="AG1021" s="89">
        <f>'DIY Grundmodell'!S1108</f>
        <v>668.73</v>
      </c>
      <c r="AH1021" s="54">
        <f>'DIY Grundmodell'!T1108</f>
        <v>17192.78081</v>
      </c>
      <c r="AI1021" s="89">
        <f>'DIY Grundmodell'!U1108</f>
        <v>668.73</v>
      </c>
      <c r="AJ1021" s="89">
        <f>'DIY Grundmodell'!V1108</f>
        <v>17192.78081</v>
      </c>
      <c r="AK1021" s="989"/>
      <c r="AL1021" s="33">
        <f>'DIY Grundmodell'!X1108</f>
        <v>6978.0293899999997</v>
      </c>
    </row>
    <row r="1022" spans="32:38" ht="14.1" customHeight="1" x14ac:dyDescent="0.45">
      <c r="AF1022" s="988">
        <f>'DIY Grundmodell'!R1109</f>
        <v>46051</v>
      </c>
      <c r="AG1022" s="89">
        <f>'DIY Grundmodell'!S1109</f>
        <v>738.31</v>
      </c>
      <c r="AH1022" s="54">
        <f>'DIY Grundmodell'!T1109</f>
        <v>44189.996809999997</v>
      </c>
      <c r="AI1022" s="89">
        <f>'DIY Grundmodell'!U1109</f>
        <v>738.31</v>
      </c>
      <c r="AJ1022" s="89">
        <f>'DIY Grundmodell'!V1109</f>
        <v>44189.996809999997</v>
      </c>
      <c r="AK1022" s="989"/>
      <c r="AL1022" s="33">
        <f>'DIY Grundmodell'!X1109</f>
        <v>6969.0068899999997</v>
      </c>
    </row>
    <row r="1023" spans="32:38" ht="14.1" customHeight="1" x14ac:dyDescent="0.45">
      <c r="AF1023" s="988">
        <f>'DIY Grundmodell'!R1110</f>
        <v>46052</v>
      </c>
      <c r="AG1023" s="89">
        <f>'DIY Grundmodell'!S1110</f>
        <v>716.5</v>
      </c>
      <c r="AH1023" s="54">
        <f>'DIY Grundmodell'!T1110</f>
        <v>17012.986560000001</v>
      </c>
      <c r="AI1023" s="89">
        <f>'DIY Grundmodell'!U1110</f>
        <v>716.5</v>
      </c>
      <c r="AJ1023" s="89">
        <f>'DIY Grundmodell'!V1110</f>
        <v>17012.986560000001</v>
      </c>
      <c r="AK1023" s="989"/>
      <c r="AL1023" s="33">
        <f>'DIY Grundmodell'!X1110</f>
        <v>6939.02952</v>
      </c>
    </row>
    <row r="1024" spans="32:38" ht="14.1" customHeight="1" x14ac:dyDescent="0.45">
      <c r="AF1024" s="988">
        <f>'DIY Grundmodell'!R1111</f>
        <v>46053</v>
      </c>
      <c r="AG1024" s="89" t="e">
        <f>'DIY Grundmodell'!S1111</f>
        <v>#N/A</v>
      </c>
      <c r="AH1024" s="54" t="e">
        <f>'DIY Grundmodell'!T1111</f>
        <v>#N/A</v>
      </c>
      <c r="AI1024" s="89">
        <f>'DIY Grundmodell'!U1111</f>
        <v>716.5</v>
      </c>
      <c r="AJ1024" s="89">
        <f>'DIY Grundmodell'!V1111</f>
        <v>0</v>
      </c>
      <c r="AK1024" s="989"/>
      <c r="AL1024" s="33">
        <f>'DIY Grundmodell'!X1111</f>
        <v>6939.02952</v>
      </c>
    </row>
    <row r="1025" spans="32:38" ht="14.1" customHeight="1" x14ac:dyDescent="0.45">
      <c r="AF1025" s="988">
        <f>'DIY Grundmodell'!R1112</f>
        <v>46054</v>
      </c>
      <c r="AG1025" s="89" t="e">
        <f>'DIY Grundmodell'!S1112</f>
        <v>#N/A</v>
      </c>
      <c r="AH1025" s="54" t="e">
        <f>'DIY Grundmodell'!T1112</f>
        <v>#N/A</v>
      </c>
      <c r="AI1025" s="89">
        <f>'DIY Grundmodell'!U1112</f>
        <v>716.5</v>
      </c>
      <c r="AJ1025" s="89">
        <f>'DIY Grundmodell'!V1112</f>
        <v>0</v>
      </c>
      <c r="AK1025" s="989"/>
      <c r="AL1025" s="33">
        <f>'DIY Grundmodell'!X1112</f>
        <v>6939.02952</v>
      </c>
    </row>
    <row r="1026" spans="32:38" ht="14.1" customHeight="1" x14ac:dyDescent="0.45">
      <c r="AF1026" s="988">
        <f>'DIY Grundmodell'!R1113</f>
        <v>46055</v>
      </c>
      <c r="AG1026" s="89">
        <f>'DIY Grundmodell'!S1113</f>
        <v>706.41</v>
      </c>
      <c r="AH1026" s="54">
        <f>'DIY Grundmodell'!T1113</f>
        <v>10147.73789</v>
      </c>
      <c r="AI1026" s="89">
        <f>'DIY Grundmodell'!U1113</f>
        <v>706.41</v>
      </c>
      <c r="AJ1026" s="89">
        <f>'DIY Grundmodell'!V1113</f>
        <v>10147.73789</v>
      </c>
      <c r="AK1026" s="989"/>
      <c r="AL1026" s="33">
        <f>'DIY Grundmodell'!X1113</f>
        <v>6976.4441800000004</v>
      </c>
    </row>
    <row r="1027" spans="32:38" ht="14.1" customHeight="1" x14ac:dyDescent="0.45">
      <c r="AF1027" s="988">
        <f>'DIY Grundmodell'!R1114</f>
        <v>46056</v>
      </c>
      <c r="AG1027" s="89">
        <f>'DIY Grundmodell'!S1114</f>
        <v>691.7</v>
      </c>
      <c r="AH1027" s="54">
        <f>'DIY Grundmodell'!T1114</f>
        <v>9518.2505999999994</v>
      </c>
      <c r="AI1027" s="89">
        <f>'DIY Grundmodell'!U1114</f>
        <v>691.7</v>
      </c>
      <c r="AJ1027" s="89">
        <f>'DIY Grundmodell'!V1114</f>
        <v>9518.2505999999994</v>
      </c>
      <c r="AK1027" s="989"/>
      <c r="AL1027" s="33">
        <f>'DIY Grundmodell'!X1114</f>
        <v>6917.8117000000002</v>
      </c>
    </row>
    <row r="1028" spans="32:38" ht="14.1" customHeight="1" x14ac:dyDescent="0.45">
      <c r="AF1028" s="988">
        <f>'DIY Grundmodell'!R1115</f>
        <v>46057</v>
      </c>
      <c r="AG1028" s="89">
        <f>'DIY Grundmodell'!S1115</f>
        <v>668.99</v>
      </c>
      <c r="AH1028" s="54">
        <f>'DIY Grundmodell'!T1115</f>
        <v>11294.398279999999</v>
      </c>
      <c r="AI1028" s="89">
        <f>'DIY Grundmodell'!U1115</f>
        <v>668.99</v>
      </c>
      <c r="AJ1028" s="89">
        <f>'DIY Grundmodell'!V1115</f>
        <v>11294.398279999999</v>
      </c>
      <c r="AK1028" s="989"/>
      <c r="AL1028" s="33">
        <f>'DIY Grundmodell'!X1115</f>
        <v>6882.7211100000004</v>
      </c>
    </row>
    <row r="1029" spans="32:38" ht="14.1" customHeight="1" x14ac:dyDescent="0.45">
      <c r="AF1029" s="988">
        <f>'DIY Grundmodell'!R1116</f>
        <v>46058</v>
      </c>
      <c r="AG1029" s="89">
        <f>'DIY Grundmodell'!S1116</f>
        <v>670.21</v>
      </c>
      <c r="AH1029" s="54">
        <f>'DIY Grundmodell'!T1116</f>
        <v>11481.897650000001</v>
      </c>
      <c r="AI1029" s="89">
        <f>'DIY Grundmodell'!U1116</f>
        <v>670.21</v>
      </c>
      <c r="AJ1029" s="89">
        <f>'DIY Grundmodell'!V1116</f>
        <v>11481.897650000001</v>
      </c>
      <c r="AK1029" s="989"/>
      <c r="AL1029" s="33">
        <f>'DIY Grundmodell'!X1116</f>
        <v>6798.39948</v>
      </c>
    </row>
    <row r="1030" spans="32:38" ht="14.1" customHeight="1" x14ac:dyDescent="0.45">
      <c r="AF1030" s="988">
        <f>'DIY Grundmodell'!R1117</f>
        <v>46059</v>
      </c>
      <c r="AG1030" s="89">
        <f>'DIY Grundmodell'!S1117</f>
        <v>661.46</v>
      </c>
      <c r="AH1030" s="54">
        <f>'DIY Grundmodell'!T1117</f>
        <v>12011.619489999999</v>
      </c>
      <c r="AI1030" s="89">
        <f>'DIY Grundmodell'!U1117</f>
        <v>661.46</v>
      </c>
      <c r="AJ1030" s="89">
        <f>'DIY Grundmodell'!V1117</f>
        <v>12011.619489999999</v>
      </c>
      <c r="AK1030" s="989"/>
      <c r="AL1030" s="33">
        <f>'DIY Grundmodell'!X1117</f>
        <v>6932.2976699999999</v>
      </c>
    </row>
    <row r="1031" spans="32:38" ht="14.1" customHeight="1" x14ac:dyDescent="0.45">
      <c r="AF1031" s="988">
        <f>'DIY Grundmodell'!R1118</f>
        <v>46060</v>
      </c>
      <c r="AG1031" s="89" t="e">
        <f>'DIY Grundmodell'!S1118</f>
        <v>#N/A</v>
      </c>
      <c r="AH1031" s="54" t="e">
        <f>'DIY Grundmodell'!T1118</f>
        <v>#N/A</v>
      </c>
      <c r="AI1031" s="89">
        <f>'DIY Grundmodell'!U1118</f>
        <v>661.46</v>
      </c>
      <c r="AJ1031" s="89">
        <f>'DIY Grundmodell'!V1118</f>
        <v>0</v>
      </c>
      <c r="AK1031" s="989"/>
      <c r="AL1031" s="33">
        <f>'DIY Grundmodell'!X1118</f>
        <v>6932.2976699999999</v>
      </c>
    </row>
    <row r="1032" spans="32:38" ht="14.1" customHeight="1" x14ac:dyDescent="0.45">
      <c r="AF1032" s="988">
        <f>'DIY Grundmodell'!R1119</f>
        <v>46061</v>
      </c>
      <c r="AG1032" s="89" t="e">
        <f>'DIY Grundmodell'!S1119</f>
        <v>#N/A</v>
      </c>
      <c r="AH1032" s="54" t="e">
        <f>'DIY Grundmodell'!T1119</f>
        <v>#N/A</v>
      </c>
      <c r="AI1032" s="89">
        <f>'DIY Grundmodell'!U1119</f>
        <v>661.46</v>
      </c>
      <c r="AJ1032" s="89">
        <f>'DIY Grundmodell'!V1119</f>
        <v>0</v>
      </c>
      <c r="AK1032" s="989"/>
      <c r="AL1032" s="33">
        <f>'DIY Grundmodell'!X1119</f>
        <v>6932.2976699999999</v>
      </c>
    </row>
    <row r="1033" spans="32:38" ht="14.1" customHeight="1" x14ac:dyDescent="0.45">
      <c r="AF1033" s="988">
        <f>'DIY Grundmodell'!R1120</f>
        <v>46062</v>
      </c>
      <c r="AG1033" s="89">
        <f>'DIY Grundmodell'!S1120</f>
        <v>677.22</v>
      </c>
      <c r="AH1033" s="54">
        <f>'DIY Grundmodell'!T1120</f>
        <v>10048.27139</v>
      </c>
      <c r="AI1033" s="89">
        <f>'DIY Grundmodell'!U1120</f>
        <v>677.22</v>
      </c>
      <c r="AJ1033" s="89">
        <f>'DIY Grundmodell'!V1120</f>
        <v>10048.27139</v>
      </c>
      <c r="AK1033" s="989"/>
      <c r="AL1033" s="33">
        <f>'DIY Grundmodell'!X1120</f>
        <v>6964.8198499999999</v>
      </c>
    </row>
    <row r="1034" spans="32:38" ht="14.1" customHeight="1" x14ac:dyDescent="0.45">
      <c r="AF1034" s="988">
        <f>'DIY Grundmodell'!R1121</f>
        <v>46063</v>
      </c>
      <c r="AG1034" s="89">
        <f>'DIY Grundmodell'!S1121</f>
        <v>670.72</v>
      </c>
      <c r="AH1034" s="54">
        <f>'DIY Grundmodell'!T1121</f>
        <v>7012.9249099999997</v>
      </c>
      <c r="AI1034" s="89">
        <f>'DIY Grundmodell'!U1121</f>
        <v>670.72</v>
      </c>
      <c r="AJ1034" s="89">
        <f>'DIY Grundmodell'!V1121</f>
        <v>7012.9249099999997</v>
      </c>
      <c r="AK1034" s="989"/>
      <c r="AL1034" s="33">
        <f>'DIY Grundmodell'!X1121</f>
        <v>6941.8125099999997</v>
      </c>
    </row>
    <row r="1035" spans="32:38" ht="14.1" customHeight="1" x14ac:dyDescent="0.45">
      <c r="AF1035" s="988">
        <f>'DIY Grundmodell'!R1122</f>
        <v>46064</v>
      </c>
      <c r="AG1035" s="89">
        <f>'DIY Grundmodell'!S1122</f>
        <v>668.69</v>
      </c>
      <c r="AH1035" s="54">
        <f>'DIY Grundmodell'!T1122</f>
        <v>9578.1938599999994</v>
      </c>
      <c r="AI1035" s="89">
        <f>'DIY Grundmodell'!U1122</f>
        <v>668.69</v>
      </c>
      <c r="AJ1035" s="89">
        <f>'DIY Grundmodell'!V1122</f>
        <v>9578.1938599999994</v>
      </c>
      <c r="AK1035" s="989"/>
      <c r="AL1035" s="33">
        <f>'DIY Grundmodell'!X1122</f>
        <v>6941.4710100000002</v>
      </c>
    </row>
    <row r="1036" spans="32:38" ht="14.1" customHeight="1" x14ac:dyDescent="0.45">
      <c r="AF1036" s="988">
        <f>'DIY Grundmodell'!R1123</f>
        <v>46065</v>
      </c>
      <c r="AG1036" s="89">
        <f>'DIY Grundmodell'!S1123</f>
        <v>649.80999999999995</v>
      </c>
      <c r="AH1036" s="54">
        <f>'DIY Grundmodell'!T1123</f>
        <v>9721.2277799999993</v>
      </c>
      <c r="AI1036" s="89">
        <f>'DIY Grundmodell'!U1123</f>
        <v>649.80999999999995</v>
      </c>
      <c r="AJ1036" s="89">
        <f>'DIY Grundmodell'!V1123</f>
        <v>9721.2277799999993</v>
      </c>
      <c r="AK1036" s="989"/>
      <c r="AL1036" s="33">
        <f>'DIY Grundmodell'!X1123</f>
        <v>6832.7614700000004</v>
      </c>
    </row>
    <row r="1037" spans="32:38" ht="14.1" customHeight="1" x14ac:dyDescent="0.45">
      <c r="AF1037" s="988">
        <f>'DIY Grundmodell'!R1124</f>
        <v>46066</v>
      </c>
      <c r="AG1037" s="89">
        <f>'DIY Grundmodell'!S1124</f>
        <v>639.77</v>
      </c>
      <c r="AH1037" s="54">
        <f>'DIY Grundmodell'!T1124</f>
        <v>7892.4349599999996</v>
      </c>
      <c r="AI1037" s="89">
        <f>'DIY Grundmodell'!U1124</f>
        <v>639.77</v>
      </c>
      <c r="AJ1037" s="89">
        <f>'DIY Grundmodell'!V1124</f>
        <v>7892.4349599999996</v>
      </c>
      <c r="AK1037" s="989"/>
      <c r="AL1037" s="33">
        <f>'DIY Grundmodell'!X1124</f>
        <v>6836.17209</v>
      </c>
    </row>
    <row r="1038" spans="32:38" ht="14.1" customHeight="1" x14ac:dyDescent="0.45">
      <c r="AF1038" s="988">
        <f>'DIY Grundmodell'!R1125</f>
        <v>46067</v>
      </c>
      <c r="AG1038" s="89" t="e">
        <f>'DIY Grundmodell'!S1125</f>
        <v>#N/A</v>
      </c>
      <c r="AH1038" s="54" t="e">
        <f>'DIY Grundmodell'!T1125</f>
        <v>#N/A</v>
      </c>
      <c r="AI1038" s="89">
        <f>'DIY Grundmodell'!U1125</f>
        <v>639.77</v>
      </c>
      <c r="AJ1038" s="89">
        <f>'DIY Grundmodell'!V1125</f>
        <v>0</v>
      </c>
      <c r="AK1038" s="989"/>
      <c r="AL1038" s="33">
        <f>'DIY Grundmodell'!X1125</f>
        <v>6836.17209</v>
      </c>
    </row>
    <row r="1039" spans="32:38" ht="14.1" customHeight="1" x14ac:dyDescent="0.45">
      <c r="AF1039" s="988">
        <f>'DIY Grundmodell'!R1126</f>
        <v>46068</v>
      </c>
      <c r="AG1039" s="89" t="e">
        <f>'DIY Grundmodell'!S1126</f>
        <v>#N/A</v>
      </c>
      <c r="AH1039" s="54" t="e">
        <f>'DIY Grundmodell'!T1126</f>
        <v>#N/A</v>
      </c>
      <c r="AI1039" s="89">
        <f>'DIY Grundmodell'!U1126</f>
        <v>639.77</v>
      </c>
      <c r="AJ1039" s="89">
        <f>'DIY Grundmodell'!V1126</f>
        <v>0</v>
      </c>
      <c r="AK1039" s="989"/>
      <c r="AL1039" s="33">
        <f>'DIY Grundmodell'!X1126</f>
        <v>6836.17209</v>
      </c>
    </row>
    <row r="1040" spans="32:38" ht="14.1" customHeight="1" x14ac:dyDescent="0.45">
      <c r="AF1040" s="988">
        <f>'DIY Grundmodell'!R1127</f>
        <v>46069</v>
      </c>
      <c r="AG1040" s="89" t="e">
        <f>'DIY Grundmodell'!S1127</f>
        <v>#N/A</v>
      </c>
      <c r="AH1040" s="54" t="e">
        <f>'DIY Grundmodell'!T1127</f>
        <v>#N/A</v>
      </c>
      <c r="AI1040" s="89">
        <f>'DIY Grundmodell'!U1127</f>
        <v>639.77</v>
      </c>
      <c r="AJ1040" s="89">
        <f>'DIY Grundmodell'!V1127</f>
        <v>0</v>
      </c>
      <c r="AK1040" s="989"/>
      <c r="AL1040" s="33">
        <f>'DIY Grundmodell'!X1127</f>
        <v>6836.17209</v>
      </c>
    </row>
    <row r="1041" spans="32:38" ht="14.1" customHeight="1" x14ac:dyDescent="0.45">
      <c r="AF1041" s="988">
        <f>'DIY Grundmodell'!R1128</f>
        <v>46070</v>
      </c>
      <c r="AG1041" s="89">
        <f>'DIY Grundmodell'!S1128</f>
        <v>639.29</v>
      </c>
      <c r="AH1041" s="54">
        <f>'DIY Grundmodell'!T1128</f>
        <v>8102.8338999999996</v>
      </c>
      <c r="AI1041" s="89">
        <f>'DIY Grundmodell'!U1128</f>
        <v>639.29</v>
      </c>
      <c r="AJ1041" s="89">
        <f>'DIY Grundmodell'!V1128</f>
        <v>8102.8338999999996</v>
      </c>
      <c r="AK1041" s="989"/>
      <c r="AL1041" s="33">
        <f>'DIY Grundmodell'!X1128</f>
        <v>6843.2232599999998</v>
      </c>
    </row>
    <row r="1042" spans="32:38" ht="14.1" customHeight="1" x14ac:dyDescent="0.45">
      <c r="AF1042" s="988">
        <f>'DIY Grundmodell'!R1129</f>
        <v>46071</v>
      </c>
      <c r="AG1042" s="89">
        <f>'DIY Grundmodell'!S1129</f>
        <v>643.22</v>
      </c>
      <c r="AH1042" s="54">
        <f>'DIY Grundmodell'!T1129</f>
        <v>9422.6558499999992</v>
      </c>
      <c r="AI1042" s="89">
        <f>'DIY Grundmodell'!U1129</f>
        <v>643.22</v>
      </c>
      <c r="AJ1042" s="89">
        <f>'DIY Grundmodell'!V1129</f>
        <v>9422.6558499999992</v>
      </c>
      <c r="AK1042" s="989"/>
      <c r="AL1042" s="33">
        <f>'DIY Grundmodell'!X1129</f>
        <v>6881.3145599999998</v>
      </c>
    </row>
    <row r="1043" spans="32:38" ht="14.1" customHeight="1" x14ac:dyDescent="0.45">
      <c r="AF1043" s="988">
        <f>'DIY Grundmodell'!R1130</f>
        <v>46072</v>
      </c>
      <c r="AG1043" s="89">
        <f>'DIY Grundmodell'!S1130</f>
        <v>644.78</v>
      </c>
      <c r="AH1043" s="54">
        <f>'DIY Grundmodell'!T1130</f>
        <v>6470.81736</v>
      </c>
      <c r="AI1043" s="89">
        <f>'DIY Grundmodell'!U1130</f>
        <v>644.78</v>
      </c>
      <c r="AJ1043" s="89">
        <f>'DIY Grundmodell'!V1130</f>
        <v>6470.81736</v>
      </c>
      <c r="AK1043" s="989"/>
      <c r="AL1043" s="33">
        <f>'DIY Grundmodell'!X1130</f>
        <v>6861.8937400000004</v>
      </c>
    </row>
    <row r="1044" spans="32:38" ht="14.1" customHeight="1" x14ac:dyDescent="0.45">
      <c r="AF1044" s="988">
        <f>'DIY Grundmodell'!R1131</f>
        <v>46073</v>
      </c>
      <c r="AG1044" s="89">
        <f>'DIY Grundmodell'!S1131</f>
        <v>655.66</v>
      </c>
      <c r="AH1044" s="54">
        <f>'DIY Grundmodell'!T1131</f>
        <v>9299.5614800000003</v>
      </c>
      <c r="AI1044" s="89">
        <f>'DIY Grundmodell'!U1131</f>
        <v>655.66</v>
      </c>
      <c r="AJ1044" s="89">
        <f>'DIY Grundmodell'!V1131</f>
        <v>9299.5614800000003</v>
      </c>
      <c r="AK1044" s="989"/>
      <c r="AL1044" s="33">
        <f>'DIY Grundmodell'!X1131</f>
        <v>6909.5066200000001</v>
      </c>
    </row>
    <row r="1045" spans="32:38" ht="14.1" customHeight="1" x14ac:dyDescent="0.45">
      <c r="AF1045" s="988">
        <f>'DIY Grundmodell'!R1132</f>
        <v>46074</v>
      </c>
      <c r="AG1045" s="89" t="e">
        <f>'DIY Grundmodell'!S1132</f>
        <v>#N/A</v>
      </c>
      <c r="AH1045" s="54" t="e">
        <f>'DIY Grundmodell'!T1132</f>
        <v>#N/A</v>
      </c>
      <c r="AI1045" s="89">
        <f>'DIY Grundmodell'!U1132</f>
        <v>655.66</v>
      </c>
      <c r="AJ1045" s="89">
        <f>'DIY Grundmodell'!V1132</f>
        <v>0</v>
      </c>
      <c r="AK1045" s="989"/>
      <c r="AL1045" s="33">
        <f>'DIY Grundmodell'!X1132</f>
        <v>6909.5066200000001</v>
      </c>
    </row>
    <row r="1046" spans="32:38" ht="14.1" customHeight="1" x14ac:dyDescent="0.45">
      <c r="AF1046" s="988">
        <f>'DIY Grundmodell'!R1133</f>
        <v>46075</v>
      </c>
      <c r="AG1046" s="89" t="e">
        <f>'DIY Grundmodell'!S1133</f>
        <v>#N/A</v>
      </c>
      <c r="AH1046" s="54" t="e">
        <f>'DIY Grundmodell'!T1133</f>
        <v>#N/A</v>
      </c>
      <c r="AI1046" s="89">
        <f>'DIY Grundmodell'!U1133</f>
        <v>655.66</v>
      </c>
      <c r="AJ1046" s="89">
        <f>'DIY Grundmodell'!V1133</f>
        <v>0</v>
      </c>
      <c r="AK1046" s="989"/>
      <c r="AL1046" s="33">
        <f>'DIY Grundmodell'!X1133</f>
        <v>6909.5066200000001</v>
      </c>
    </row>
    <row r="1047" spans="32:38" ht="14.1" customHeight="1" x14ac:dyDescent="0.45">
      <c r="AF1047" s="988">
        <f>'DIY Grundmodell'!R1134</f>
        <v>46076</v>
      </c>
      <c r="AG1047" s="89">
        <f>'DIY Grundmodell'!S1134</f>
        <v>637.25</v>
      </c>
      <c r="AH1047" s="54">
        <f>'DIY Grundmodell'!T1134</f>
        <v>5484.1155099999996</v>
      </c>
      <c r="AI1047" s="89">
        <f>'DIY Grundmodell'!U1134</f>
        <v>637.25</v>
      </c>
      <c r="AJ1047" s="89">
        <f>'DIY Grundmodell'!V1134</f>
        <v>5484.1155099999996</v>
      </c>
      <c r="AK1047" s="989"/>
      <c r="AL1047" s="33">
        <f>'DIY Grundmodell'!X1134</f>
        <v>6837.7545200000004</v>
      </c>
    </row>
    <row r="1048" spans="32:38" ht="14.1" customHeight="1" x14ac:dyDescent="0.45">
      <c r="AF1048" s="988">
        <f>'DIY Grundmodell'!R1135</f>
        <v>46077</v>
      </c>
      <c r="AG1048" s="89">
        <f>'DIY Grundmodell'!S1135</f>
        <v>639.29999999999995</v>
      </c>
      <c r="AH1048" s="54">
        <f>'DIY Grundmodell'!T1135</f>
        <v>6479.7191300000004</v>
      </c>
      <c r="AI1048" s="89">
        <f>'DIY Grundmodell'!U1135</f>
        <v>639.29999999999995</v>
      </c>
      <c r="AJ1048" s="89">
        <f>'DIY Grundmodell'!V1135</f>
        <v>6479.7191300000004</v>
      </c>
      <c r="AK1048" s="989"/>
      <c r="AL1048" s="33">
        <f>'DIY Grundmodell'!X1135</f>
        <v>6890.0723099999996</v>
      </c>
    </row>
    <row r="1049" spans="32:38" ht="14.1" customHeight="1" x14ac:dyDescent="0.45">
      <c r="AF1049" s="988">
        <f>'DIY Grundmodell'!R1136</f>
        <v>46078</v>
      </c>
      <c r="AG1049" s="89">
        <f>'DIY Grundmodell'!S1136</f>
        <v>653.69000000000005</v>
      </c>
      <c r="AH1049" s="54">
        <f>'DIY Grundmodell'!T1136</f>
        <v>7406.7607099999996</v>
      </c>
      <c r="AI1049" s="89">
        <f>'DIY Grundmodell'!U1136</f>
        <v>653.69000000000005</v>
      </c>
      <c r="AJ1049" s="89">
        <f>'DIY Grundmodell'!V1136</f>
        <v>7406.7607099999996</v>
      </c>
      <c r="AK1049" s="989"/>
      <c r="AL1049" s="33">
        <f>'DIY Grundmodell'!X1136</f>
        <v>6946.1266900000001</v>
      </c>
    </row>
    <row r="1050" spans="32:38" ht="14.1" customHeight="1" x14ac:dyDescent="0.45">
      <c r="AF1050" s="988">
        <f>'DIY Grundmodell'!R1137</f>
        <v>46079</v>
      </c>
      <c r="AG1050" s="89">
        <f>'DIY Grundmodell'!S1137</f>
        <v>657.01</v>
      </c>
      <c r="AH1050" s="54">
        <f>'DIY Grundmodell'!T1137</f>
        <v>6989.0989300000001</v>
      </c>
      <c r="AI1050" s="89">
        <f>'DIY Grundmodell'!U1137</f>
        <v>657.01</v>
      </c>
      <c r="AJ1050" s="89">
        <f>'DIY Grundmodell'!V1137</f>
        <v>6989.0989300000001</v>
      </c>
      <c r="AK1050" s="989"/>
      <c r="AL1050" s="33">
        <f>'DIY Grundmodell'!X1137</f>
        <v>6908.8646799999997</v>
      </c>
    </row>
    <row r="1051" spans="32:38" ht="14.1" customHeight="1" x14ac:dyDescent="0.45">
      <c r="AF1051" s="988">
        <f>'DIY Grundmodell'!R1138</f>
        <v>46080</v>
      </c>
      <c r="AG1051" s="89">
        <f>'DIY Grundmodell'!S1138</f>
        <v>648.17999999999995</v>
      </c>
      <c r="AH1051" s="54">
        <f>'DIY Grundmodell'!T1138</f>
        <v>10178.39712</v>
      </c>
      <c r="AI1051" s="89">
        <f>'DIY Grundmodell'!U1138</f>
        <v>648.17999999999995</v>
      </c>
      <c r="AJ1051" s="89">
        <f>'DIY Grundmodell'!V1138</f>
        <v>10178.39712</v>
      </c>
      <c r="AK1051" s="989"/>
      <c r="AL1051" s="33">
        <f>'DIY Grundmodell'!X1138</f>
        <v>6878.8784999999998</v>
      </c>
    </row>
    <row r="1052" spans="32:38" ht="14.1" customHeight="1" x14ac:dyDescent="0.45">
      <c r="AF1052" s="988">
        <f>'DIY Grundmodell'!R1139</f>
        <v>46081</v>
      </c>
      <c r="AG1052" s="89">
        <f>'DIY Grundmodell'!S1139</f>
        <v>647.85</v>
      </c>
      <c r="AH1052" s="54">
        <f>'DIY Grundmodell'!T1139</f>
        <v>0</v>
      </c>
      <c r="AI1052" s="89">
        <f>'DIY Grundmodell'!U1139</f>
        <v>647.85</v>
      </c>
      <c r="AJ1052" s="89">
        <f>'DIY Grundmodell'!V1139</f>
        <v>0</v>
      </c>
      <c r="AK1052" s="989"/>
      <c r="AL1052" s="33">
        <f>'DIY Grundmodell'!X1139</f>
        <v>6878.8784999999998</v>
      </c>
    </row>
    <row r="1053" spans="32:38" ht="14.1" customHeight="1" x14ac:dyDescent="0.45">
      <c r="AF1053" s="988">
        <f>'DIY Grundmodell'!R1140</f>
        <v>46082</v>
      </c>
      <c r="AG1053" s="89">
        <f>'DIY Grundmodell'!S1140</f>
        <v>648.17999999999995</v>
      </c>
      <c r="AH1053" s="54">
        <f>'DIY Grundmodell'!T1140</f>
        <v>0</v>
      </c>
      <c r="AI1053" s="89">
        <f>'DIY Grundmodell'!U1140</f>
        <v>648.17999999999995</v>
      </c>
      <c r="AJ1053" s="89">
        <f>'DIY Grundmodell'!V1140</f>
        <v>0</v>
      </c>
      <c r="AK1053" s="989"/>
      <c r="AL1053" s="33">
        <f>'DIY Grundmodell'!X1140</f>
        <v>6878.8784999999998</v>
      </c>
    </row>
    <row r="1054" spans="32:38" ht="14.1" customHeight="1" x14ac:dyDescent="0.45">
      <c r="AF1054" s="988">
        <f>'DIY Grundmodell'!R1141</f>
        <v>46083</v>
      </c>
      <c r="AG1054" s="89">
        <f>'DIY Grundmodell'!S1141</f>
        <v>653.55999999999995</v>
      </c>
      <c r="AH1054" s="54">
        <f>'DIY Grundmodell'!T1141</f>
        <v>6415.4266600000001</v>
      </c>
      <c r="AI1054" s="89">
        <f>'DIY Grundmodell'!U1141</f>
        <v>653.55999999999995</v>
      </c>
      <c r="AJ1054" s="89">
        <f>'DIY Grundmodell'!V1141</f>
        <v>6415.4266600000001</v>
      </c>
      <c r="AK1054" s="989"/>
      <c r="AL1054" s="33">
        <f>'DIY Grundmodell'!X1141</f>
        <v>6881.6200799999997</v>
      </c>
    </row>
    <row r="1055" spans="32:38" ht="14.1" customHeight="1" x14ac:dyDescent="0.45">
      <c r="AF1055" s="988">
        <f>'DIY Grundmodell'!R1142</f>
        <v>46084</v>
      </c>
      <c r="AG1055" s="89">
        <f>'DIY Grundmodell'!S1142</f>
        <v>655.08000000000004</v>
      </c>
      <c r="AH1055" s="54">
        <f>'DIY Grundmodell'!T1142</f>
        <v>8033.7399699999996</v>
      </c>
      <c r="AI1055" s="89">
        <f>'DIY Grundmodell'!U1142</f>
        <v>655.08000000000004</v>
      </c>
      <c r="AJ1055" s="89">
        <f>'DIY Grundmodell'!V1142</f>
        <v>8033.7399699999996</v>
      </c>
      <c r="AK1055" s="989"/>
      <c r="AL1055" s="33">
        <f>'DIY Grundmodell'!X1142</f>
        <v>6816.6270299999996</v>
      </c>
    </row>
    <row r="1056" spans="32:38" ht="14.1" customHeight="1" x14ac:dyDescent="0.45">
      <c r="AF1056" s="988">
        <f>'DIY Grundmodell'!R1143</f>
        <v>46085</v>
      </c>
      <c r="AG1056" s="89">
        <f>'DIY Grundmodell'!S1143</f>
        <v>667.73</v>
      </c>
      <c r="AH1056" s="54">
        <f>'DIY Grundmodell'!T1143</f>
        <v>7218.1973600000001</v>
      </c>
      <c r="AI1056" s="89">
        <f>'DIY Grundmodell'!U1143</f>
        <v>667.73</v>
      </c>
      <c r="AJ1056" s="89">
        <f>'DIY Grundmodell'!V1143</f>
        <v>7218.1973600000001</v>
      </c>
      <c r="AK1056" s="989"/>
      <c r="AL1056" s="33">
        <f>'DIY Grundmodell'!X1143</f>
        <v>6869.5024400000002</v>
      </c>
    </row>
    <row r="1057" spans="32:38" ht="14.1" customHeight="1" x14ac:dyDescent="0.45">
      <c r="AF1057" s="988">
        <f>'DIY Grundmodell'!R1144</f>
        <v>46086</v>
      </c>
      <c r="AG1057" s="89">
        <f>'DIY Grundmodell'!S1144</f>
        <v>660.57</v>
      </c>
      <c r="AH1057" s="54">
        <f>'DIY Grundmodell'!T1144</f>
        <v>8812.9068000000007</v>
      </c>
      <c r="AI1057" s="89">
        <f>'DIY Grundmodell'!U1144</f>
        <v>660.57</v>
      </c>
      <c r="AJ1057" s="89">
        <f>'DIY Grundmodell'!V1144</f>
        <v>8812.9068000000007</v>
      </c>
      <c r="AK1057" s="989"/>
      <c r="AL1057" s="33">
        <f>'DIY Grundmodell'!X1144</f>
        <v>6830.7080699999997</v>
      </c>
    </row>
    <row r="1058" spans="32:38" ht="14.1" customHeight="1" x14ac:dyDescent="0.45">
      <c r="AF1058" s="988">
        <f>'DIY Grundmodell'!R1145</f>
        <v>46087</v>
      </c>
      <c r="AG1058" s="89">
        <f>'DIY Grundmodell'!S1145</f>
        <v>644.86</v>
      </c>
      <c r="AH1058" s="54">
        <f>'DIY Grundmodell'!T1145</f>
        <v>8485.9423100000004</v>
      </c>
      <c r="AI1058" s="89">
        <f>'DIY Grundmodell'!U1145</f>
        <v>644.86</v>
      </c>
      <c r="AJ1058" s="89">
        <f>'DIY Grundmodell'!V1145</f>
        <v>8485.9423100000004</v>
      </c>
      <c r="AK1058" s="989"/>
      <c r="AL1058" s="33">
        <f>'DIY Grundmodell'!X1145</f>
        <v>6740.0234300000002</v>
      </c>
    </row>
    <row r="1059" spans="32:38" ht="14.1" customHeight="1" x14ac:dyDescent="0.45">
      <c r="AF1059" s="988">
        <f>'DIY Grundmodell'!R1146</f>
        <v>46088</v>
      </c>
      <c r="AG1059" s="89" t="e">
        <f>'DIY Grundmodell'!S1146</f>
        <v>#N/A</v>
      </c>
      <c r="AH1059" s="54" t="e">
        <f>'DIY Grundmodell'!T1146</f>
        <v>#N/A</v>
      </c>
      <c r="AI1059" s="89">
        <f>'DIY Grundmodell'!U1146</f>
        <v>644.86</v>
      </c>
      <c r="AJ1059" s="89">
        <f>'DIY Grundmodell'!V1146</f>
        <v>0</v>
      </c>
      <c r="AK1059" s="989"/>
      <c r="AL1059" s="33">
        <f>'DIY Grundmodell'!X1146</f>
        <v>6740.0234300000002</v>
      </c>
    </row>
    <row r="1060" spans="32:38" ht="14.1" customHeight="1" x14ac:dyDescent="0.45">
      <c r="AF1060" s="988">
        <f>'DIY Grundmodell'!R1147</f>
        <v>46089</v>
      </c>
      <c r="AG1060" s="89" t="e">
        <f>'DIY Grundmodell'!S1147</f>
        <v>#N/A</v>
      </c>
      <c r="AH1060" s="54" t="e">
        <f>'DIY Grundmodell'!T1147</f>
        <v>#N/A</v>
      </c>
      <c r="AI1060" s="89">
        <f>'DIY Grundmodell'!U1147</f>
        <v>644.86</v>
      </c>
      <c r="AJ1060" s="89">
        <f>'DIY Grundmodell'!V1147</f>
        <v>0</v>
      </c>
      <c r="AK1060" s="989"/>
      <c r="AL1060" s="33">
        <f>'DIY Grundmodell'!X1147</f>
        <v>6740.0234300000002</v>
      </c>
    </row>
    <row r="1061" spans="32:38" ht="14.1" customHeight="1" x14ac:dyDescent="0.45">
      <c r="AF1061" s="988">
        <f>'DIY Grundmodell'!R1148</f>
        <v>46090</v>
      </c>
      <c r="AG1061" s="89">
        <f>'DIY Grundmodell'!S1148</f>
        <v>647.39</v>
      </c>
      <c r="AH1061" s="54">
        <f>'DIY Grundmodell'!T1148</f>
        <v>8733.1240699999998</v>
      </c>
      <c r="AI1061" s="89">
        <f>'DIY Grundmodell'!U1148</f>
        <v>647.39</v>
      </c>
      <c r="AJ1061" s="89">
        <f>'DIY Grundmodell'!V1148</f>
        <v>8733.1240699999998</v>
      </c>
      <c r="AK1061" s="989"/>
      <c r="AL1061" s="33">
        <f>'DIY Grundmodell'!X1148</f>
        <v>6795.9918699999998</v>
      </c>
    </row>
    <row r="1062" spans="32:38" ht="14.1" customHeight="1" x14ac:dyDescent="0.45">
      <c r="AF1062" s="988">
        <f>'DIY Grundmodell'!R1149</f>
        <v>46091</v>
      </c>
      <c r="AG1062" s="89">
        <f>'DIY Grundmodell'!S1149</f>
        <v>654.07000000000005</v>
      </c>
      <c r="AH1062" s="54">
        <f>'DIY Grundmodell'!T1149</f>
        <v>6448.6396500000001</v>
      </c>
      <c r="AI1062" s="89">
        <f>'DIY Grundmodell'!U1149</f>
        <v>654.07000000000005</v>
      </c>
      <c r="AJ1062" s="89">
        <f>'DIY Grundmodell'!V1149</f>
        <v>6448.6396500000001</v>
      </c>
      <c r="AK1062" s="989"/>
      <c r="AL1062" s="33">
        <f>'DIY Grundmodell'!X1149</f>
        <v>6781.4819299999999</v>
      </c>
    </row>
    <row r="1063" spans="32:38" ht="14.1" customHeight="1" x14ac:dyDescent="0.45">
      <c r="AF1063" s="988">
        <f>'DIY Grundmodell'!R1150</f>
        <v>46092</v>
      </c>
      <c r="AG1063" s="89">
        <f>'DIY Grundmodell'!S1150</f>
        <v>654.86</v>
      </c>
      <c r="AH1063" s="54">
        <f>'DIY Grundmodell'!T1150</f>
        <v>5878.78431</v>
      </c>
      <c r="AI1063" s="89">
        <f>'DIY Grundmodell'!U1150</f>
        <v>654.86</v>
      </c>
      <c r="AJ1063" s="89">
        <f>'DIY Grundmodell'!V1150</f>
        <v>5878.78431</v>
      </c>
      <c r="AK1063" s="989"/>
      <c r="AL1063" s="33">
        <f>'DIY Grundmodell'!X1150</f>
        <v>6775.8043200000002</v>
      </c>
    </row>
    <row r="1064" spans="32:38" ht="14.1" customHeight="1" x14ac:dyDescent="0.45">
      <c r="AF1064" s="988">
        <f>'DIY Grundmodell'!R1151</f>
        <v>46093</v>
      </c>
      <c r="AG1064" s="89">
        <f>'DIY Grundmodell'!S1151</f>
        <v>638.17999999999995</v>
      </c>
      <c r="AH1064" s="54">
        <f>'DIY Grundmodell'!T1151</f>
        <v>7414.0465800000002</v>
      </c>
      <c r="AI1064" s="89">
        <f>'DIY Grundmodell'!U1151</f>
        <v>638.17999999999995</v>
      </c>
      <c r="AJ1064" s="89">
        <f>'DIY Grundmodell'!V1151</f>
        <v>7414.0465800000002</v>
      </c>
      <c r="AK1064" s="989"/>
      <c r="AL1064" s="33">
        <f>'DIY Grundmodell'!X1151</f>
        <v>6672.6180400000003</v>
      </c>
    </row>
    <row r="1065" spans="32:38" ht="14.1" customHeight="1" x14ac:dyDescent="0.45">
      <c r="AF1065" s="988">
        <f>'DIY Grundmodell'!R1152</f>
        <v>46094</v>
      </c>
      <c r="AG1065" s="89">
        <f>'DIY Grundmodell'!S1152</f>
        <v>613.71</v>
      </c>
      <c r="AH1065" s="54">
        <f>'DIY Grundmodell'!T1152</f>
        <v>11634.491400000001</v>
      </c>
      <c r="AI1065" s="89">
        <f>'DIY Grundmodell'!U1152</f>
        <v>613.71</v>
      </c>
      <c r="AJ1065" s="89">
        <f>'DIY Grundmodell'!V1152</f>
        <v>11634.491400000001</v>
      </c>
      <c r="AK1065" s="989"/>
      <c r="AL1065" s="33">
        <f>'DIY Grundmodell'!X1152</f>
        <v>6632.1915300000001</v>
      </c>
    </row>
    <row r="1066" spans="32:38" ht="14.1" customHeight="1" x14ac:dyDescent="0.45">
      <c r="AF1066" s="988">
        <f>'DIY Grundmodell'!R1153</f>
        <v>46095</v>
      </c>
      <c r="AG1066" s="89" t="e">
        <f>'DIY Grundmodell'!S1153</f>
        <v>#N/A</v>
      </c>
      <c r="AH1066" s="54" t="e">
        <f>'DIY Grundmodell'!T1153</f>
        <v>#N/A</v>
      </c>
      <c r="AI1066" s="89">
        <f>'DIY Grundmodell'!U1153</f>
        <v>613.71</v>
      </c>
      <c r="AJ1066" s="89">
        <f>'DIY Grundmodell'!V1153</f>
        <v>0</v>
      </c>
      <c r="AK1066" s="989"/>
      <c r="AL1066" s="33">
        <f>'DIY Grundmodell'!X1153</f>
        <v>6632.1915300000001</v>
      </c>
    </row>
    <row r="1067" spans="32:38" ht="14.1" customHeight="1" x14ac:dyDescent="0.45">
      <c r="AF1067" s="988">
        <f>'DIY Grundmodell'!R1154</f>
        <v>46096</v>
      </c>
      <c r="AG1067" s="89" t="e">
        <f>'DIY Grundmodell'!S1154</f>
        <v>#N/A</v>
      </c>
      <c r="AH1067" s="54" t="e">
        <f>'DIY Grundmodell'!T1154</f>
        <v>#N/A</v>
      </c>
      <c r="AI1067" s="89">
        <f>'DIY Grundmodell'!U1154</f>
        <v>613.71</v>
      </c>
      <c r="AJ1067" s="89">
        <f>'DIY Grundmodell'!V1154</f>
        <v>0</v>
      </c>
      <c r="AK1067" s="989"/>
      <c r="AL1067" s="33">
        <f>'DIY Grundmodell'!X1154</f>
        <v>6632.1915300000001</v>
      </c>
    </row>
    <row r="1068" spans="32:38" ht="14.1" customHeight="1" x14ac:dyDescent="0.45">
      <c r="AF1068" s="988">
        <f>'DIY Grundmodell'!R1155</f>
        <v>46097</v>
      </c>
      <c r="AG1068" s="89">
        <f>'DIY Grundmodell'!S1155</f>
        <v>627.45000000000005</v>
      </c>
      <c r="AH1068" s="54">
        <f>'DIY Grundmodell'!T1155</f>
        <v>9496.3628900000003</v>
      </c>
      <c r="AI1068" s="89">
        <f>'DIY Grundmodell'!U1155</f>
        <v>627.45000000000005</v>
      </c>
      <c r="AJ1068" s="89">
        <f>'DIY Grundmodell'!V1155</f>
        <v>9496.3628900000003</v>
      </c>
      <c r="AK1068" s="989"/>
      <c r="AL1068" s="33">
        <f>'DIY Grundmodell'!X1155</f>
        <v>6699.3833299999997</v>
      </c>
    </row>
    <row r="1069" spans="32:38" ht="14.1" customHeight="1" x14ac:dyDescent="0.45">
      <c r="AF1069" s="988">
        <f>'DIY Grundmodell'!R1156</f>
        <v>46098</v>
      </c>
      <c r="AG1069" s="89">
        <f>'DIY Grundmodell'!S1156</f>
        <v>622.66</v>
      </c>
      <c r="AH1069" s="54">
        <f>'DIY Grundmodell'!T1156</f>
        <v>6443.7557900000002</v>
      </c>
      <c r="AI1069" s="89">
        <f>'DIY Grundmodell'!U1156</f>
        <v>622.66</v>
      </c>
      <c r="AJ1069" s="89">
        <f>'DIY Grundmodell'!V1156</f>
        <v>6443.7557900000002</v>
      </c>
      <c r="AK1069" s="989"/>
      <c r="AL1069" s="33">
        <f>'DIY Grundmodell'!X1156</f>
        <v>6716.0925100000004</v>
      </c>
    </row>
    <row r="1070" spans="32:38" ht="14.1" customHeight="1" x14ac:dyDescent="0.45">
      <c r="AF1070" s="988">
        <f>'DIY Grundmodell'!R1157</f>
        <v>46099</v>
      </c>
      <c r="AG1070" s="89">
        <f>'DIY Grundmodell'!S1157</f>
        <v>615.67999999999995</v>
      </c>
      <c r="AH1070" s="54">
        <f>'DIY Grundmodell'!T1157</f>
        <v>7219.6490000000003</v>
      </c>
      <c r="AI1070" s="89">
        <f>'DIY Grundmodell'!U1157</f>
        <v>615.67999999999995</v>
      </c>
      <c r="AJ1070" s="89">
        <f>'DIY Grundmodell'!V1157</f>
        <v>7219.6490000000003</v>
      </c>
      <c r="AK1070" s="989"/>
      <c r="AL1070" s="33">
        <f>'DIY Grundmodell'!X1157</f>
        <v>6624.6951600000002</v>
      </c>
    </row>
    <row r="1071" spans="32:38" ht="14.1" customHeight="1" x14ac:dyDescent="0.45">
      <c r="AF1071" s="988">
        <f>'DIY Grundmodell'!R1158</f>
        <v>46100</v>
      </c>
      <c r="AG1071" s="89">
        <f>'DIY Grundmodell'!S1158</f>
        <v>606.70000000000005</v>
      </c>
      <c r="AH1071" s="54">
        <f>'DIY Grundmodell'!T1158</f>
        <v>8037.37716</v>
      </c>
      <c r="AI1071" s="89">
        <f>'DIY Grundmodell'!U1158</f>
        <v>606.70000000000005</v>
      </c>
      <c r="AJ1071" s="89">
        <f>'DIY Grundmodell'!V1158</f>
        <v>8037.37716</v>
      </c>
      <c r="AK1071" s="989"/>
      <c r="AL1071" s="33">
        <f>'DIY Grundmodell'!X1158</f>
        <v>6606.4945399999997</v>
      </c>
    </row>
    <row r="1072" spans="32:38" ht="14.1" customHeight="1" x14ac:dyDescent="0.45">
      <c r="AF1072" s="988">
        <f>'DIY Grundmodell'!R1159</f>
        <v>46101</v>
      </c>
      <c r="AG1072" s="89">
        <f>'DIY Grundmodell'!S1159</f>
        <v>593.66</v>
      </c>
      <c r="AH1072" s="54">
        <f>'DIY Grundmodell'!T1159</f>
        <v>12594.43635</v>
      </c>
      <c r="AI1072" s="89">
        <f>'DIY Grundmodell'!U1159</f>
        <v>593.66</v>
      </c>
      <c r="AJ1072" s="89">
        <f>'DIY Grundmodell'!V1159</f>
        <v>12594.43635</v>
      </c>
      <c r="AK1072" s="989"/>
      <c r="AL1072" s="33">
        <f>'DIY Grundmodell'!X1159</f>
        <v>6506.4789099999998</v>
      </c>
    </row>
    <row r="1073" spans="32:38" ht="14.1" customHeight="1" x14ac:dyDescent="0.45">
      <c r="AF1073" s="988">
        <f>'DIY Grundmodell'!R1160</f>
        <v>46102</v>
      </c>
      <c r="AG1073" s="89" t="e">
        <f>'DIY Grundmodell'!S1160</f>
        <v>#N/A</v>
      </c>
      <c r="AH1073" s="54" t="e">
        <f>'DIY Grundmodell'!T1160</f>
        <v>#N/A</v>
      </c>
      <c r="AI1073" s="89">
        <f>'DIY Grundmodell'!U1160</f>
        <v>593.66</v>
      </c>
      <c r="AJ1073" s="89">
        <f>'DIY Grundmodell'!V1160</f>
        <v>0</v>
      </c>
      <c r="AK1073" s="989"/>
      <c r="AL1073" s="33">
        <f>'DIY Grundmodell'!X1160</f>
        <v>6506.4789099999998</v>
      </c>
    </row>
    <row r="1074" spans="32:38" ht="14.1" customHeight="1" x14ac:dyDescent="0.45">
      <c r="AF1074" s="988">
        <f>'DIY Grundmodell'!R1161</f>
        <v>46103</v>
      </c>
      <c r="AG1074" s="89" t="e">
        <f>'DIY Grundmodell'!S1161</f>
        <v>#N/A</v>
      </c>
      <c r="AH1074" s="54" t="e">
        <f>'DIY Grundmodell'!T1161</f>
        <v>#N/A</v>
      </c>
      <c r="AI1074" s="89">
        <f>'DIY Grundmodell'!U1161</f>
        <v>593.66</v>
      </c>
      <c r="AJ1074" s="89">
        <f>'DIY Grundmodell'!V1161</f>
        <v>0</v>
      </c>
      <c r="AK1074" s="989"/>
      <c r="AL1074" s="33">
        <f>'DIY Grundmodell'!X1161</f>
        <v>6506.4789099999998</v>
      </c>
    </row>
    <row r="1075" spans="32:38" ht="14.1" customHeight="1" x14ac:dyDescent="0.45">
      <c r="AF1075" s="988">
        <f>'DIY Grundmodell'!R1162</f>
        <v>46104</v>
      </c>
      <c r="AG1075" s="89">
        <f>'DIY Grundmodell'!S1162</f>
        <v>604.05999999999995</v>
      </c>
      <c r="AH1075" s="54">
        <f>'DIY Grundmodell'!T1162</f>
        <v>8238.1455100000003</v>
      </c>
      <c r="AI1075" s="89">
        <f>'DIY Grundmodell'!U1162</f>
        <v>604.05999999999995</v>
      </c>
      <c r="AJ1075" s="89">
        <f>'DIY Grundmodell'!V1162</f>
        <v>8238.1455100000003</v>
      </c>
      <c r="AK1075" s="989"/>
      <c r="AL1075" s="33">
        <f>'DIY Grundmodell'!X1162</f>
        <v>6581.0002100000002</v>
      </c>
    </row>
    <row r="1076" spans="32:38" ht="14.1" customHeight="1" x14ac:dyDescent="0.45">
      <c r="AF1076" s="988">
        <f>'DIY Grundmodell'!R1163</f>
        <v>46105</v>
      </c>
      <c r="AG1076" s="89">
        <f>'DIY Grundmodell'!S1163</f>
        <v>592.91999999999996</v>
      </c>
      <c r="AH1076" s="54">
        <f>'DIY Grundmodell'!T1163</f>
        <v>6367.8078299999997</v>
      </c>
      <c r="AI1076" s="89">
        <f>'DIY Grundmodell'!U1163</f>
        <v>592.91999999999996</v>
      </c>
      <c r="AJ1076" s="89">
        <f>'DIY Grundmodell'!V1163</f>
        <v>6367.8078299999997</v>
      </c>
      <c r="AK1076" s="989"/>
      <c r="AL1076" s="33">
        <f>'DIY Grundmodell'!X1163</f>
        <v>6556.3711400000002</v>
      </c>
    </row>
    <row r="1077" spans="32:38" ht="14.1" customHeight="1" x14ac:dyDescent="0.45">
      <c r="AF1077" s="988">
        <f>'DIY Grundmodell'!R1164</f>
        <v>46106</v>
      </c>
      <c r="AG1077" s="89">
        <f>'DIY Grundmodell'!S1164</f>
        <v>594.89</v>
      </c>
      <c r="AH1077" s="54">
        <f>'DIY Grundmodell'!T1164</f>
        <v>7486.7090900000003</v>
      </c>
      <c r="AI1077" s="89">
        <f>'DIY Grundmodell'!U1164</f>
        <v>594.89</v>
      </c>
      <c r="AJ1077" s="89">
        <f>'DIY Grundmodell'!V1164</f>
        <v>7486.7090900000003</v>
      </c>
      <c r="AK1077" s="989"/>
      <c r="AL1077" s="33">
        <f>'DIY Grundmodell'!X1164</f>
        <v>6591.9005900000002</v>
      </c>
    </row>
    <row r="1078" spans="32:38" ht="14.1" customHeight="1" x14ac:dyDescent="0.45">
      <c r="AF1078" s="988">
        <f>'DIY Grundmodell'!R1165</f>
        <v>46107</v>
      </c>
      <c r="AG1078" s="89">
        <f>'DIY Grundmodell'!S1165</f>
        <v>547.54</v>
      </c>
      <c r="AH1078" s="54">
        <f>'DIY Grundmodell'!T1165</f>
        <v>19591.052930000002</v>
      </c>
      <c r="AI1078" s="89">
        <f>'DIY Grundmodell'!U1165</f>
        <v>547.54</v>
      </c>
      <c r="AJ1078" s="89">
        <f>'DIY Grundmodell'!V1165</f>
        <v>19591.052930000002</v>
      </c>
      <c r="AK1078" s="989"/>
      <c r="AL1078" s="33">
        <f>'DIY Grundmodell'!X1165</f>
        <v>6477.1646300000002</v>
      </c>
    </row>
    <row r="1079" spans="32:38" ht="14.1" customHeight="1" x14ac:dyDescent="0.45">
      <c r="AF1079" s="988">
        <f>'DIY Grundmodell'!R1166</f>
        <v>46108</v>
      </c>
      <c r="AG1079" s="89">
        <f>'DIY Grundmodell'!S1166</f>
        <v>525.72</v>
      </c>
      <c r="AH1079" s="54">
        <f>'DIY Grundmodell'!T1166</f>
        <v>15841.526019999999</v>
      </c>
      <c r="AI1079" s="89">
        <f>'DIY Grundmodell'!U1166</f>
        <v>525.72</v>
      </c>
      <c r="AJ1079" s="89">
        <f>'DIY Grundmodell'!V1166</f>
        <v>15841.526019999999</v>
      </c>
      <c r="AK1079" s="989"/>
      <c r="AL1079" s="33">
        <f>'DIY Grundmodell'!X1166</f>
        <v>6368.8530700000001</v>
      </c>
    </row>
    <row r="1080" spans="32:38" ht="14.1" customHeight="1" x14ac:dyDescent="0.45">
      <c r="AF1080" s="988">
        <f>'DIY Grundmodell'!R1167</f>
        <v>46109</v>
      </c>
      <c r="AG1080" s="89" t="e">
        <f>'DIY Grundmodell'!S1167</f>
        <v>#N/A</v>
      </c>
      <c r="AH1080" s="54" t="e">
        <f>'DIY Grundmodell'!T1167</f>
        <v>#N/A</v>
      </c>
      <c r="AI1080" s="89">
        <f>'DIY Grundmodell'!U1167</f>
        <v>525.72</v>
      </c>
      <c r="AJ1080" s="89">
        <f>'DIY Grundmodell'!V1167</f>
        <v>0</v>
      </c>
      <c r="AK1080" s="989"/>
      <c r="AL1080" s="33">
        <f>'DIY Grundmodell'!X1167</f>
        <v>6368.8530700000001</v>
      </c>
    </row>
    <row r="1081" spans="32:38" ht="14.1" customHeight="1" x14ac:dyDescent="0.45">
      <c r="AF1081" s="988">
        <f>'DIY Grundmodell'!R1168</f>
        <v>46110</v>
      </c>
      <c r="AG1081" s="89" t="e">
        <f>'DIY Grundmodell'!S1168</f>
        <v>#N/A</v>
      </c>
      <c r="AH1081" s="54" t="e">
        <f>'DIY Grundmodell'!T1168</f>
        <v>#N/A</v>
      </c>
      <c r="AI1081" s="89">
        <f>'DIY Grundmodell'!U1168</f>
        <v>525.72</v>
      </c>
      <c r="AJ1081" s="89">
        <f>'DIY Grundmodell'!V1168</f>
        <v>0</v>
      </c>
      <c r="AK1081" s="989"/>
      <c r="AL1081" s="33">
        <f>'DIY Grundmodell'!X1168</f>
        <v>6368.8530700000001</v>
      </c>
    </row>
    <row r="1082" spans="32:38" ht="14.1" customHeight="1" x14ac:dyDescent="0.45">
      <c r="AF1082" s="988">
        <f>'DIY Grundmodell'!R1169</f>
        <v>46111</v>
      </c>
      <c r="AG1082" s="89">
        <f>'DIY Grundmodell'!S1169</f>
        <v>536.38</v>
      </c>
      <c r="AH1082" s="54">
        <f>'DIY Grundmodell'!T1169</f>
        <v>12226.89099</v>
      </c>
      <c r="AI1082" s="89">
        <f>'DIY Grundmodell'!U1169</f>
        <v>536.38</v>
      </c>
      <c r="AJ1082" s="89">
        <f>'DIY Grundmodell'!V1169</f>
        <v>12226.89099</v>
      </c>
      <c r="AK1082" s="989"/>
      <c r="AL1082" s="33">
        <f>'DIY Grundmodell'!X1169</f>
        <v>6343.7248300000001</v>
      </c>
    </row>
    <row r="1083" spans="32:38" ht="14.1" customHeight="1" x14ac:dyDescent="0.45">
      <c r="AF1083" s="988">
        <f>'DIY Grundmodell'!R1170</f>
        <v>46112</v>
      </c>
      <c r="AG1083" s="89">
        <f>'DIY Grundmodell'!S1170</f>
        <v>572.13</v>
      </c>
      <c r="AH1083" s="54">
        <f>'DIY Grundmodell'!T1170</f>
        <v>18822.088360000002</v>
      </c>
      <c r="AI1083" s="89">
        <f>'DIY Grundmodell'!U1170</f>
        <v>572.13</v>
      </c>
      <c r="AJ1083" s="89">
        <f>'DIY Grundmodell'!V1170</f>
        <v>18822.088360000002</v>
      </c>
      <c r="AK1083" s="989"/>
      <c r="AL1083" s="33">
        <f>'DIY Grundmodell'!X1170</f>
        <v>6528.5173800000002</v>
      </c>
    </row>
    <row r="1084" spans="32:38" ht="14.1" customHeight="1" x14ac:dyDescent="0.45">
      <c r="AF1084" s="988">
        <f>'DIY Grundmodell'!R1171</f>
        <v>46113</v>
      </c>
      <c r="AG1084" s="89">
        <f>'DIY Grundmodell'!S1171</f>
        <v>579.23</v>
      </c>
      <c r="AH1084" s="54">
        <f>'DIY Grundmodell'!T1171</f>
        <v>13674.535980000001</v>
      </c>
      <c r="AI1084" s="89">
        <f>'DIY Grundmodell'!U1171</f>
        <v>579.23</v>
      </c>
      <c r="AJ1084" s="89">
        <f>'DIY Grundmodell'!V1171</f>
        <v>13674.535980000001</v>
      </c>
      <c r="AK1084" s="989"/>
      <c r="AL1084" s="33">
        <f>'DIY Grundmodell'!X1171</f>
        <v>6575.3159299999998</v>
      </c>
    </row>
    <row r="1085" spans="32:38" ht="14.1" customHeight="1" x14ac:dyDescent="0.45">
      <c r="AF1085" s="988">
        <f>'DIY Grundmodell'!R1172</f>
        <v>46114</v>
      </c>
      <c r="AG1085" s="89">
        <f>'DIY Grundmodell'!S1172</f>
        <v>574.46</v>
      </c>
      <c r="AH1085" s="54">
        <f>'DIY Grundmodell'!T1172</f>
        <v>7765.8645100000003</v>
      </c>
      <c r="AI1085" s="89">
        <f>'DIY Grundmodell'!U1172</f>
        <v>574.46</v>
      </c>
      <c r="AJ1085" s="89">
        <f>'DIY Grundmodell'!V1172</f>
        <v>7765.8645100000003</v>
      </c>
      <c r="AK1085" s="989"/>
      <c r="AL1085" s="33">
        <f>'DIY Grundmodell'!X1172</f>
        <v>6582.6867599999996</v>
      </c>
    </row>
    <row r="1086" spans="32:38" ht="14.1" customHeight="1" x14ac:dyDescent="0.45">
      <c r="AF1086" s="988">
        <f>'DIY Grundmodell'!R1173</f>
        <v>46115</v>
      </c>
      <c r="AG1086" s="89" t="e">
        <f>'DIY Grundmodell'!S1173</f>
        <v>#N/A</v>
      </c>
      <c r="AH1086" s="54" t="e">
        <f>'DIY Grundmodell'!T1173</f>
        <v>#N/A</v>
      </c>
      <c r="AI1086" s="89">
        <f>'DIY Grundmodell'!U1173</f>
        <v>574.46</v>
      </c>
      <c r="AJ1086" s="89">
        <f>'DIY Grundmodell'!V1173</f>
        <v>0</v>
      </c>
      <c r="AK1086" s="989"/>
      <c r="AL1086" s="33">
        <f>'DIY Grundmodell'!X1173</f>
        <v>6582.6867599999996</v>
      </c>
    </row>
    <row r="1087" spans="32:38" ht="14.1" customHeight="1" x14ac:dyDescent="0.45">
      <c r="AF1087" s="988">
        <f>'DIY Grundmodell'!R1174</f>
        <v>46116</v>
      </c>
      <c r="AG1087" s="89" t="e">
        <f>'DIY Grundmodell'!S1174</f>
        <v>#N/A</v>
      </c>
      <c r="AH1087" s="54" t="e">
        <f>'DIY Grundmodell'!T1174</f>
        <v>#N/A</v>
      </c>
      <c r="AI1087" s="89">
        <f>'DIY Grundmodell'!U1174</f>
        <v>574.46</v>
      </c>
      <c r="AJ1087" s="89">
        <f>'DIY Grundmodell'!V1174</f>
        <v>0</v>
      </c>
      <c r="AK1087" s="989"/>
      <c r="AL1087" s="33">
        <f>'DIY Grundmodell'!X1174</f>
        <v>6582.6867599999996</v>
      </c>
    </row>
    <row r="1088" spans="32:38" ht="14.1" customHeight="1" x14ac:dyDescent="0.45">
      <c r="AF1088" s="988">
        <f>'DIY Grundmodell'!R1175</f>
        <v>46117</v>
      </c>
      <c r="AG1088" s="89" t="e">
        <f>'DIY Grundmodell'!S1175</f>
        <v>#N/A</v>
      </c>
      <c r="AH1088" s="54" t="e">
        <f>'DIY Grundmodell'!T1175</f>
        <v>#N/A</v>
      </c>
      <c r="AI1088" s="89">
        <f>'DIY Grundmodell'!U1175</f>
        <v>574.46</v>
      </c>
      <c r="AJ1088" s="89">
        <f>'DIY Grundmodell'!V1175</f>
        <v>0</v>
      </c>
      <c r="AK1088" s="989"/>
      <c r="AL1088" s="33">
        <f>'DIY Grundmodell'!X1175</f>
        <v>6582.6867599999996</v>
      </c>
    </row>
    <row r="1089" spans="32:38" ht="14.1" customHeight="1" x14ac:dyDescent="0.45">
      <c r="AF1089" s="988">
        <f>'DIY Grundmodell'!R1176</f>
        <v>46118</v>
      </c>
      <c r="AG1089" s="89">
        <f>'DIY Grundmodell'!S1176</f>
        <v>573.02</v>
      </c>
      <c r="AH1089" s="54">
        <f>'DIY Grundmodell'!T1176</f>
        <v>5452.65834</v>
      </c>
      <c r="AI1089" s="89">
        <f>'DIY Grundmodell'!U1176</f>
        <v>573.02</v>
      </c>
      <c r="AJ1089" s="89">
        <f>'DIY Grundmodell'!V1176</f>
        <v>5452.65834</v>
      </c>
      <c r="AK1089" s="989"/>
      <c r="AL1089" s="33">
        <f>'DIY Grundmodell'!X1176</f>
        <v>6611.8304099999996</v>
      </c>
    </row>
    <row r="1090" spans="32:38" ht="14.1" customHeight="1" x14ac:dyDescent="0.45">
      <c r="AF1090" s="988">
        <f>'DIY Grundmodell'!R1177</f>
        <v>46119</v>
      </c>
      <c r="AG1090" s="89">
        <f>'DIY Grundmodell'!S1177</f>
        <v>575.04999999999995</v>
      </c>
      <c r="AH1090" s="54">
        <f>'DIY Grundmodell'!T1177</f>
        <v>5509.4637700000003</v>
      </c>
      <c r="AI1090" s="89">
        <f>'DIY Grundmodell'!U1177</f>
        <v>575.04999999999995</v>
      </c>
      <c r="AJ1090" s="89">
        <f>'DIY Grundmodell'!V1177</f>
        <v>5509.4637700000003</v>
      </c>
      <c r="AK1090" s="989"/>
      <c r="AL1090" s="33">
        <f>'DIY Grundmodell'!X1177</f>
        <v>6616.8508300000003</v>
      </c>
    </row>
    <row r="1091" spans="32:38" ht="14.1" customHeight="1" x14ac:dyDescent="0.45">
      <c r="AF1091" s="988">
        <f>'DIY Grundmodell'!R1178</f>
        <v>46120</v>
      </c>
      <c r="AG1091" s="89">
        <f>'DIY Grundmodell'!S1178</f>
        <v>612.41999999999996</v>
      </c>
      <c r="AH1091" s="54">
        <f>'DIY Grundmodell'!T1178</f>
        <v>19619.877840000001</v>
      </c>
      <c r="AI1091" s="89">
        <f>'DIY Grundmodell'!U1178</f>
        <v>612.41999999999996</v>
      </c>
      <c r="AJ1091" s="89">
        <f>'DIY Grundmodell'!V1178</f>
        <v>19619.877840000001</v>
      </c>
      <c r="AK1091" s="989"/>
      <c r="AL1091" s="33">
        <f>'DIY Grundmodell'!X1178</f>
        <v>6782.81167</v>
      </c>
    </row>
    <row r="1092" spans="32:38" ht="14.1" customHeight="1" x14ac:dyDescent="0.45">
      <c r="AF1092" s="988">
        <f>'DIY Grundmodell'!R1179</f>
        <v>46121</v>
      </c>
      <c r="AG1092" s="89">
        <f>'DIY Grundmodell'!S1179</f>
        <v>628.39</v>
      </c>
      <c r="AH1092" s="54">
        <f>'DIY Grundmodell'!T1179</f>
        <v>11947.52377</v>
      </c>
      <c r="AI1092" s="89">
        <f>'DIY Grundmodell'!U1179</f>
        <v>628.39</v>
      </c>
      <c r="AJ1092" s="89">
        <f>'DIY Grundmodell'!V1179</f>
        <v>11947.52377</v>
      </c>
      <c r="AK1092" s="989"/>
      <c r="AL1092" s="33">
        <f>'DIY Grundmodell'!X1179</f>
        <v>6824.6572699999997</v>
      </c>
    </row>
    <row r="1093" spans="32:38" ht="14.1" customHeight="1" x14ac:dyDescent="0.45">
      <c r="AF1093" s="988">
        <f>'DIY Grundmodell'!R1180</f>
        <v>46122</v>
      </c>
      <c r="AG1093" s="89">
        <f>'DIY Grundmodell'!S1180</f>
        <v>629.86</v>
      </c>
      <c r="AH1093" s="54">
        <f>'DIY Grundmodell'!T1180</f>
        <v>8373.8904399999992</v>
      </c>
      <c r="AI1093" s="89">
        <f>'DIY Grundmodell'!U1180</f>
        <v>629.86</v>
      </c>
      <c r="AJ1093" s="89">
        <f>'DIY Grundmodell'!V1180</f>
        <v>8373.8904399999992</v>
      </c>
      <c r="AK1093" s="989"/>
      <c r="AL1093" s="33">
        <f>'DIY Grundmodell'!X1180</f>
        <v>6816.89192</v>
      </c>
    </row>
    <row r="1094" spans="32:38" ht="14.1" customHeight="1" x14ac:dyDescent="0.45">
      <c r="AF1094" s="988">
        <f>'DIY Grundmodell'!R1181</f>
        <v>46123</v>
      </c>
      <c r="AG1094" s="89" t="e">
        <f>'DIY Grundmodell'!S1181</f>
        <v>#N/A</v>
      </c>
      <c r="AH1094" s="54" t="e">
        <f>'DIY Grundmodell'!T1181</f>
        <v>#N/A</v>
      </c>
      <c r="AI1094" s="89">
        <f>'DIY Grundmodell'!U1181</f>
        <v>629.86</v>
      </c>
      <c r="AJ1094" s="89">
        <f>'DIY Grundmodell'!V1181</f>
        <v>0</v>
      </c>
      <c r="AK1094" s="989"/>
      <c r="AL1094" s="33">
        <f>'DIY Grundmodell'!X1181</f>
        <v>6816.89192</v>
      </c>
    </row>
    <row r="1095" spans="32:38" ht="14.1" customHeight="1" x14ac:dyDescent="0.45">
      <c r="AF1095" s="988">
        <f>'DIY Grundmodell'!R1182</f>
        <v>46124</v>
      </c>
      <c r="AG1095" s="89" t="e">
        <f>'DIY Grundmodell'!S1182</f>
        <v>#N/A</v>
      </c>
      <c r="AH1095" s="54" t="e">
        <f>'DIY Grundmodell'!T1182</f>
        <v>#N/A</v>
      </c>
      <c r="AI1095" s="89">
        <f>'DIY Grundmodell'!U1182</f>
        <v>629.86</v>
      </c>
      <c r="AJ1095" s="89">
        <f>'DIY Grundmodell'!V1182</f>
        <v>0</v>
      </c>
      <c r="AK1095" s="989"/>
      <c r="AL1095" s="33">
        <f>'DIY Grundmodell'!X1182</f>
        <v>6816.89192</v>
      </c>
    </row>
    <row r="1096" spans="32:38" ht="14.1" customHeight="1" x14ac:dyDescent="0.45">
      <c r="AF1096" s="988">
        <f>'DIY Grundmodell'!R1183</f>
        <v>46125</v>
      </c>
      <c r="AG1096" s="89">
        <f>'DIY Grundmodell'!S1183</f>
        <v>634.53</v>
      </c>
      <c r="AH1096" s="54">
        <f>'DIY Grundmodell'!T1183</f>
        <v>6052.7378900000003</v>
      </c>
      <c r="AI1096" s="89">
        <f>'DIY Grundmodell'!U1183</f>
        <v>634.53</v>
      </c>
      <c r="AJ1096" s="89">
        <f>'DIY Grundmodell'!V1183</f>
        <v>6052.7378900000003</v>
      </c>
      <c r="AK1096" s="989"/>
      <c r="AL1096" s="33">
        <f>'DIY Grundmodell'!X1183</f>
        <v>6886.2352300000002</v>
      </c>
    </row>
    <row r="1097" spans="32:38" ht="14.1" customHeight="1" x14ac:dyDescent="0.45">
      <c r="AF1097" s="988">
        <f>'DIY Grundmodell'!R1184</f>
        <v>46126</v>
      </c>
      <c r="AG1097" s="89">
        <f>'DIY Grundmodell'!S1184</f>
        <v>662.49</v>
      </c>
      <c r="AH1097" s="54">
        <f>'DIY Grundmodell'!T1184</f>
        <v>11804.21767</v>
      </c>
      <c r="AI1097" s="89">
        <f>'DIY Grundmodell'!U1184</f>
        <v>662.49</v>
      </c>
      <c r="AJ1097" s="89">
        <f>'DIY Grundmodell'!V1184</f>
        <v>11804.21767</v>
      </c>
      <c r="AK1097" s="989"/>
      <c r="AL1097" s="33">
        <f>'DIY Grundmodell'!X1184</f>
        <v>6967.3786899999996</v>
      </c>
    </row>
    <row r="1098" spans="32:38" ht="14.1" customHeight="1" x14ac:dyDescent="0.45">
      <c r="AF1098" s="988">
        <f>'DIY Grundmodell'!R1185</f>
        <v>46127</v>
      </c>
      <c r="AG1098" s="89">
        <f>'DIY Grundmodell'!S1185</f>
        <v>671.58</v>
      </c>
      <c r="AH1098" s="54">
        <f>'DIY Grundmodell'!T1185</f>
        <v>10041.85166</v>
      </c>
      <c r="AI1098" s="89">
        <f>'DIY Grundmodell'!U1185</f>
        <v>671.58</v>
      </c>
      <c r="AJ1098" s="89">
        <f>'DIY Grundmodell'!V1185</f>
        <v>10041.85166</v>
      </c>
      <c r="AK1098" s="989"/>
      <c r="AL1098" s="33">
        <f>'DIY Grundmodell'!X1185</f>
        <v>7022.9523300000001</v>
      </c>
    </row>
    <row r="1099" spans="32:38" ht="14.1" customHeight="1" x14ac:dyDescent="0.45">
      <c r="AF1099" s="988">
        <f>'DIY Grundmodell'!R1186</f>
        <v>46128</v>
      </c>
      <c r="AG1099" s="89">
        <f>'DIY Grundmodell'!S1186</f>
        <v>676.87</v>
      </c>
      <c r="AH1099" s="54">
        <f>'DIY Grundmodell'!T1186</f>
        <v>6460.61247</v>
      </c>
      <c r="AI1099" s="89">
        <f>'DIY Grundmodell'!U1186</f>
        <v>676.87</v>
      </c>
      <c r="AJ1099" s="89">
        <f>'DIY Grundmodell'!V1186</f>
        <v>6460.61247</v>
      </c>
      <c r="AK1099" s="989"/>
      <c r="AL1099" s="33">
        <f>'DIY Grundmodell'!X1186</f>
        <v>7041.2766899999997</v>
      </c>
    </row>
    <row r="1100" spans="32:38" ht="14.1" customHeight="1" x14ac:dyDescent="0.45">
      <c r="AF1100" s="988">
        <f>'DIY Grundmodell'!R1187</f>
        <v>46129</v>
      </c>
      <c r="AG1100" s="89" t="e">
        <f>'DIY Grundmodell'!S1187</f>
        <v>#N/A</v>
      </c>
      <c r="AH1100" s="54" t="e">
        <f>'DIY Grundmodell'!T1187</f>
        <v>#N/A</v>
      </c>
      <c r="AI1100" s="89">
        <f>'DIY Grundmodell'!U1187</f>
        <v>676.87</v>
      </c>
      <c r="AJ1100" s="89">
        <f>'DIY Grundmodell'!V1187</f>
        <v>6460.61247</v>
      </c>
      <c r="AK1100" s="989"/>
      <c r="AL1100" s="33">
        <f>'DIY Grundmodell'!X1187</f>
        <v>7041.2766899999997</v>
      </c>
    </row>
    <row r="1188" ht="14.1" customHeight="1" collapsed="1" x14ac:dyDescent="0.45"/>
  </sheetData>
  <mergeCells count="24">
    <mergeCell ref="Z3:Z4"/>
    <mergeCell ref="Z19:Z20"/>
    <mergeCell ref="Y19:Y20"/>
    <mergeCell ref="Y3:Y4"/>
    <mergeCell ref="H39:O57"/>
    <mergeCell ref="F38:G38"/>
    <mergeCell ref="X19:X20"/>
    <mergeCell ref="S3:S4"/>
    <mergeCell ref="T3:T4"/>
    <mergeCell ref="U3:U4"/>
    <mergeCell ref="V3:V4"/>
    <mergeCell ref="W3:W4"/>
    <mergeCell ref="X3:X4"/>
    <mergeCell ref="S19:S20"/>
    <mergeCell ref="T19:T20"/>
    <mergeCell ref="U19:U20"/>
    <mergeCell ref="V19:V20"/>
    <mergeCell ref="W19:W20"/>
    <mergeCell ref="AA19:AA20"/>
    <mergeCell ref="AB19:AB20"/>
    <mergeCell ref="AC19:AC20"/>
    <mergeCell ref="AA3:AA4"/>
    <mergeCell ref="AB3:AB4"/>
    <mergeCell ref="AC3:AC4"/>
  </mergeCells>
  <conditionalFormatting sqref="C15:O15">
    <cfRule type="cellIs" dxfId="160" priority="78" operator="lessThan">
      <formula>0</formula>
    </cfRule>
  </conditionalFormatting>
  <conditionalFormatting sqref="C20:O20">
    <cfRule type="cellIs" dxfId="159" priority="73" operator="lessThan">
      <formula>0</formula>
    </cfRule>
  </conditionalFormatting>
  <conditionalFormatting sqref="C25:O25">
    <cfRule type="cellIs" dxfId="158" priority="70" operator="lessThan">
      <formula>0</formula>
    </cfRule>
  </conditionalFormatting>
  <conditionalFormatting sqref="C27:O27">
    <cfRule type="cellIs" dxfId="157" priority="72" operator="lessThan">
      <formula>0</formula>
    </cfRule>
  </conditionalFormatting>
  <conditionalFormatting sqref="O5">
    <cfRule type="cellIs" dxfId="156" priority="77" operator="greaterThan">
      <formula>1</formula>
    </cfRule>
  </conditionalFormatting>
  <conditionalFormatting sqref="O8">
    <cfRule type="cellIs" dxfId="155" priority="71" operator="greaterThan">
      <formula>1</formula>
    </cfRule>
  </conditionalFormatting>
  <conditionalFormatting sqref="O11">
    <cfRule type="cellIs" dxfId="154" priority="76" operator="greaterThan">
      <formula>1</formula>
    </cfRule>
  </conditionalFormatting>
  <conditionalFormatting sqref="T14:U14 W14:AC14">
    <cfRule type="top10" dxfId="153" priority="52" percent="1" bottom="1" rank="10"/>
    <cfRule type="top10" dxfId="152" priority="54" percent="1" rank="10"/>
  </conditionalFormatting>
  <conditionalFormatting sqref="T5:AC5">
    <cfRule type="top10" dxfId="151" priority="56" percent="1" bottom="1" rank="10"/>
    <cfRule type="top10" dxfId="150" priority="61" percent="1" rank="10"/>
  </conditionalFormatting>
  <conditionalFormatting sqref="T5:AC7">
    <cfRule type="cellIs" dxfId="149" priority="45" operator="equal">
      <formula>0</formula>
    </cfRule>
  </conditionalFormatting>
  <conditionalFormatting sqref="T6:AC6">
    <cfRule type="top10" dxfId="148" priority="57" percent="1" bottom="1" rank="10"/>
    <cfRule type="top10" dxfId="147" priority="60" percent="1" rank="10"/>
  </conditionalFormatting>
  <conditionalFormatting sqref="T7:AC7">
    <cfRule type="top10" dxfId="146" priority="58" percent="1" bottom="1" rank="10"/>
    <cfRule type="top10" dxfId="145" priority="59" percent="1" rank="10"/>
  </conditionalFormatting>
  <conditionalFormatting sqref="T9:AC11">
    <cfRule type="cellIs" dxfId="144" priority="42" operator="equal">
      <formula>0</formula>
    </cfRule>
  </conditionalFormatting>
  <conditionalFormatting sqref="T13:AC13 T14:U14 W14:AC14">
    <cfRule type="cellIs" dxfId="143" priority="43" operator="equal">
      <formula>0</formula>
    </cfRule>
  </conditionalFormatting>
  <conditionalFormatting sqref="T13:AC13">
    <cfRule type="top10" dxfId="142" priority="53" percent="1" bottom="1" rank="10"/>
    <cfRule type="top10" dxfId="141" priority="55" percent="1" rank="10"/>
  </conditionalFormatting>
  <conditionalFormatting sqref="T16:AC16">
    <cfRule type="top10" dxfId="140" priority="49" percent="1" bottom="1" rank="10"/>
    <cfRule type="top10" dxfId="139" priority="51" percent="1" rank="10"/>
  </conditionalFormatting>
  <conditionalFormatting sqref="T16:AC17">
    <cfRule type="cellIs" dxfId="138" priority="44" operator="equal">
      <formula>0</formula>
    </cfRule>
  </conditionalFormatting>
  <conditionalFormatting sqref="T17:AC17">
    <cfRule type="top10" dxfId="137" priority="48" percent="1" bottom="1" rank="10"/>
    <cfRule type="top10" dxfId="136" priority="50" percent="1" rank="10"/>
  </conditionalFormatting>
  <conditionalFormatting sqref="T21:AC23">
    <cfRule type="cellIs" dxfId="135" priority="40" operator="equal">
      <formula>0</formula>
    </cfRule>
  </conditionalFormatting>
  <conditionalFormatting sqref="T21:AC26">
    <cfRule type="top10" dxfId="134" priority="46" percent="1" bottom="1" rank="10"/>
    <cfRule type="top10" dxfId="133" priority="47" percent="1" rank="10"/>
  </conditionalFormatting>
  <conditionalFormatting sqref="T25:AC26">
    <cfRule type="cellIs" dxfId="132" priority="41" operator="equal">
      <formula>0</formula>
    </cfRule>
  </conditionalFormatting>
  <conditionalFormatting sqref="V14">
    <cfRule type="cellIs" dxfId="131" priority="1" operator="equal">
      <formula>0</formula>
    </cfRule>
    <cfRule type="top10" dxfId="130" priority="2" percent="1" bottom="1" rank="10"/>
    <cfRule type="top10" dxfId="129" priority="3" percent="1" rank="10"/>
  </conditionalFormatting>
  <printOptions horizontalCentered="1"/>
  <pageMargins left="0.19685039370078741" right="0.11811023622047245" top="0.19685039370078741" bottom="0.11811023622047245" header="0.31496062992125984" footer="0.31496062992125984"/>
  <pageSetup paperSize="9"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616E-B459-49B2-ADDB-5078D3C5870B}">
  <sheetPr>
    <tabColor theme="4" tint="0.59999389629810485"/>
  </sheetPr>
  <dimension ref="A1:AE1188"/>
  <sheetViews>
    <sheetView showGridLines="0" showZeros="0" tabSelected="1" zoomScale="145" zoomScaleNormal="145" workbookViewId="0">
      <selection activeCell="C20" sqref="C20"/>
    </sheetView>
  </sheetViews>
  <sheetFormatPr baseColWidth="10" defaultColWidth="11.46484375" defaultRowHeight="11.1" customHeight="1" x14ac:dyDescent="0.45"/>
  <cols>
    <col min="1" max="1" width="9.53125" style="414" customWidth="1"/>
    <col min="2" max="14" width="6.86328125" style="414" customWidth="1"/>
    <col min="15" max="15" width="8.1328125" style="414" customWidth="1"/>
    <col min="16" max="16" width="3.86328125" style="414" customWidth="1"/>
    <col min="17" max="17" width="9.53125" style="414" customWidth="1"/>
    <col min="18" max="30" width="6.86328125" style="414" customWidth="1"/>
    <col min="31" max="31" width="8.1328125" style="414" customWidth="1"/>
    <col min="32" max="16384" width="11.46484375" style="414"/>
  </cols>
  <sheetData>
    <row r="1" spans="1:31" ht="12" customHeight="1" thickBot="1" x14ac:dyDescent="0.5">
      <c r="A1" s="412" t="s">
        <v>575</v>
      </c>
      <c r="B1" s="185"/>
      <c r="C1" s="1199" t="s">
        <v>199</v>
      </c>
      <c r="D1" s="1199"/>
      <c r="E1" s="1199"/>
      <c r="F1" s="1199"/>
      <c r="G1" s="1199"/>
      <c r="H1" s="1199"/>
      <c r="I1" s="1199"/>
      <c r="J1" s="1199"/>
      <c r="K1" s="1199"/>
      <c r="L1" s="1199"/>
      <c r="M1" s="1199"/>
      <c r="N1" s="413"/>
      <c r="Q1" s="760" t="s">
        <v>575</v>
      </c>
      <c r="R1" s="415"/>
      <c r="S1" s="416"/>
      <c r="T1" s="416"/>
      <c r="U1" s="416"/>
      <c r="V1" s="416"/>
      <c r="W1" s="417"/>
      <c r="X1" s="417"/>
      <c r="Y1" s="417"/>
      <c r="Z1" s="417"/>
      <c r="AA1" s="417"/>
      <c r="AB1" s="418"/>
      <c r="AC1" s="419"/>
    </row>
    <row r="2" spans="1:31" ht="15" customHeight="1" thickBot="1" x14ac:dyDescent="0.5">
      <c r="A2" s="420" t="s">
        <v>618</v>
      </c>
      <c r="B2" s="421"/>
      <c r="C2" s="422"/>
      <c r="D2" s="422"/>
      <c r="E2" s="422"/>
      <c r="F2" s="422"/>
      <c r="G2" s="422"/>
      <c r="H2" s="421"/>
      <c r="I2" s="421"/>
      <c r="J2" s="422"/>
      <c r="K2" s="422"/>
      <c r="L2" s="423"/>
      <c r="M2" s="424" t="s">
        <v>115</v>
      </c>
      <c r="N2" s="699">
        <v>46129</v>
      </c>
      <c r="Q2" s="426" t="s">
        <v>618</v>
      </c>
      <c r="R2" s="421"/>
      <c r="S2" s="812"/>
      <c r="T2" s="1209" t="s">
        <v>619</v>
      </c>
      <c r="U2" s="1209"/>
      <c r="V2" s="1209"/>
      <c r="W2" s="1209"/>
      <c r="X2" s="1209"/>
      <c r="Y2" s="1209"/>
      <c r="Z2" s="1209"/>
      <c r="AA2" s="1209"/>
      <c r="AB2" s="423" t="s">
        <v>21</v>
      </c>
      <c r="AC2" s="427"/>
      <c r="AD2" s="425">
        <v>46129</v>
      </c>
    </row>
    <row r="3" spans="1:31" ht="12.95" customHeight="1" thickBot="1" x14ac:dyDescent="0.5">
      <c r="A3" s="1200" t="s">
        <v>98</v>
      </c>
      <c r="B3" s="1201"/>
      <c r="C3" s="1202"/>
      <c r="D3" s="431"/>
      <c r="E3" s="432"/>
      <c r="F3" s="428" t="s">
        <v>99</v>
      </c>
      <c r="G3" s="433"/>
      <c r="H3" s="434" t="str">
        <f>IF(H4=I4,0,"verändert")</f>
        <v>verändert</v>
      </c>
      <c r="I3" s="435"/>
      <c r="J3" s="429" t="s">
        <v>112</v>
      </c>
      <c r="K3" s="1210">
        <f>Datenquelle!$B$20</f>
        <v>46129</v>
      </c>
      <c r="L3" s="1210"/>
      <c r="M3" s="435"/>
      <c r="N3" s="435"/>
      <c r="Q3" s="436" t="s">
        <v>363</v>
      </c>
      <c r="R3" s="143"/>
      <c r="S3" s="437"/>
      <c r="T3" s="438"/>
      <c r="U3" s="439"/>
      <c r="V3" s="439"/>
      <c r="W3" s="439"/>
      <c r="X3" s="439"/>
      <c r="Y3" s="439"/>
      <c r="Z3" s="439"/>
      <c r="AA3" s="437"/>
      <c r="AB3" s="440" t="s">
        <v>359</v>
      </c>
      <c r="AC3" s="441"/>
      <c r="AD3" s="442">
        <v>676.87</v>
      </c>
      <c r="AE3" s="443"/>
    </row>
    <row r="4" spans="1:31" ht="12.95" customHeight="1" thickTop="1" thickBot="1" x14ac:dyDescent="0.5">
      <c r="A4" s="436" t="s">
        <v>100</v>
      </c>
      <c r="E4" s="439" t="s">
        <v>366</v>
      </c>
      <c r="F4" s="436" t="s">
        <v>119</v>
      </c>
      <c r="H4" s="444">
        <f>D49/I11</f>
        <v>609.63164007663329</v>
      </c>
      <c r="I4" s="442">
        <v>609.63164007663352</v>
      </c>
      <c r="J4" s="436" t="s">
        <v>122</v>
      </c>
      <c r="L4" s="439"/>
      <c r="M4" s="445"/>
      <c r="N4" s="446">
        <f>Datenquelle!$AZ$15</f>
        <v>16.267199999999999</v>
      </c>
      <c r="Q4" s="436" t="s">
        <v>60</v>
      </c>
      <c r="S4" s="447">
        <v>46022</v>
      </c>
      <c r="T4" s="438"/>
      <c r="U4" s="439"/>
      <c r="V4" s="439"/>
      <c r="W4" s="439"/>
      <c r="X4" s="439"/>
      <c r="Y4" s="439"/>
      <c r="Z4" s="439"/>
      <c r="AA4" s="437"/>
      <c r="AB4" s="440" t="s">
        <v>53</v>
      </c>
      <c r="AC4" s="441"/>
      <c r="AD4" s="442">
        <f>T54/S6</f>
        <v>609.63164007663329</v>
      </c>
      <c r="AE4" s="448"/>
    </row>
    <row r="5" spans="1:31" ht="12.95" customHeight="1" thickTop="1" thickBot="1" x14ac:dyDescent="0.5">
      <c r="A5" s="436" t="s">
        <v>101</v>
      </c>
      <c r="E5" s="439" t="s">
        <v>363</v>
      </c>
      <c r="F5" s="436" t="s">
        <v>359</v>
      </c>
      <c r="H5" s="449"/>
      <c r="I5" s="442">
        <v>676.87</v>
      </c>
      <c r="J5" s="436" t="s">
        <v>123</v>
      </c>
      <c r="L5" s="439"/>
      <c r="M5" s="445"/>
      <c r="N5" s="446">
        <f>Datenquelle!$BC$15</f>
        <v>20.67428</v>
      </c>
      <c r="O5" s="439"/>
      <c r="Q5" s="436" t="s">
        <v>6</v>
      </c>
      <c r="S5" s="447">
        <v>46022</v>
      </c>
      <c r="T5" s="438"/>
      <c r="U5" s="439"/>
      <c r="V5" s="439"/>
      <c r="W5" s="439"/>
      <c r="X5" s="439"/>
      <c r="Y5" s="439"/>
      <c r="Z5" s="439"/>
      <c r="AA5" s="437"/>
      <c r="AB5" s="450" t="s">
        <v>52</v>
      </c>
      <c r="AC5" s="451"/>
      <c r="AD5" s="452">
        <f>AD3/AD4</f>
        <v>1.1102934222950018</v>
      </c>
      <c r="AE5" s="453"/>
    </row>
    <row r="6" spans="1:31" ht="12.95" customHeight="1" x14ac:dyDescent="0.45">
      <c r="A6" s="436" t="s">
        <v>102</v>
      </c>
      <c r="E6" s="439" t="s">
        <v>620</v>
      </c>
      <c r="F6" s="436" t="s">
        <v>109</v>
      </c>
      <c r="H6" s="454">
        <f>IF(H3=0,0,I5/H4)</f>
        <v>1.1102934222950018</v>
      </c>
      <c r="I6" s="455">
        <f>I5/I4</f>
        <v>1.1102934222950014</v>
      </c>
      <c r="J6" s="436" t="s">
        <v>124</v>
      </c>
      <c r="L6" s="439"/>
      <c r="M6" s="439"/>
      <c r="N6" s="446">
        <f>Datenquelle!$BF$15</f>
        <v>28.815239999999999</v>
      </c>
      <c r="Q6" s="436" t="s">
        <v>59</v>
      </c>
      <c r="S6" s="456">
        <v>2529.55546</v>
      </c>
      <c r="T6" s="438"/>
      <c r="U6" s="439"/>
      <c r="V6" s="439"/>
      <c r="W6" s="439"/>
      <c r="X6" s="439"/>
      <c r="Y6" s="439"/>
      <c r="Z6" s="439"/>
      <c r="AA6" s="437"/>
      <c r="AB6" s="457" t="s">
        <v>76</v>
      </c>
      <c r="AC6" s="458"/>
      <c r="AD6" s="459">
        <v>479.8</v>
      </c>
      <c r="AE6" s="439"/>
    </row>
    <row r="7" spans="1:31" ht="12.95" customHeight="1" thickBot="1" x14ac:dyDescent="0.5">
      <c r="A7" s="436" t="s">
        <v>103</v>
      </c>
      <c r="E7" s="439" t="s">
        <v>650</v>
      </c>
      <c r="F7" s="436" t="s">
        <v>76</v>
      </c>
      <c r="H7" s="460"/>
      <c r="I7" s="442">
        <v>479.8</v>
      </c>
      <c r="J7" s="436" t="s">
        <v>113</v>
      </c>
      <c r="L7" s="439"/>
      <c r="M7" s="439"/>
      <c r="N7" s="446">
        <f>Datenquelle!$BI$15</f>
        <v>32.43985</v>
      </c>
      <c r="Q7" s="436" t="s">
        <v>22</v>
      </c>
      <c r="S7" s="454">
        <v>0.86334169999999999</v>
      </c>
      <c r="T7" s="438"/>
      <c r="U7" s="439"/>
      <c r="V7" s="439"/>
      <c r="W7" s="439"/>
      <c r="X7" s="439"/>
      <c r="Y7" s="439"/>
      <c r="Z7" s="439"/>
      <c r="AA7" s="437"/>
      <c r="AB7" s="450" t="s">
        <v>77</v>
      </c>
      <c r="AC7" s="451"/>
      <c r="AD7" s="461">
        <v>796.25</v>
      </c>
      <c r="AE7" s="439"/>
    </row>
    <row r="8" spans="1:31" ht="12.95" customHeight="1" x14ac:dyDescent="0.45">
      <c r="A8" s="440" t="s">
        <v>104</v>
      </c>
      <c r="B8" s="418"/>
      <c r="E8" s="447">
        <v>46022</v>
      </c>
      <c r="F8" s="436" t="s">
        <v>77</v>
      </c>
      <c r="H8" s="460"/>
      <c r="I8" s="442">
        <v>796.25</v>
      </c>
      <c r="J8" s="436" t="s">
        <v>114</v>
      </c>
      <c r="L8" s="439"/>
      <c r="M8" s="462"/>
      <c r="N8" s="446">
        <f>Datenquelle!$BL$15</f>
        <v>7.88279</v>
      </c>
      <c r="Q8" s="440" t="s">
        <v>74</v>
      </c>
      <c r="R8" s="418"/>
      <c r="S8" s="442" t="s">
        <v>364</v>
      </c>
      <c r="T8" s="438"/>
      <c r="U8" s="439"/>
      <c r="V8" s="439"/>
      <c r="W8" s="439"/>
      <c r="X8" s="439"/>
      <c r="Y8" s="439"/>
      <c r="Z8" s="439"/>
      <c r="AA8" s="437"/>
      <c r="AB8" s="463" t="s">
        <v>61</v>
      </c>
      <c r="AC8" s="464"/>
      <c r="AD8" s="465">
        <f>R39/R41</f>
        <v>0.76698643092546925</v>
      </c>
      <c r="AE8" s="439"/>
    </row>
    <row r="9" spans="1:31" ht="12.95" customHeight="1" x14ac:dyDescent="0.45">
      <c r="A9" s="436" t="s">
        <v>105</v>
      </c>
      <c r="E9" s="447">
        <v>46022</v>
      </c>
      <c r="F9" s="436" t="s">
        <v>110</v>
      </c>
      <c r="H9" s="460"/>
      <c r="I9" s="411">
        <v>1712180.20692</v>
      </c>
      <c r="J9" s="436" t="s">
        <v>121</v>
      </c>
      <c r="L9" s="439"/>
      <c r="M9" s="439"/>
      <c r="N9" s="446">
        <f>Datenquelle!$AW$15</f>
        <v>3.4242138735131315E-2</v>
      </c>
      <c r="Q9" s="436" t="s">
        <v>75</v>
      </c>
      <c r="S9" s="466">
        <v>3.4242138735131315E-2</v>
      </c>
      <c r="T9" s="438"/>
      <c r="U9" s="439"/>
      <c r="V9" s="439"/>
      <c r="W9" s="439"/>
      <c r="X9" s="439"/>
      <c r="Y9" s="439"/>
      <c r="Z9" s="439"/>
      <c r="AA9" s="437"/>
      <c r="AB9" s="440" t="s">
        <v>652</v>
      </c>
      <c r="AC9" s="467"/>
      <c r="AD9" s="442">
        <v>2.1043478260869564</v>
      </c>
      <c r="AE9" s="439"/>
    </row>
    <row r="10" spans="1:31" ht="12.95" customHeight="1" x14ac:dyDescent="0.45">
      <c r="A10" s="436" t="s">
        <v>106</v>
      </c>
      <c r="E10" s="411" t="s">
        <v>364</v>
      </c>
      <c r="F10" s="436" t="s">
        <v>120</v>
      </c>
      <c r="H10" s="439"/>
      <c r="I10" s="411">
        <f>-SUM(D39:D41)</f>
        <v>15270.515253533027</v>
      </c>
      <c r="J10" s="436" t="s">
        <v>116</v>
      </c>
      <c r="L10" s="439"/>
      <c r="M10" s="462"/>
      <c r="N10" s="442">
        <f>Datenquelle!$AP$15</f>
        <v>2.1043478260869599</v>
      </c>
      <c r="Q10" s="436" t="s">
        <v>5</v>
      </c>
      <c r="S10" s="411">
        <v>1712180.20692</v>
      </c>
      <c r="T10" s="438"/>
      <c r="U10" s="439"/>
      <c r="V10" s="439"/>
      <c r="W10" s="439"/>
      <c r="X10" s="439"/>
      <c r="Y10" s="439"/>
      <c r="Z10" s="439"/>
      <c r="AA10" s="437"/>
      <c r="AB10" s="440" t="s">
        <v>54</v>
      </c>
      <c r="AC10" s="418"/>
      <c r="AD10" s="442">
        <v>2.2446199999999998</v>
      </c>
      <c r="AE10" s="439"/>
    </row>
    <row r="11" spans="1:31" ht="12.95" customHeight="1" thickBot="1" x14ac:dyDescent="0.5">
      <c r="A11" s="436" t="s">
        <v>107</v>
      </c>
      <c r="E11" s="462">
        <v>8.7862799999999996</v>
      </c>
      <c r="F11" s="436" t="s">
        <v>111</v>
      </c>
      <c r="I11" s="456">
        <v>2529.55546</v>
      </c>
      <c r="J11" s="436" t="s">
        <v>117</v>
      </c>
      <c r="N11" s="442">
        <f>Datenquelle!$AQ$15</f>
        <v>2.2446199999999998</v>
      </c>
      <c r="Q11" s="468" t="s">
        <v>365</v>
      </c>
      <c r="R11" s="469"/>
      <c r="S11" s="470"/>
      <c r="T11" s="438"/>
      <c r="U11" s="439"/>
      <c r="V11" s="439"/>
      <c r="W11" s="439"/>
      <c r="X11" s="439"/>
      <c r="Y11" s="439"/>
      <c r="Z11" s="439"/>
      <c r="AA11" s="437"/>
      <c r="AB11" s="450" t="s">
        <v>55</v>
      </c>
      <c r="AC11" s="471"/>
      <c r="AD11" s="472">
        <f>AD10/AD3</f>
        <v>3.3161759274306733E-3</v>
      </c>
      <c r="AE11" s="439"/>
    </row>
    <row r="12" spans="1:31" ht="12" customHeight="1" thickBot="1" x14ac:dyDescent="0.5">
      <c r="A12" s="436" t="s">
        <v>108</v>
      </c>
      <c r="E12" s="439" t="str">
        <f>Q11</f>
        <v>in Mio. USD</v>
      </c>
      <c r="F12" s="436" t="s">
        <v>22</v>
      </c>
      <c r="I12" s="454">
        <v>0.86334169999999999</v>
      </c>
      <c r="J12" s="436" t="s">
        <v>118</v>
      </c>
      <c r="N12" s="473">
        <f>N11/I5</f>
        <v>3.3161759274306733E-3</v>
      </c>
      <c r="Q12" s="474" t="s">
        <v>25</v>
      </c>
      <c r="R12" s="475">
        <v>2016</v>
      </c>
      <c r="S12" s="475">
        <v>2017</v>
      </c>
      <c r="T12" s="475">
        <v>2018</v>
      </c>
      <c r="U12" s="475">
        <v>2019</v>
      </c>
      <c r="V12" s="475">
        <v>2020</v>
      </c>
      <c r="W12" s="475">
        <v>2021</v>
      </c>
      <c r="X12" s="475">
        <v>2022</v>
      </c>
      <c r="Y12" s="475">
        <v>2023</v>
      </c>
      <c r="Z12" s="475">
        <v>2024</v>
      </c>
      <c r="AA12" s="476">
        <v>2025</v>
      </c>
      <c r="AB12" s="477" t="s">
        <v>360</v>
      </c>
      <c r="AC12" s="475" t="s">
        <v>361</v>
      </c>
      <c r="AD12" s="476" t="s">
        <v>362</v>
      </c>
      <c r="AE12" s="439"/>
    </row>
    <row r="13" spans="1:31" ht="12" customHeight="1" x14ac:dyDescent="0.45">
      <c r="A13" s="474" t="str">
        <f>Q12</f>
        <v>Historie</v>
      </c>
      <c r="B13" s="475">
        <v>2016</v>
      </c>
      <c r="C13" s="475">
        <v>2017</v>
      </c>
      <c r="D13" s="475">
        <v>2018</v>
      </c>
      <c r="E13" s="475">
        <v>2019</v>
      </c>
      <c r="F13" s="475">
        <v>2020</v>
      </c>
      <c r="G13" s="475">
        <v>2021</v>
      </c>
      <c r="H13" s="475">
        <v>2022</v>
      </c>
      <c r="I13" s="475">
        <v>2023</v>
      </c>
      <c r="J13" s="475">
        <v>2024</v>
      </c>
      <c r="K13" s="476">
        <v>2025</v>
      </c>
      <c r="L13" s="477" t="s">
        <v>360</v>
      </c>
      <c r="M13" s="475" t="s">
        <v>361</v>
      </c>
      <c r="N13" s="476" t="s">
        <v>362</v>
      </c>
      <c r="O13" s="439"/>
      <c r="Q13" s="440" t="s">
        <v>1</v>
      </c>
      <c r="R13" s="478">
        <v>27638</v>
      </c>
      <c r="S13" s="478">
        <v>40653</v>
      </c>
      <c r="T13" s="478">
        <v>55838</v>
      </c>
      <c r="U13" s="478">
        <v>70697</v>
      </c>
      <c r="V13" s="478">
        <v>85965</v>
      </c>
      <c r="W13" s="478">
        <v>117929</v>
      </c>
      <c r="X13" s="478">
        <v>116609</v>
      </c>
      <c r="Y13" s="478">
        <v>134902</v>
      </c>
      <c r="Z13" s="478">
        <v>164501</v>
      </c>
      <c r="AA13" s="411">
        <v>200966</v>
      </c>
      <c r="AB13" s="479">
        <v>250863.95</v>
      </c>
      <c r="AC13" s="478">
        <v>298236</v>
      </c>
      <c r="AD13" s="411">
        <v>347061</v>
      </c>
      <c r="AE13" s="439"/>
    </row>
    <row r="14" spans="1:31" s="481" customFormat="1" ht="12" customHeight="1" x14ac:dyDescent="0.45">
      <c r="A14" s="440" t="str">
        <f t="shared" ref="A14:A17" si="0">Q13</f>
        <v>Umsatz</v>
      </c>
      <c r="B14" s="478">
        <v>27638</v>
      </c>
      <c r="C14" s="478">
        <v>40653</v>
      </c>
      <c r="D14" s="478">
        <v>55838</v>
      </c>
      <c r="E14" s="478">
        <v>70697</v>
      </c>
      <c r="F14" s="478">
        <v>85965</v>
      </c>
      <c r="G14" s="478">
        <v>117929</v>
      </c>
      <c r="H14" s="478">
        <v>116609</v>
      </c>
      <c r="I14" s="478">
        <v>134902</v>
      </c>
      <c r="J14" s="478">
        <v>164501</v>
      </c>
      <c r="K14" s="411">
        <v>200966</v>
      </c>
      <c r="L14" s="479">
        <v>250863.95</v>
      </c>
      <c r="M14" s="478">
        <v>298236</v>
      </c>
      <c r="N14" s="411">
        <v>347061</v>
      </c>
      <c r="O14" s="480"/>
      <c r="Q14" s="482" t="s">
        <v>29</v>
      </c>
      <c r="R14" s="483">
        <v>0.54161088799643009</v>
      </c>
      <c r="S14" s="483">
        <v>0.47090961719371882</v>
      </c>
      <c r="T14" s="483">
        <v>0.37352716896661997</v>
      </c>
      <c r="U14" s="483">
        <v>0.26610910132884413</v>
      </c>
      <c r="V14" s="483">
        <v>0.21596390228722573</v>
      </c>
      <c r="W14" s="483">
        <v>0.37182574303495608</v>
      </c>
      <c r="X14" s="483">
        <f t="shared" ref="X14:AD14" si="1">IFERROR(IF(X13=0,0,X13/W13-1),0)</f>
        <v>-1.1193175554782941E-2</v>
      </c>
      <c r="Y14" s="483">
        <f t="shared" si="1"/>
        <v>0.15687468377226454</v>
      </c>
      <c r="Z14" s="483">
        <f t="shared" si="1"/>
        <v>0.21941112807816054</v>
      </c>
      <c r="AA14" s="484">
        <f t="shared" si="1"/>
        <v>0.22167038498246217</v>
      </c>
      <c r="AB14" s="728">
        <f t="shared" si="1"/>
        <v>0.24829050685190546</v>
      </c>
      <c r="AC14" s="483">
        <f t="shared" si="1"/>
        <v>0.18883562185798319</v>
      </c>
      <c r="AD14" s="484">
        <f t="shared" si="1"/>
        <v>0.16371263026596394</v>
      </c>
      <c r="AE14" s="439"/>
    </row>
    <row r="15" spans="1:31" ht="12" customHeight="1" x14ac:dyDescent="0.45">
      <c r="A15" s="482" t="str">
        <f t="shared" si="0"/>
        <v>Entw.</v>
      </c>
      <c r="B15" s="483">
        <v>0.5416108879964302</v>
      </c>
      <c r="C15" s="483">
        <v>0.47090961719371877</v>
      </c>
      <c r="D15" s="483">
        <v>0.37352716896661992</v>
      </c>
      <c r="E15" s="483">
        <v>0.26610910132884413</v>
      </c>
      <c r="F15" s="483">
        <v>0.21596390228722576</v>
      </c>
      <c r="G15" s="483">
        <v>0.37182574303495608</v>
      </c>
      <c r="H15" s="483">
        <v>-1.1193175554782962E-2</v>
      </c>
      <c r="I15" s="483">
        <v>0.15687468377226457</v>
      </c>
      <c r="J15" s="483">
        <v>0.21941112807816043</v>
      </c>
      <c r="K15" s="484">
        <v>0.22167038498246211</v>
      </c>
      <c r="L15" s="702">
        <v>0.24829050685190546</v>
      </c>
      <c r="M15" s="483">
        <v>0.18883562185798319</v>
      </c>
      <c r="N15" s="484">
        <v>0.16371263026596394</v>
      </c>
      <c r="O15" s="439"/>
      <c r="Q15" s="486" t="s">
        <v>2</v>
      </c>
      <c r="R15" s="487">
        <v>12427</v>
      </c>
      <c r="S15" s="487">
        <v>20203</v>
      </c>
      <c r="T15" s="487">
        <v>24913</v>
      </c>
      <c r="U15" s="487">
        <v>28986</v>
      </c>
      <c r="V15" s="487">
        <v>32671</v>
      </c>
      <c r="W15" s="487">
        <v>46753</v>
      </c>
      <c r="X15" s="487">
        <v>33555</v>
      </c>
      <c r="Y15" s="487">
        <v>46751</v>
      </c>
      <c r="Z15" s="487">
        <v>69380</v>
      </c>
      <c r="AA15" s="488">
        <v>83276</v>
      </c>
      <c r="AB15" s="489">
        <v>86128</v>
      </c>
      <c r="AC15" s="487">
        <v>101254.1</v>
      </c>
      <c r="AD15" s="488">
        <v>118644</v>
      </c>
      <c r="AE15" s="439"/>
    </row>
    <row r="16" spans="1:31" s="481" customFormat="1" ht="12" customHeight="1" thickBot="1" x14ac:dyDescent="0.5">
      <c r="A16" s="486" t="str">
        <f t="shared" si="0"/>
        <v>EBIT</v>
      </c>
      <c r="B16" s="487">
        <v>12427</v>
      </c>
      <c r="C16" s="487">
        <v>20203</v>
      </c>
      <c r="D16" s="487">
        <v>24913</v>
      </c>
      <c r="E16" s="487">
        <v>28986</v>
      </c>
      <c r="F16" s="487">
        <v>32671</v>
      </c>
      <c r="G16" s="487">
        <v>46753</v>
      </c>
      <c r="H16" s="487">
        <v>33555</v>
      </c>
      <c r="I16" s="487">
        <v>46751</v>
      </c>
      <c r="J16" s="487">
        <v>69380</v>
      </c>
      <c r="K16" s="488">
        <v>83276</v>
      </c>
      <c r="L16" s="489">
        <v>86128</v>
      </c>
      <c r="M16" s="487">
        <v>101254.1</v>
      </c>
      <c r="N16" s="488">
        <v>118644</v>
      </c>
      <c r="O16" s="439"/>
      <c r="Q16" s="490" t="s">
        <v>30</v>
      </c>
      <c r="R16" s="491">
        <f t="shared" ref="R16:AD16" si="2">IFERROR(R15/R13,"")</f>
        <v>0.44963456111151312</v>
      </c>
      <c r="S16" s="491">
        <f t="shared" si="2"/>
        <v>0.49696209381841439</v>
      </c>
      <c r="T16" s="491">
        <f t="shared" si="2"/>
        <v>0.44616569361366809</v>
      </c>
      <c r="U16" s="491">
        <f t="shared" si="2"/>
        <v>0.41000325332050863</v>
      </c>
      <c r="V16" s="491">
        <f t="shared" si="2"/>
        <v>0.3800500203571221</v>
      </c>
      <c r="W16" s="491">
        <f t="shared" si="2"/>
        <v>0.39645040660058173</v>
      </c>
      <c r="X16" s="491">
        <f t="shared" si="2"/>
        <v>0.28775651965114185</v>
      </c>
      <c r="Y16" s="491">
        <f t="shared" si="2"/>
        <v>0.34655527716416362</v>
      </c>
      <c r="Z16" s="491">
        <f t="shared" si="2"/>
        <v>0.42176035404040096</v>
      </c>
      <c r="AA16" s="492">
        <f t="shared" si="2"/>
        <v>0.41437855159579234</v>
      </c>
      <c r="AB16" s="703">
        <f t="shared" si="2"/>
        <v>0.34332553561402501</v>
      </c>
      <c r="AC16" s="704">
        <f t="shared" si="2"/>
        <v>0.33950998538070526</v>
      </c>
      <c r="AD16" s="705">
        <f t="shared" si="2"/>
        <v>0.34185344939362244</v>
      </c>
      <c r="AE16" s="439"/>
    </row>
    <row r="17" spans="1:31" ht="12" customHeight="1" thickBot="1" x14ac:dyDescent="0.5">
      <c r="A17" s="490" t="str">
        <f t="shared" si="0"/>
        <v>/Umsatz</v>
      </c>
      <c r="B17" s="491">
        <f t="shared" ref="B17:H17" si="3">IFERROR(B16/B14,"")</f>
        <v>0.44963456111151312</v>
      </c>
      <c r="C17" s="491">
        <f t="shared" si="3"/>
        <v>0.49696209381841439</v>
      </c>
      <c r="D17" s="491">
        <f t="shared" si="3"/>
        <v>0.44616569361366809</v>
      </c>
      <c r="E17" s="491">
        <f t="shared" si="3"/>
        <v>0.41000325332050863</v>
      </c>
      <c r="F17" s="491">
        <f t="shared" si="3"/>
        <v>0.3800500203571221</v>
      </c>
      <c r="G17" s="491">
        <f t="shared" si="3"/>
        <v>0.39645040660058173</v>
      </c>
      <c r="H17" s="491">
        <f t="shared" si="3"/>
        <v>0.28775651965114185</v>
      </c>
      <c r="I17" s="491">
        <f>IFERROR(I16/I14,"")</f>
        <v>0.34655527716416362</v>
      </c>
      <c r="J17" s="491">
        <f t="shared" ref="J17:N17" si="4">IFERROR(J16/J14,"")</f>
        <v>0.42176035404040096</v>
      </c>
      <c r="K17" s="492">
        <f t="shared" si="4"/>
        <v>0.41437855159579234</v>
      </c>
      <c r="L17" s="703">
        <f t="shared" si="4"/>
        <v>0.34332553561402501</v>
      </c>
      <c r="M17" s="704">
        <f t="shared" si="4"/>
        <v>0.33950998538070526</v>
      </c>
      <c r="N17" s="705">
        <f t="shared" si="4"/>
        <v>0.34185344939362244</v>
      </c>
      <c r="O17" s="439"/>
      <c r="Q17" s="440" t="s">
        <v>31</v>
      </c>
      <c r="R17" s="813">
        <v>3219</v>
      </c>
      <c r="S17" s="813">
        <v>3728</v>
      </c>
      <c r="T17" s="813">
        <v>4161</v>
      </c>
      <c r="U17" s="813">
        <v>4863</v>
      </c>
      <c r="V17" s="813">
        <v>6502</v>
      </c>
      <c r="W17" s="813">
        <v>9401.18</v>
      </c>
      <c r="X17" s="813">
        <v>12281.379679999998</v>
      </c>
      <c r="Y17" s="813">
        <v>14175.6178</v>
      </c>
      <c r="Z17" s="813">
        <v>17513.668900000004</v>
      </c>
      <c r="AA17" s="814">
        <v>22572.919760000004</v>
      </c>
      <c r="AB17" s="493" t="s">
        <v>11</v>
      </c>
      <c r="AC17" s="494" t="s">
        <v>25</v>
      </c>
      <c r="AD17" s="495" t="s">
        <v>49</v>
      </c>
      <c r="AE17" s="439"/>
    </row>
    <row r="18" spans="1:31" ht="12" customHeight="1" x14ac:dyDescent="0.45">
      <c r="A18" s="428" t="str">
        <f>Q23</f>
        <v>Prognose</v>
      </c>
      <c r="B18" s="496" t="str">
        <f t="shared" ref="B18:N26" si="5">R23</f>
        <v>LTM</v>
      </c>
      <c r="C18" s="432" t="str">
        <f t="shared" si="5"/>
        <v>LTM+1</v>
      </c>
      <c r="D18" s="432" t="str">
        <f t="shared" si="5"/>
        <v>LTM+2</v>
      </c>
      <c r="E18" s="432" t="str">
        <f t="shared" si="5"/>
        <v>LTM+3</v>
      </c>
      <c r="F18" s="432" t="str">
        <f t="shared" si="5"/>
        <v>LTM+4</v>
      </c>
      <c r="G18" s="432" t="str">
        <f t="shared" si="5"/>
        <v>LTM+5</v>
      </c>
      <c r="H18" s="432" t="str">
        <f t="shared" si="5"/>
        <v>LTM+6</v>
      </c>
      <c r="I18" s="432" t="str">
        <f t="shared" si="5"/>
        <v>LTM+7</v>
      </c>
      <c r="J18" s="432" t="str">
        <f t="shared" si="5"/>
        <v>LTM+8</v>
      </c>
      <c r="K18" s="432" t="str">
        <f t="shared" si="5"/>
        <v>LTM+9</v>
      </c>
      <c r="L18" s="432" t="str">
        <f t="shared" si="5"/>
        <v>LTM+10</v>
      </c>
      <c r="M18" s="497" t="str">
        <f t="shared" si="5"/>
        <v>ewig</v>
      </c>
      <c r="N18" s="497" t="str">
        <f t="shared" si="5"/>
        <v>Median</v>
      </c>
      <c r="O18" s="439"/>
      <c r="Q18" s="440" t="s">
        <v>4</v>
      </c>
      <c r="R18" s="478">
        <v>-2301</v>
      </c>
      <c r="S18" s="478">
        <v>-4660</v>
      </c>
      <c r="T18" s="478">
        <v>-3249</v>
      </c>
      <c r="U18" s="478">
        <v>-6327</v>
      </c>
      <c r="V18" s="478">
        <v>-4034</v>
      </c>
      <c r="W18" s="478">
        <v>-7914</v>
      </c>
      <c r="X18" s="478">
        <v>-5619</v>
      </c>
      <c r="Y18" s="478">
        <v>-8330</v>
      </c>
      <c r="Z18" s="478">
        <v>-8303</v>
      </c>
      <c r="AA18" s="411">
        <v>-25474</v>
      </c>
      <c r="AB18" s="498" t="str">
        <f>Q13</f>
        <v>Umsatz</v>
      </c>
      <c r="AC18" s="483">
        <v>0.27338307879318413</v>
      </c>
      <c r="AD18" s="484">
        <v>0.10716719351153015</v>
      </c>
      <c r="AE18" s="439"/>
    </row>
    <row r="19" spans="1:31" s="481" customFormat="1" ht="12" customHeight="1" x14ac:dyDescent="0.45">
      <c r="A19" s="440" t="str">
        <f t="shared" ref="A19:A37" si="6">Q24</f>
        <v>Umsatz</v>
      </c>
      <c r="B19" s="411">
        <v>200966</v>
      </c>
      <c r="C19" s="478">
        <f t="shared" ref="C19:M19" si="7">B19*(1+C20)</f>
        <v>250863.95000000004</v>
      </c>
      <c r="D19" s="478">
        <f t="shared" si="7"/>
        <v>284024.38500000001</v>
      </c>
      <c r="E19" s="478">
        <f t="shared" si="7"/>
        <v>316573.25038961595</v>
      </c>
      <c r="F19" s="478">
        <f t="shared" si="7"/>
        <v>349874.00417806819</v>
      </c>
      <c r="G19" s="478">
        <f t="shared" si="7"/>
        <v>382905.18109544076</v>
      </c>
      <c r="H19" s="478">
        <f t="shared" si="7"/>
        <v>419054.79103589512</v>
      </c>
      <c r="I19" s="478">
        <f t="shared" si="7"/>
        <v>458617.24144799949</v>
      </c>
      <c r="J19" s="478">
        <f t="shared" si="7"/>
        <v>501914.73442754743</v>
      </c>
      <c r="K19" s="478">
        <f t="shared" si="7"/>
        <v>533196.26338642603</v>
      </c>
      <c r="L19" s="478">
        <f t="shared" si="7"/>
        <v>556230.34196471958</v>
      </c>
      <c r="M19" s="499">
        <f t="shared" si="7"/>
        <v>580259.49273759546</v>
      </c>
      <c r="N19" s="499">
        <f>MEDIAN(C19:L19)</f>
        <v>400979.98606566794</v>
      </c>
      <c r="O19" s="439"/>
      <c r="Q19" s="482" t="s">
        <v>32</v>
      </c>
      <c r="R19" s="483">
        <f t="shared" ref="R19:AA19" si="8">IFERROR(-R18/(R15+R17),"")</f>
        <v>0.14706634283522946</v>
      </c>
      <c r="S19" s="483">
        <f t="shared" si="8"/>
        <v>0.19472650536960429</v>
      </c>
      <c r="T19" s="483">
        <f t="shared" si="8"/>
        <v>0.11174932929765426</v>
      </c>
      <c r="U19" s="483">
        <f t="shared" si="8"/>
        <v>0.18691837277319862</v>
      </c>
      <c r="V19" s="483">
        <f t="shared" si="8"/>
        <v>0.10297909274245015</v>
      </c>
      <c r="W19" s="483">
        <f t="shared" si="8"/>
        <v>0.14093340869726884</v>
      </c>
      <c r="X19" s="483">
        <f t="shared" si="8"/>
        <v>0.12258821571922192</v>
      </c>
      <c r="Y19" s="483">
        <f t="shared" si="8"/>
        <v>0.13672185164363415</v>
      </c>
      <c r="Z19" s="483">
        <f t="shared" si="8"/>
        <v>9.5553566849103308E-2</v>
      </c>
      <c r="AA19" s="484">
        <f t="shared" si="8"/>
        <v>0.2406637692454425</v>
      </c>
      <c r="AB19" s="498" t="s">
        <v>19</v>
      </c>
      <c r="AC19" s="483">
        <v>0.27966958507958029</v>
      </c>
      <c r="AD19" s="484">
        <f>IFERROR((AB31/R31)^(1/10)-1,0)</f>
        <v>5.6176748015536626E-2</v>
      </c>
      <c r="AE19" s="439"/>
    </row>
    <row r="20" spans="1:31" ht="12" customHeight="1" collapsed="1" x14ac:dyDescent="0.45">
      <c r="A20" s="482" t="str">
        <f t="shared" si="6"/>
        <v>Entw.</v>
      </c>
      <c r="B20" s="484">
        <v>0.17965484855599906</v>
      </c>
      <c r="C20" s="500">
        <v>0.24829050685190546</v>
      </c>
      <c r="D20" s="500">
        <v>0.13218493530058822</v>
      </c>
      <c r="E20" s="500">
        <v>0.11459884118617475</v>
      </c>
      <c r="F20" s="500">
        <v>0.10519130642740031</v>
      </c>
      <c r="G20" s="500">
        <v>9.440877722530458E-2</v>
      </c>
      <c r="H20" s="500">
        <v>9.440877722530458E-2</v>
      </c>
      <c r="I20" s="500">
        <v>9.440877722530458E-2</v>
      </c>
      <c r="J20" s="500">
        <v>9.440877722530458E-2</v>
      </c>
      <c r="K20" s="500">
        <v>6.2324388612652291E-2</v>
      </c>
      <c r="L20" s="501">
        <v>4.3200000000000002E-2</v>
      </c>
      <c r="M20" s="502">
        <v>4.3199999999999905E-2</v>
      </c>
      <c r="N20" s="503">
        <f t="shared" ref="N20:N33" si="9">MEDIAN(C20:L20)</f>
        <v>9.440877722530458E-2</v>
      </c>
      <c r="O20" s="439"/>
      <c r="Q20" s="504" t="s">
        <v>19</v>
      </c>
      <c r="R20" s="487">
        <f t="shared" ref="R20:AA20" si="10">R15+R17+R18</f>
        <v>13345</v>
      </c>
      <c r="S20" s="487">
        <f t="shared" si="10"/>
        <v>19271</v>
      </c>
      <c r="T20" s="487">
        <f t="shared" si="10"/>
        <v>25825</v>
      </c>
      <c r="U20" s="487">
        <f t="shared" si="10"/>
        <v>27522</v>
      </c>
      <c r="V20" s="487">
        <f t="shared" si="10"/>
        <v>35139</v>
      </c>
      <c r="W20" s="487">
        <f t="shared" si="10"/>
        <v>48240.18</v>
      </c>
      <c r="X20" s="487">
        <f t="shared" si="10"/>
        <v>40217.379679999998</v>
      </c>
      <c r="Y20" s="487">
        <f t="shared" si="10"/>
        <v>52596.6178</v>
      </c>
      <c r="Z20" s="487">
        <f t="shared" si="10"/>
        <v>78590.668900000004</v>
      </c>
      <c r="AA20" s="488">
        <f t="shared" si="10"/>
        <v>80374.919760000004</v>
      </c>
      <c r="AB20" s="505" t="s">
        <v>203</v>
      </c>
      <c r="AC20" s="494" t="s">
        <v>25</v>
      </c>
      <c r="AD20" s="495" t="s">
        <v>49</v>
      </c>
      <c r="AE20" s="439"/>
    </row>
    <row r="21" spans="1:31" s="481" customFormat="1" ht="12" customHeight="1" x14ac:dyDescent="0.45">
      <c r="A21" s="486" t="str">
        <f t="shared" si="6"/>
        <v>EBIT</v>
      </c>
      <c r="B21" s="488">
        <v>84075.919760000004</v>
      </c>
      <c r="C21" s="487">
        <f t="shared" ref="C21:M21" si="11">C19*C22</f>
        <v>77515.200000000012</v>
      </c>
      <c r="D21" s="487">
        <f t="shared" si="11"/>
        <v>86786.203319202425</v>
      </c>
      <c r="E21" s="487">
        <f t="shared" si="11"/>
        <v>97399.491868297016</v>
      </c>
      <c r="F21" s="487">
        <f t="shared" si="11"/>
        <v>108878.24486030487</v>
      </c>
      <c r="G21" s="487">
        <f t="shared" si="11"/>
        <v>120506.90239465765</v>
      </c>
      <c r="H21" s="487">
        <f t="shared" si="11"/>
        <v>133360.82093517465</v>
      </c>
      <c r="I21" s="487">
        <f t="shared" si="11"/>
        <v>147567.7048437871</v>
      </c>
      <c r="J21" s="487">
        <f t="shared" si="11"/>
        <v>163268.45053529541</v>
      </c>
      <c r="K21" s="487">
        <f t="shared" si="11"/>
        <v>175323.37154193208</v>
      </c>
      <c r="L21" s="487">
        <f t="shared" si="11"/>
        <v>184857.84223259581</v>
      </c>
      <c r="M21" s="506">
        <f t="shared" si="11"/>
        <v>192843.70101704393</v>
      </c>
      <c r="N21" s="506">
        <f t="shared" si="9"/>
        <v>126933.86166491616</v>
      </c>
      <c r="O21" s="439"/>
      <c r="Q21" s="482" t="s">
        <v>20</v>
      </c>
      <c r="R21" s="483">
        <v>0.4082559747185463</v>
      </c>
      <c r="S21" s="483">
        <v>0.22801261017821528</v>
      </c>
      <c r="T21" s="483">
        <v>0.59661189069423926</v>
      </c>
      <c r="U21" s="483">
        <v>0.79244450328787674</v>
      </c>
      <c r="V21" s="483">
        <v>0.80385515242518424</v>
      </c>
      <c r="W21" s="483">
        <v>0.38164285762068717</v>
      </c>
      <c r="X21" s="483">
        <v>0.81737809302746245</v>
      </c>
      <c r="Y21" s="483">
        <v>0.43112512334767933</v>
      </c>
      <c r="Z21" s="483">
        <v>0.53684072165823649</v>
      </c>
      <c r="AA21" s="484">
        <v>1.1758317864363423</v>
      </c>
      <c r="AB21" s="498" t="s">
        <v>20</v>
      </c>
      <c r="AC21" s="483">
        <v>0.67186359599568923</v>
      </c>
      <c r="AD21" s="484">
        <v>0.37892124793675325</v>
      </c>
      <c r="AE21" s="439"/>
    </row>
    <row r="22" spans="1:31" s="481" customFormat="1" ht="12" customHeight="1" x14ac:dyDescent="0.45">
      <c r="A22" s="490" t="str">
        <f t="shared" si="6"/>
        <v>/Umsatz</v>
      </c>
      <c r="B22" s="492">
        <v>0.41835892519132589</v>
      </c>
      <c r="C22" s="500">
        <v>0.30899298205262254</v>
      </c>
      <c r="D22" s="500">
        <v>0.30555898684263472</v>
      </c>
      <c r="E22" s="500">
        <v>0.30766810445426018</v>
      </c>
      <c r="F22" s="500">
        <v>0.31119272526715458</v>
      </c>
      <c r="G22" s="500">
        <v>0.31471734608004898</v>
      </c>
      <c r="H22" s="500">
        <v>0.31824196689294337</v>
      </c>
      <c r="I22" s="500">
        <v>0.32176658770583777</v>
      </c>
      <c r="J22" s="500">
        <v>0.32529120851873217</v>
      </c>
      <c r="K22" s="500">
        <v>0.32881582933162656</v>
      </c>
      <c r="L22" s="500">
        <v>0.33234045014452107</v>
      </c>
      <c r="M22" s="507">
        <v>0.33234045014452107</v>
      </c>
      <c r="N22" s="508">
        <f t="shared" si="9"/>
        <v>0.31647965648649617</v>
      </c>
      <c r="O22" s="439"/>
      <c r="Q22" s="482" t="s">
        <v>18</v>
      </c>
      <c r="R22" s="483">
        <v>0.86487871540826788</v>
      </c>
      <c r="S22" s="483">
        <v>0.99974271563645722</v>
      </c>
      <c r="T22" s="483">
        <v>0.9109602001555831</v>
      </c>
      <c r="U22" s="483">
        <v>0.57771148845035947</v>
      </c>
      <c r="V22" s="483">
        <v>0.47960140679953106</v>
      </c>
      <c r="W22" s="483">
        <v>0.49425114291709321</v>
      </c>
      <c r="X22" s="483">
        <v>0.28808066395657006</v>
      </c>
      <c r="Y22" s="483">
        <v>0.32990348864454511</v>
      </c>
      <c r="Z22" s="483">
        <v>0.43385285541089036</v>
      </c>
      <c r="AA22" s="484">
        <v>0.30315780636817469</v>
      </c>
      <c r="AB22" s="498" t="s">
        <v>18</v>
      </c>
      <c r="AC22" s="483">
        <v>0.56821404837474732</v>
      </c>
      <c r="AD22" s="484">
        <v>0.23373006723661377</v>
      </c>
      <c r="AE22" s="439"/>
    </row>
    <row r="23" spans="1:31" ht="12" customHeight="1" x14ac:dyDescent="0.45">
      <c r="A23" s="440" t="str">
        <f t="shared" si="6"/>
        <v>Sonst</v>
      </c>
      <c r="B23" s="411">
        <v>21773</v>
      </c>
      <c r="C23" s="509">
        <v>171</v>
      </c>
      <c r="D23" s="509">
        <v>178.38719999999998</v>
      </c>
      <c r="E23" s="509">
        <v>186.09352703999997</v>
      </c>
      <c r="F23" s="509">
        <v>194.13276740812796</v>
      </c>
      <c r="G23" s="509">
        <v>202.51930296015908</v>
      </c>
      <c r="H23" s="509">
        <v>211.26813684803793</v>
      </c>
      <c r="I23" s="509">
        <v>220.39492035987314</v>
      </c>
      <c r="J23" s="509">
        <v>229.91598091941964</v>
      </c>
      <c r="K23" s="509">
        <v>239.84835129513854</v>
      </c>
      <c r="L23" s="509">
        <v>250.20980007108849</v>
      </c>
      <c r="M23" s="510">
        <v>261.01886343415947</v>
      </c>
      <c r="N23" s="511">
        <f t="shared" si="9"/>
        <v>206.8937199040985</v>
      </c>
      <c r="O23" s="439"/>
      <c r="Q23" s="428" t="s">
        <v>49</v>
      </c>
      <c r="R23" s="496" t="s">
        <v>0</v>
      </c>
      <c r="S23" s="432" t="s">
        <v>33</v>
      </c>
      <c r="T23" s="432" t="s">
        <v>34</v>
      </c>
      <c r="U23" s="432" t="s">
        <v>35</v>
      </c>
      <c r="V23" s="432" t="s">
        <v>36</v>
      </c>
      <c r="W23" s="432" t="s">
        <v>37</v>
      </c>
      <c r="X23" s="432" t="s">
        <v>38</v>
      </c>
      <c r="Y23" s="432" t="s">
        <v>39</v>
      </c>
      <c r="Z23" s="432" t="s">
        <v>40</v>
      </c>
      <c r="AA23" s="432" t="s">
        <v>41</v>
      </c>
      <c r="AB23" s="432" t="s">
        <v>42</v>
      </c>
      <c r="AC23" s="497" t="s">
        <v>58</v>
      </c>
      <c r="AD23" s="497" t="s">
        <v>15</v>
      </c>
      <c r="AE23" s="439"/>
    </row>
    <row r="24" spans="1:31" ht="12" customHeight="1" x14ac:dyDescent="0.45">
      <c r="A24" s="440" t="str">
        <f t="shared" si="6"/>
        <v>Steuer</v>
      </c>
      <c r="B24" s="411">
        <f t="shared" si="5"/>
        <v>-25474</v>
      </c>
      <c r="C24" s="478">
        <f>(C21+C23)*C25*-1</f>
        <v>-10708.828413667219</v>
      </c>
      <c r="D24" s="478">
        <f t="shared" ref="D24:M24" si="12">(D21+D23)*D25*-1</f>
        <v>-13071.53103193499</v>
      </c>
      <c r="E24" s="478">
        <f t="shared" si="12"/>
        <v>-15884.013261887996</v>
      </c>
      <c r="F24" s="478">
        <f t="shared" si="12"/>
        <v>-19112.915760616841</v>
      </c>
      <c r="G24" s="478">
        <f t="shared" si="12"/>
        <v>-22656.302892991167</v>
      </c>
      <c r="H24" s="478">
        <f t="shared" si="12"/>
        <v>-26735.031966914714</v>
      </c>
      <c r="I24" s="478">
        <f t="shared" si="12"/>
        <v>-31422.077279726724</v>
      </c>
      <c r="J24" s="478">
        <f t="shared" si="12"/>
        <v>-36799.748800466172</v>
      </c>
      <c r="K24" s="478">
        <f t="shared" si="12"/>
        <v>-41703.038383373612</v>
      </c>
      <c r="L24" s="478">
        <f t="shared" si="12"/>
        <v>-46277.013008166723</v>
      </c>
      <c r="M24" s="499">
        <f t="shared" si="12"/>
        <v>-48276.17997011952</v>
      </c>
      <c r="N24" s="499">
        <f t="shared" si="9"/>
        <v>-24695.66742995294</v>
      </c>
      <c r="O24" s="439"/>
      <c r="Q24" s="440" t="s">
        <v>1</v>
      </c>
      <c r="R24" s="411">
        <v>200966</v>
      </c>
      <c r="S24" s="478">
        <v>250863.95000000004</v>
      </c>
      <c r="T24" s="478">
        <v>284024.38500000001</v>
      </c>
      <c r="U24" s="478">
        <v>316573.25038961595</v>
      </c>
      <c r="V24" s="478">
        <v>349874.00417806819</v>
      </c>
      <c r="W24" s="478">
        <v>382905.18109544076</v>
      </c>
      <c r="X24" s="478">
        <v>419054.79103589512</v>
      </c>
      <c r="Y24" s="478">
        <v>458617.24144799949</v>
      </c>
      <c r="Z24" s="478">
        <v>501914.73442754743</v>
      </c>
      <c r="AA24" s="478">
        <v>533196.26338642603</v>
      </c>
      <c r="AB24" s="478">
        <v>556230.34196471958</v>
      </c>
      <c r="AC24" s="499">
        <f>AB24*(1+$V$44)</f>
        <v>580259.49273759546</v>
      </c>
      <c r="AD24" s="499">
        <f t="shared" ref="AD24:AD38" si="13">MEDIAN(S24:AB24)</f>
        <v>400979.98606566794</v>
      </c>
      <c r="AE24" s="439"/>
    </row>
    <row r="25" spans="1:31" s="481" customFormat="1" ht="12" customHeight="1" x14ac:dyDescent="0.45">
      <c r="A25" s="482" t="str">
        <f t="shared" si="6"/>
        <v>S-Quote</v>
      </c>
      <c r="B25" s="484">
        <v>0.2406637692454425</v>
      </c>
      <c r="C25" s="500">
        <v>0.13784724202840681</v>
      </c>
      <c r="D25" s="500">
        <v>0.15030865958080605</v>
      </c>
      <c r="E25" s="500">
        <v>0.16277007713320529</v>
      </c>
      <c r="F25" s="500">
        <v>0.17523149468560453</v>
      </c>
      <c r="G25" s="500">
        <v>0.18769291223800375</v>
      </c>
      <c r="H25" s="500">
        <v>0.20015432979040301</v>
      </c>
      <c r="I25" s="500">
        <v>0.21261574734280225</v>
      </c>
      <c r="J25" s="500">
        <v>0.22507716489520146</v>
      </c>
      <c r="K25" s="500">
        <v>0.23753858244760076</v>
      </c>
      <c r="L25" s="500">
        <v>0.25</v>
      </c>
      <c r="M25" s="507">
        <v>0.25</v>
      </c>
      <c r="N25" s="512">
        <f t="shared" si="9"/>
        <v>0.19392362101420338</v>
      </c>
      <c r="O25" s="439"/>
      <c r="Q25" s="482" t="s">
        <v>29</v>
      </c>
      <c r="R25" s="484">
        <v>0.17965484855599906</v>
      </c>
      <c r="S25" s="483">
        <v>0.24829050685190546</v>
      </c>
      <c r="T25" s="483">
        <v>0.13218493530058822</v>
      </c>
      <c r="U25" s="483">
        <v>0.11459884118617475</v>
      </c>
      <c r="V25" s="483">
        <v>0.10519130642740031</v>
      </c>
      <c r="W25" s="483">
        <v>9.440877722530458E-2</v>
      </c>
      <c r="X25" s="483">
        <v>9.440877722530458E-2</v>
      </c>
      <c r="Y25" s="483">
        <v>9.440877722530458E-2</v>
      </c>
      <c r="Z25" s="483">
        <v>9.440877722530458E-2</v>
      </c>
      <c r="AA25" s="483">
        <v>6.2324388612652291E-2</v>
      </c>
      <c r="AB25" s="513">
        <v>4.3200000000000002E-2</v>
      </c>
      <c r="AC25" s="503">
        <f>AC24/AB24-1</f>
        <v>4.3199999999999905E-2</v>
      </c>
      <c r="AD25" s="503">
        <f t="shared" si="13"/>
        <v>9.440877722530458E-2</v>
      </c>
      <c r="AE25" s="439"/>
    </row>
    <row r="26" spans="1:31" ht="12" customHeight="1" x14ac:dyDescent="0.45">
      <c r="A26" s="504" t="str">
        <f t="shared" si="6"/>
        <v>EBIT-T</v>
      </c>
      <c r="B26" s="488">
        <f t="shared" si="5"/>
        <v>80374.919760000004</v>
      </c>
      <c r="C26" s="487">
        <f t="shared" ref="C26:J26" si="14">C21+C23+C24</f>
        <v>66977.371586332796</v>
      </c>
      <c r="D26" s="487">
        <f t="shared" si="14"/>
        <v>73893.059487267426</v>
      </c>
      <c r="E26" s="487">
        <f t="shared" si="14"/>
        <v>81701.572133449008</v>
      </c>
      <c r="F26" s="487">
        <f t="shared" si="14"/>
        <v>89959.46186709615</v>
      </c>
      <c r="G26" s="487">
        <f t="shared" si="14"/>
        <v>98053.118804626647</v>
      </c>
      <c r="H26" s="487">
        <f t="shared" si="14"/>
        <v>106837.05710510796</v>
      </c>
      <c r="I26" s="487">
        <f t="shared" si="14"/>
        <v>116366.02248442023</v>
      </c>
      <c r="J26" s="487">
        <f t="shared" si="14"/>
        <v>126698.61771574865</v>
      </c>
      <c r="K26" s="487">
        <f>K21+K23+K24</f>
        <v>133860.1815098536</v>
      </c>
      <c r="L26" s="487">
        <f>L21+L23+L24</f>
        <v>138831.03902450018</v>
      </c>
      <c r="M26" s="506">
        <f>M21+M23+M24</f>
        <v>144828.53991035855</v>
      </c>
      <c r="N26" s="506">
        <f t="shared" si="9"/>
        <v>102445.08795486731</v>
      </c>
      <c r="O26" s="439"/>
      <c r="Q26" s="486" t="s">
        <v>2</v>
      </c>
      <c r="R26" s="488">
        <v>84075.919760000004</v>
      </c>
      <c r="S26" s="487">
        <v>77515.200000000012</v>
      </c>
      <c r="T26" s="487">
        <v>86786.203319202425</v>
      </c>
      <c r="U26" s="487">
        <v>97399.491868297016</v>
      </c>
      <c r="V26" s="487">
        <v>108878.24486030487</v>
      </c>
      <c r="W26" s="487">
        <v>120506.90239465765</v>
      </c>
      <c r="X26" s="487">
        <v>133360.82093517465</v>
      </c>
      <c r="Y26" s="487">
        <v>147567.7048437871</v>
      </c>
      <c r="Z26" s="487">
        <v>163268.45053529541</v>
      </c>
      <c r="AA26" s="487">
        <v>175323.37154193208</v>
      </c>
      <c r="AB26" s="487">
        <v>184857.84223259581</v>
      </c>
      <c r="AC26" s="506">
        <f>AC24*AB27</f>
        <v>192843.70101704393</v>
      </c>
      <c r="AD26" s="506">
        <f t="shared" si="13"/>
        <v>126933.86166491616</v>
      </c>
      <c r="AE26" s="439"/>
    </row>
    <row r="27" spans="1:31" s="481" customFormat="1" ht="12" customHeight="1" x14ac:dyDescent="0.45">
      <c r="A27" s="490" t="str">
        <f t="shared" si="6"/>
        <v>Entw.</v>
      </c>
      <c r="B27" s="492"/>
      <c r="C27" s="491">
        <f t="shared" ref="C27:J27" si="15">IFERROR(IF(C26=0,0,C26/B26-1),0)</f>
        <v>-0.16668816856890645</v>
      </c>
      <c r="D27" s="491">
        <f t="shared" si="15"/>
        <v>0.10325409518378037</v>
      </c>
      <c r="E27" s="491">
        <f t="shared" si="15"/>
        <v>0.10567315388432497</v>
      </c>
      <c r="F27" s="491">
        <f t="shared" si="15"/>
        <v>0.10107381679460148</v>
      </c>
      <c r="G27" s="491">
        <f t="shared" si="15"/>
        <v>8.9970046169105089E-2</v>
      </c>
      <c r="H27" s="491">
        <f t="shared" si="15"/>
        <v>8.9583466671606216E-2</v>
      </c>
      <c r="I27" s="491">
        <f t="shared" si="15"/>
        <v>8.9191574885271629E-2</v>
      </c>
      <c r="J27" s="491">
        <f t="shared" si="15"/>
        <v>8.8793919485490758E-2</v>
      </c>
      <c r="K27" s="491">
        <f>IFERROR(IF(K26=0,0,K26/J26-1),0)</f>
        <v>5.6524403527212108E-2</v>
      </c>
      <c r="L27" s="491">
        <f>IFERROR(IF(L26=0,0,L26/K26-1),0)</f>
        <v>3.7134698747443906E-2</v>
      </c>
      <c r="M27" s="508">
        <f>IFERROR(IF(M26=0,0,M26/L26-1),0)</f>
        <v>4.3199999999999683E-2</v>
      </c>
      <c r="N27" s="508">
        <f t="shared" si="9"/>
        <v>8.9387520778438923E-2</v>
      </c>
      <c r="O27" s="439"/>
      <c r="Q27" s="490" t="s">
        <v>30</v>
      </c>
      <c r="R27" s="492">
        <v>0.41835892519132589</v>
      </c>
      <c r="S27" s="491">
        <f t="shared" ref="S27:AC27" si="16">IFERROR(S26/S24,"")</f>
        <v>0.30899298205262254</v>
      </c>
      <c r="T27" s="491">
        <f t="shared" si="16"/>
        <v>0.30555898684263472</v>
      </c>
      <c r="U27" s="491">
        <f t="shared" si="16"/>
        <v>0.30766810445426018</v>
      </c>
      <c r="V27" s="491">
        <f t="shared" si="16"/>
        <v>0.31119272526715458</v>
      </c>
      <c r="W27" s="491">
        <f t="shared" si="16"/>
        <v>0.31471734608004898</v>
      </c>
      <c r="X27" s="491">
        <f t="shared" si="16"/>
        <v>0.31824196689294337</v>
      </c>
      <c r="Y27" s="491">
        <f t="shared" si="16"/>
        <v>0.32176658770583777</v>
      </c>
      <c r="Z27" s="491">
        <f t="shared" si="16"/>
        <v>0.32529120851873217</v>
      </c>
      <c r="AA27" s="491">
        <f t="shared" si="16"/>
        <v>0.32881582933162656</v>
      </c>
      <c r="AB27" s="491">
        <f t="shared" si="16"/>
        <v>0.33234045014452107</v>
      </c>
      <c r="AC27" s="508">
        <f t="shared" si="16"/>
        <v>0.33234045014452107</v>
      </c>
      <c r="AD27" s="508">
        <f t="shared" si="13"/>
        <v>0.31647965648649617</v>
      </c>
      <c r="AE27" s="439"/>
    </row>
    <row r="28" spans="1:31" ht="12" customHeight="1" x14ac:dyDescent="0.45">
      <c r="A28" s="514" t="str">
        <f t="shared" si="6"/>
        <v>Nettoinvestitionen</v>
      </c>
      <c r="B28" s="411"/>
      <c r="C28" s="478">
        <f t="shared" ref="C28:L28" si="17">(C21+C24)*-C31</f>
        <v>-62961.024085475881</v>
      </c>
      <c r="D28" s="478">
        <f t="shared" si="17"/>
        <v>-69471.685815684832</v>
      </c>
      <c r="E28" s="478">
        <f t="shared" si="17"/>
        <v>-63454.550622434559</v>
      </c>
      <c r="F28" s="478">
        <f t="shared" si="17"/>
        <v>-50855.290879811721</v>
      </c>
      <c r="G28" s="478">
        <f t="shared" si="17"/>
        <v>-50172.532614824369</v>
      </c>
      <c r="H28" s="478">
        <f t="shared" si="17"/>
        <v>-23017.272680241913</v>
      </c>
      <c r="I28" s="478">
        <f t="shared" si="17"/>
        <v>-25190.305249044988</v>
      </c>
      <c r="J28" s="478">
        <f t="shared" si="17"/>
        <v>-18199.466271712517</v>
      </c>
      <c r="K28" s="478">
        <f t="shared" si="17"/>
        <v>-13401.133197060248</v>
      </c>
      <c r="L28" s="478">
        <f t="shared" si="17"/>
        <v>-13980.06215117327</v>
      </c>
      <c r="M28" s="499">
        <f>(M21+M24)*-M31</f>
        <v>-37711.656040744267</v>
      </c>
      <c r="N28" s="499">
        <f t="shared" si="9"/>
        <v>-37681.418931934677</v>
      </c>
      <c r="O28" s="439"/>
      <c r="Q28" s="440" t="s">
        <v>31</v>
      </c>
      <c r="R28" s="814">
        <v>21773</v>
      </c>
      <c r="S28" s="813">
        <v>171</v>
      </c>
      <c r="T28" s="813">
        <v>178.38719999999998</v>
      </c>
      <c r="U28" s="813">
        <v>186.09352703999997</v>
      </c>
      <c r="V28" s="813">
        <v>194.13276740812796</v>
      </c>
      <c r="W28" s="813">
        <v>202.51930296015908</v>
      </c>
      <c r="X28" s="813">
        <v>211.26813684803793</v>
      </c>
      <c r="Y28" s="813">
        <v>220.39492035987314</v>
      </c>
      <c r="Z28" s="813">
        <v>229.91598091941964</v>
      </c>
      <c r="AA28" s="813">
        <v>239.84835129513854</v>
      </c>
      <c r="AB28" s="813">
        <v>250.20980007108849</v>
      </c>
      <c r="AC28" s="511">
        <f>AB28*(1+V44)</f>
        <v>261.01886343415947</v>
      </c>
      <c r="AD28" s="511">
        <f t="shared" si="13"/>
        <v>206.8937199040985</v>
      </c>
      <c r="AE28" s="439"/>
    </row>
    <row r="29" spans="1:31" ht="12" customHeight="1" x14ac:dyDescent="0.45">
      <c r="A29" s="482" t="str">
        <f t="shared" si="6"/>
        <v>Umsatzzuwachs/Reinvest</v>
      </c>
      <c r="B29" s="484"/>
      <c r="C29" s="515">
        <f>(D19-C19)/-C28</f>
        <v>0.52668195096352566</v>
      </c>
      <c r="D29" s="515">
        <f t="shared" ref="D29:L29" si="18">(E19-D19)/-D28</f>
        <v>0.46851987262798339</v>
      </c>
      <c r="E29" s="515">
        <f t="shared" si="18"/>
        <v>0.52479693673346506</v>
      </c>
      <c r="F29" s="515">
        <f t="shared" si="18"/>
        <v>0.6495130859724394</v>
      </c>
      <c r="G29" s="515">
        <f t="shared" si="18"/>
        <v>0.72050598318358194</v>
      </c>
      <c r="H29" s="515">
        <f t="shared" si="18"/>
        <v>1.7188157329371556</v>
      </c>
      <c r="I29" s="515">
        <f t="shared" si="18"/>
        <v>1.7188157329371556</v>
      </c>
      <c r="J29" s="515">
        <f t="shared" si="18"/>
        <v>1.7188157329371558</v>
      </c>
      <c r="K29" s="515">
        <f t="shared" si="18"/>
        <v>1.7188157329371556</v>
      </c>
      <c r="L29" s="515">
        <f t="shared" si="18"/>
        <v>1.7188157329371556</v>
      </c>
      <c r="M29" s="516">
        <f>(M19*(1+$N$36)-M19)/-M28</f>
        <v>0.66470722100299862</v>
      </c>
      <c r="N29" s="516">
        <f t="shared" si="9"/>
        <v>1.2196608580603687</v>
      </c>
      <c r="O29" s="439"/>
      <c r="Q29" s="440" t="s">
        <v>4</v>
      </c>
      <c r="R29" s="411">
        <v>-25474</v>
      </c>
      <c r="S29" s="478">
        <v>-10708.828413667219</v>
      </c>
      <c r="T29" s="478">
        <v>-13071.53103193499</v>
      </c>
      <c r="U29" s="478">
        <v>-15884.013261887996</v>
      </c>
      <c r="V29" s="478">
        <v>-19112.915760616841</v>
      </c>
      <c r="W29" s="478">
        <v>-22656.302892991167</v>
      </c>
      <c r="X29" s="478">
        <v>-26735.031966914714</v>
      </c>
      <c r="Y29" s="478">
        <v>-31422.077279726724</v>
      </c>
      <c r="Z29" s="478">
        <v>-36799.748800466172</v>
      </c>
      <c r="AA29" s="478">
        <v>-41703.038383373612</v>
      </c>
      <c r="AB29" s="478">
        <v>-46277.013008166723</v>
      </c>
      <c r="AC29" s="499">
        <f>(AC26+AC28)*-V50</f>
        <v>-48276.17997011952</v>
      </c>
      <c r="AD29" s="499">
        <f t="shared" si="13"/>
        <v>-24695.66742995294</v>
      </c>
      <c r="AE29" s="439"/>
    </row>
    <row r="30" spans="1:31" s="481" customFormat="1" ht="12" customHeight="1" x14ac:dyDescent="0.45">
      <c r="A30" s="504" t="str">
        <f t="shared" si="6"/>
        <v>FCFF</v>
      </c>
      <c r="B30" s="488"/>
      <c r="C30" s="487">
        <f t="shared" ref="C30:M30" si="19">C26+C28</f>
        <v>4016.3475008569148</v>
      </c>
      <c r="D30" s="487">
        <f t="shared" si="19"/>
        <v>4421.3736715825944</v>
      </c>
      <c r="E30" s="487">
        <f t="shared" si="19"/>
        <v>18247.021511014449</v>
      </c>
      <c r="F30" s="487">
        <f t="shared" si="19"/>
        <v>39104.170987284429</v>
      </c>
      <c r="G30" s="487">
        <f t="shared" si="19"/>
        <v>47880.586189802278</v>
      </c>
      <c r="H30" s="487">
        <f t="shared" si="19"/>
        <v>83819.784424866055</v>
      </c>
      <c r="I30" s="487">
        <f t="shared" si="19"/>
        <v>91175.717235375239</v>
      </c>
      <c r="J30" s="487">
        <f t="shared" si="19"/>
        <v>108499.15144403614</v>
      </c>
      <c r="K30" s="487">
        <f t="shared" si="19"/>
        <v>120459.04831279335</v>
      </c>
      <c r="L30" s="487">
        <f t="shared" si="19"/>
        <v>124850.9768733269</v>
      </c>
      <c r="M30" s="506">
        <f t="shared" si="19"/>
        <v>107116.88386961428</v>
      </c>
      <c r="N30" s="506">
        <f t="shared" si="9"/>
        <v>65850.185307334163</v>
      </c>
      <c r="O30" s="439"/>
      <c r="Q30" s="482" t="s">
        <v>32</v>
      </c>
      <c r="R30" s="484">
        <f t="shared" ref="R30:AC30" si="20">-R29/(R26+R28)</f>
        <v>0.2406637692454425</v>
      </c>
      <c r="S30" s="483">
        <f t="shared" si="20"/>
        <v>0.13784724202840681</v>
      </c>
      <c r="T30" s="483">
        <f t="shared" si="20"/>
        <v>0.15030865958080605</v>
      </c>
      <c r="U30" s="483">
        <f t="shared" si="20"/>
        <v>0.16277007713320529</v>
      </c>
      <c r="V30" s="483">
        <f t="shared" si="20"/>
        <v>0.17523149468560453</v>
      </c>
      <c r="W30" s="483">
        <f t="shared" si="20"/>
        <v>0.18769291223800375</v>
      </c>
      <c r="X30" s="483">
        <f t="shared" si="20"/>
        <v>0.20015432979040301</v>
      </c>
      <c r="Y30" s="483">
        <f t="shared" si="20"/>
        <v>0.21261574734280225</v>
      </c>
      <c r="Z30" s="483">
        <f t="shared" si="20"/>
        <v>0.22507716489520146</v>
      </c>
      <c r="AA30" s="483">
        <f t="shared" si="20"/>
        <v>0.23753858244760076</v>
      </c>
      <c r="AB30" s="483">
        <f t="shared" si="20"/>
        <v>0.25</v>
      </c>
      <c r="AC30" s="512">
        <f t="shared" si="20"/>
        <v>0.25</v>
      </c>
      <c r="AD30" s="512">
        <f t="shared" si="13"/>
        <v>0.19392362101420338</v>
      </c>
      <c r="AE30" s="439"/>
    </row>
    <row r="31" spans="1:31" ht="12" customHeight="1" collapsed="1" x14ac:dyDescent="0.45">
      <c r="A31" s="482" t="str">
        <f t="shared" si="6"/>
        <v>R-Rate</v>
      </c>
      <c r="B31" s="484"/>
      <c r="C31" s="500">
        <v>0.94244040786008509</v>
      </c>
      <c r="D31" s="500">
        <v>0.94244040786008521</v>
      </c>
      <c r="E31" s="500">
        <v>0.77843560152323699</v>
      </c>
      <c r="F31" s="500">
        <v>0.56653600437798057</v>
      </c>
      <c r="G31" s="500">
        <v>0.51274629762457291</v>
      </c>
      <c r="H31" s="500">
        <v>0.21586965876607608</v>
      </c>
      <c r="I31" s="500">
        <v>0.21688552360829272</v>
      </c>
      <c r="J31" s="500">
        <v>0.14390490312671897</v>
      </c>
      <c r="K31" s="500">
        <v>0.10029261924648851</v>
      </c>
      <c r="L31" s="500">
        <v>0.10088020276262612</v>
      </c>
      <c r="M31" s="507">
        <v>0.26085842634393408</v>
      </c>
      <c r="N31" s="512">
        <f t="shared" si="9"/>
        <v>0.36481591061643281</v>
      </c>
      <c r="O31" s="439"/>
      <c r="Q31" s="504" t="s">
        <v>19</v>
      </c>
      <c r="R31" s="488">
        <f t="shared" ref="R31:AC31" si="21">R26+R28+R29</f>
        <v>80374.919760000004</v>
      </c>
      <c r="S31" s="487">
        <f t="shared" si="21"/>
        <v>66977.371586332796</v>
      </c>
      <c r="T31" s="487">
        <f t="shared" si="21"/>
        <v>73893.059487267426</v>
      </c>
      <c r="U31" s="487">
        <f t="shared" si="21"/>
        <v>81701.572133449008</v>
      </c>
      <c r="V31" s="487">
        <f t="shared" si="21"/>
        <v>89959.46186709615</v>
      </c>
      <c r="W31" s="487">
        <f t="shared" si="21"/>
        <v>98053.118804626647</v>
      </c>
      <c r="X31" s="487">
        <f t="shared" si="21"/>
        <v>106837.05710510796</v>
      </c>
      <c r="Y31" s="487">
        <f t="shared" si="21"/>
        <v>116366.02248442023</v>
      </c>
      <c r="Z31" s="487">
        <f t="shared" si="21"/>
        <v>126698.61771574865</v>
      </c>
      <c r="AA31" s="487">
        <f t="shared" si="21"/>
        <v>133860.1815098536</v>
      </c>
      <c r="AB31" s="487">
        <f t="shared" si="21"/>
        <v>138831.03902450018</v>
      </c>
      <c r="AC31" s="506">
        <f t="shared" si="21"/>
        <v>144828.53991035855</v>
      </c>
      <c r="AD31" s="506">
        <f t="shared" si="13"/>
        <v>102445.08795486731</v>
      </c>
      <c r="AE31" s="439"/>
    </row>
    <row r="32" spans="1:31" s="481" customFormat="1" ht="12" customHeight="1" x14ac:dyDescent="0.45">
      <c r="A32" s="482" t="str">
        <f t="shared" si="6"/>
        <v>ROCE</v>
      </c>
      <c r="B32" s="484"/>
      <c r="C32" s="483">
        <f>(C21+C24)/D66</f>
        <v>0.28916248094097335</v>
      </c>
      <c r="D32" s="483">
        <f t="shared" ref="D32:L32" si="22">(D21+D24)/E66</f>
        <v>0.24530206867454502</v>
      </c>
      <c r="E32" s="483">
        <f t="shared" si="22"/>
        <v>0.22396807412199451</v>
      </c>
      <c r="F32" s="483">
        <f t="shared" si="22"/>
        <v>0.21639817696321487</v>
      </c>
      <c r="G32" s="483">
        <f t="shared" si="22"/>
        <v>0.21043678938196173</v>
      </c>
      <c r="H32" s="483">
        <f t="shared" si="22"/>
        <v>0.21849307083352659</v>
      </c>
      <c r="I32" s="483">
        <f t="shared" si="22"/>
        <v>0.22631841259784063</v>
      </c>
      <c r="J32" s="483">
        <f t="shared" si="22"/>
        <v>0.23799371695152932</v>
      </c>
      <c r="K32" s="483">
        <f t="shared" si="22"/>
        <v>0.2452666117994084</v>
      </c>
      <c r="L32" s="483">
        <f t="shared" si="22"/>
        <v>0.24800769714019108</v>
      </c>
      <c r="M32" s="512">
        <f>(M21+M24)/N66</f>
        <v>0.24236451695452566</v>
      </c>
      <c r="N32" s="512">
        <f t="shared" si="9"/>
        <v>0.23215606477468498</v>
      </c>
      <c r="O32" s="439"/>
      <c r="Q32" s="490" t="s">
        <v>29</v>
      </c>
      <c r="R32" s="492"/>
      <c r="S32" s="491">
        <f t="shared" ref="S32:AC32" si="23">IFERROR(IF(S31=0,0,S31/R31-1),0)</f>
        <v>-0.16668816856890645</v>
      </c>
      <c r="T32" s="491">
        <f t="shared" si="23"/>
        <v>0.10325409518378037</v>
      </c>
      <c r="U32" s="491">
        <f t="shared" si="23"/>
        <v>0.10567315388432497</v>
      </c>
      <c r="V32" s="491">
        <f t="shared" si="23"/>
        <v>0.10107381679460148</v>
      </c>
      <c r="W32" s="491">
        <f t="shared" si="23"/>
        <v>8.9970046169105089E-2</v>
      </c>
      <c r="X32" s="491">
        <f t="shared" si="23"/>
        <v>8.9583466671606216E-2</v>
      </c>
      <c r="Y32" s="491">
        <f t="shared" si="23"/>
        <v>8.9191574885271629E-2</v>
      </c>
      <c r="Z32" s="491">
        <f t="shared" si="23"/>
        <v>8.8793919485490758E-2</v>
      </c>
      <c r="AA32" s="491">
        <f t="shared" si="23"/>
        <v>5.6524403527212108E-2</v>
      </c>
      <c r="AB32" s="491">
        <f t="shared" si="23"/>
        <v>3.7134698747443906E-2</v>
      </c>
      <c r="AC32" s="508">
        <f t="shared" si="23"/>
        <v>4.3199999999999683E-2</v>
      </c>
      <c r="AD32" s="508">
        <f t="shared" si="13"/>
        <v>8.9387520778438923E-2</v>
      </c>
      <c r="AE32" s="439"/>
    </row>
    <row r="33" spans="1:31" ht="12" customHeight="1" thickBot="1" x14ac:dyDescent="0.5">
      <c r="A33" s="517" t="str">
        <f t="shared" si="6"/>
        <v>WACC</v>
      </c>
      <c r="B33" s="484"/>
      <c r="C33" s="500">
        <f>D87</f>
        <v>9.2426411680227527E-2</v>
      </c>
      <c r="D33" s="500">
        <f t="shared" ref="D33:M33" si="24">E87</f>
        <v>9.1069916725427622E-2</v>
      </c>
      <c r="E33" s="500">
        <f t="shared" si="24"/>
        <v>8.9713421770627716E-2</v>
      </c>
      <c r="F33" s="500">
        <f t="shared" si="24"/>
        <v>8.8356926815827824E-2</v>
      </c>
      <c r="G33" s="500">
        <f t="shared" si="24"/>
        <v>8.7000431861027919E-2</v>
      </c>
      <c r="H33" s="500">
        <f t="shared" si="24"/>
        <v>8.5643936906228013E-2</v>
      </c>
      <c r="I33" s="500">
        <f t="shared" si="24"/>
        <v>8.4287441951428121E-2</v>
      </c>
      <c r="J33" s="500">
        <f t="shared" si="24"/>
        <v>8.2930946996628216E-2</v>
      </c>
      <c r="K33" s="500">
        <f t="shared" si="24"/>
        <v>8.2561386573167916E-2</v>
      </c>
      <c r="L33" s="500">
        <f t="shared" si="24"/>
        <v>8.2953038675466398E-2</v>
      </c>
      <c r="M33" s="518">
        <f t="shared" si="24"/>
        <v>8.2953038675466398E-2</v>
      </c>
      <c r="N33" s="519">
        <f t="shared" si="9"/>
        <v>8.6322184383627959E-2</v>
      </c>
      <c r="O33" s="439"/>
      <c r="Q33" s="514" t="s">
        <v>68</v>
      </c>
      <c r="R33" s="411"/>
      <c r="S33" s="478">
        <v>-62961.024085475874</v>
      </c>
      <c r="T33" s="478">
        <v>-69471.685815684832</v>
      </c>
      <c r="U33" s="478">
        <v>-63454.550622434559</v>
      </c>
      <c r="V33" s="478">
        <v>-50855.290879811721</v>
      </c>
      <c r="W33" s="478">
        <v>-50172.532614824369</v>
      </c>
      <c r="X33" s="478">
        <v>-23017.272680241913</v>
      </c>
      <c r="Y33" s="478">
        <v>-25190.305249044988</v>
      </c>
      <c r="Z33" s="478">
        <v>-18199.466271712517</v>
      </c>
      <c r="AA33" s="478">
        <v>-13401.133197060248</v>
      </c>
      <c r="AB33" s="478">
        <v>-13980.06215117327</v>
      </c>
      <c r="AC33" s="499">
        <v>-37711.656040744274</v>
      </c>
      <c r="AD33" s="499">
        <f t="shared" si="13"/>
        <v>-37681.418931934677</v>
      </c>
      <c r="AE33" s="439"/>
    </row>
    <row r="34" spans="1:31" ht="12" customHeight="1" x14ac:dyDescent="0.45">
      <c r="A34" s="504" t="str">
        <f t="shared" si="6"/>
        <v>PV TV</v>
      </c>
      <c r="B34" s="488">
        <f t="shared" ref="B34:J34" si="25">C34/(1+C33)</f>
        <v>1173369.2511902978</v>
      </c>
      <c r="C34" s="487">
        <f t="shared" si="25"/>
        <v>1281819.5606537326</v>
      </c>
      <c r="D34" s="487">
        <f t="shared" si="25"/>
        <v>1398554.7612994923</v>
      </c>
      <c r="E34" s="487">
        <f t="shared" si="25"/>
        <v>1524023.8944692733</v>
      </c>
      <c r="F34" s="487">
        <f t="shared" si="25"/>
        <v>1658681.9621784675</v>
      </c>
      <c r="G34" s="487">
        <f t="shared" si="25"/>
        <v>1802988.0092080915</v>
      </c>
      <c r="H34" s="487">
        <f t="shared" si="25"/>
        <v>1957403.000511395</v>
      </c>
      <c r="I34" s="487">
        <f t="shared" si="25"/>
        <v>2122387.4922925504</v>
      </c>
      <c r="J34" s="487">
        <f t="shared" si="25"/>
        <v>2298399.0969221704</v>
      </c>
      <c r="K34" s="487">
        <f>L34/(1+L33)</f>
        <v>2488158.1132625816</v>
      </c>
      <c r="L34" s="520">
        <f>M30/(M33-F39)</f>
        <v>2694558.3894627281</v>
      </c>
      <c r="M34" s="521" t="s">
        <v>63</v>
      </c>
      <c r="N34" s="522"/>
      <c r="O34" s="439"/>
      <c r="Q34" s="482" t="s">
        <v>69</v>
      </c>
      <c r="R34" s="484"/>
      <c r="S34" s="515">
        <f>(T24-S24)/-S33</f>
        <v>0.52668195096352577</v>
      </c>
      <c r="T34" s="515">
        <f t="shared" ref="T34:AB34" si="26">(U24-T24)/-T33</f>
        <v>0.46851987262798339</v>
      </c>
      <c r="U34" s="515">
        <f t="shared" si="26"/>
        <v>0.52479693673346506</v>
      </c>
      <c r="V34" s="515">
        <f t="shared" si="26"/>
        <v>0.6495130859724394</v>
      </c>
      <c r="W34" s="515">
        <f t="shared" si="26"/>
        <v>0.72050598318358194</v>
      </c>
      <c r="X34" s="515">
        <f t="shared" si="26"/>
        <v>1.7188157329371556</v>
      </c>
      <c r="Y34" s="515">
        <f t="shared" si="26"/>
        <v>1.7188157329371556</v>
      </c>
      <c r="Z34" s="515">
        <f t="shared" si="26"/>
        <v>1.7188157329371558</v>
      </c>
      <c r="AA34" s="515">
        <f t="shared" si="26"/>
        <v>1.7188157329371556</v>
      </c>
      <c r="AB34" s="515">
        <f t="shared" si="26"/>
        <v>1.7188157329371556</v>
      </c>
      <c r="AC34" s="516">
        <f>(AC24*(1+$AD$41)-AC24)/-AC33</f>
        <v>0.66470722100299839</v>
      </c>
      <c r="AD34" s="516">
        <f t="shared" si="13"/>
        <v>1.2196608580603687</v>
      </c>
      <c r="AE34" s="439"/>
    </row>
    <row r="35" spans="1:31" ht="12" customHeight="1" collapsed="1" x14ac:dyDescent="0.45">
      <c r="A35" s="504" t="str">
        <f t="shared" si="6"/>
        <v>PV FCFF</v>
      </c>
      <c r="B35" s="488">
        <f>SUM(C35:L35)</f>
        <v>356474.3078078382</v>
      </c>
      <c r="C35" s="487">
        <f>C30/(1+C33)^1</f>
        <v>3676.5382619040615</v>
      </c>
      <c r="D35" s="487">
        <f>D30/(1+D33)^2</f>
        <v>3714.0868741635572</v>
      </c>
      <c r="E35" s="487">
        <f>E30/(1+E33)^3</f>
        <v>14101.167906972312</v>
      </c>
      <c r="F35" s="487">
        <f>F30/(1+F33)^4</f>
        <v>27870.046966448161</v>
      </c>
      <c r="G35" s="487">
        <f>G30/(1+G33)^5</f>
        <v>31550.836317855392</v>
      </c>
      <c r="H35" s="487">
        <f>H30/(1+H33)^6</f>
        <v>51194.35456247293</v>
      </c>
      <c r="I35" s="487">
        <f>I30/(1+I33)^7</f>
        <v>51744.976409110001</v>
      </c>
      <c r="J35" s="487">
        <f>J30/(1+J33)^8</f>
        <v>57361.463547528183</v>
      </c>
      <c r="K35" s="487">
        <f>K30/(1+K33)^9</f>
        <v>58988.402701681269</v>
      </c>
      <c r="L35" s="487">
        <f>L30/(1+L33)^10</f>
        <v>56272.434259702364</v>
      </c>
      <c r="M35" s="523" t="s">
        <v>20</v>
      </c>
      <c r="N35" s="524">
        <f>M31</f>
        <v>0.26085842634393408</v>
      </c>
      <c r="O35" s="439"/>
      <c r="Q35" s="504" t="s">
        <v>16</v>
      </c>
      <c r="R35" s="488"/>
      <c r="S35" s="487">
        <f t="shared" ref="S35:AC35" si="27">S31+S33</f>
        <v>4016.3475008569221</v>
      </c>
      <c r="T35" s="487">
        <f t="shared" si="27"/>
        <v>4421.3736715825944</v>
      </c>
      <c r="U35" s="487">
        <f t="shared" si="27"/>
        <v>18247.021511014449</v>
      </c>
      <c r="V35" s="487">
        <f t="shared" si="27"/>
        <v>39104.170987284429</v>
      </c>
      <c r="W35" s="487">
        <f t="shared" si="27"/>
        <v>47880.586189802278</v>
      </c>
      <c r="X35" s="487">
        <f t="shared" si="27"/>
        <v>83819.784424866055</v>
      </c>
      <c r="Y35" s="487">
        <f t="shared" si="27"/>
        <v>91175.717235375239</v>
      </c>
      <c r="Z35" s="487">
        <f t="shared" si="27"/>
        <v>108499.15144403614</v>
      </c>
      <c r="AA35" s="487">
        <f t="shared" si="27"/>
        <v>120459.04831279335</v>
      </c>
      <c r="AB35" s="487">
        <f t="shared" si="27"/>
        <v>124850.9768733269</v>
      </c>
      <c r="AC35" s="506">
        <f t="shared" si="27"/>
        <v>107116.88386961428</v>
      </c>
      <c r="AD35" s="506">
        <f t="shared" si="13"/>
        <v>65850.185307334163</v>
      </c>
      <c r="AE35" s="439"/>
    </row>
    <row r="36" spans="1:31" s="481" customFormat="1" ht="12" customHeight="1" x14ac:dyDescent="0.45">
      <c r="A36" s="504" t="str">
        <f t="shared" si="6"/>
        <v>TEV</v>
      </c>
      <c r="B36" s="488">
        <f>B34+B35</f>
        <v>1529843.5589981358</v>
      </c>
      <c r="C36" s="487">
        <f>C34+(D30+(E30+(F30+(G30+(H30+(I30+(J30+(K30+L30/(1+M87))/(1+(L87)))/(1+K87))/(1+J87))/(1+I87))/(1+H87))/(1+G87))/(1+F87))/(1+E87)</f>
        <v>1657393.7151045031</v>
      </c>
      <c r="D36" s="487">
        <f>D34+(E30+(F30+(G30+(H30+(I30+(J30+(K30+L30/(1+M87))/(1+(L87)))/(1+K87))/(1+J87))/(1+I87))/(1+H87))/(1+G87))/(1+F87)</f>
        <v>1803911.0490487346</v>
      </c>
      <c r="E36" s="487">
        <f>E34+(F30+(G30+(H30+(I30+(J30+(K30+L30/(1+M87))/(1+(L87)))/(1+K87))/(1+J87))/(1+I87))/(1+H87))/(1+G87)</f>
        <v>1947499.0603177249</v>
      </c>
      <c r="F36" s="487">
        <f>F34+(G30+(H30+(I30+(J30+(K30+L30/(1+M87))/(1+(L87)))/(1+K87))/(1+J87))/(1+I87))/(1+H87)</f>
        <v>2080469.9212768269</v>
      </c>
      <c r="G36" s="487">
        <f>G34+(H30+(I30+(J30+(K30+L30/(1+M87))/(1+(L87)))/(1+K87))/(1+J87))/(1+I87)</f>
        <v>2213591.1167119872</v>
      </c>
      <c r="H36" s="487">
        <f>H34+(I30+(J30+(K30+L30/(1+M87))/(1+(L87)))/(1+K87))/(1+J87)</f>
        <v>2319351.9902229896</v>
      </c>
      <c r="I36" s="487">
        <f>I34+(J30+(K30+L30/(1+M87))/(1+(L87)))/(1+K87)</f>
        <v>2423668.519228464</v>
      </c>
      <c r="J36" s="487">
        <f>J34+(K30+L30/(1+M87))/(1+(L87))</f>
        <v>2516166.4932899596</v>
      </c>
      <c r="K36" s="487">
        <f>K34+L30/(1+M87)</f>
        <v>2603445.639512131</v>
      </c>
      <c r="L36" s="487">
        <f>L34</f>
        <v>2694558.3894627281</v>
      </c>
      <c r="M36" s="523" t="s">
        <v>62</v>
      </c>
      <c r="N36" s="524">
        <f>F39</f>
        <v>4.3200000000000002E-2</v>
      </c>
      <c r="O36" s="414"/>
      <c r="Q36" s="482" t="s">
        <v>20</v>
      </c>
      <c r="R36" s="484"/>
      <c r="S36" s="483">
        <v>0.94244040786008509</v>
      </c>
      <c r="T36" s="483">
        <v>0.94244040786008521</v>
      </c>
      <c r="U36" s="483">
        <v>0.77843560152323699</v>
      </c>
      <c r="V36" s="483">
        <v>0.56653600437798057</v>
      </c>
      <c r="W36" s="483">
        <v>0.51274629762457291</v>
      </c>
      <c r="X36" s="483">
        <v>0.21586965876607608</v>
      </c>
      <c r="Y36" s="483">
        <v>0.21688552360829272</v>
      </c>
      <c r="Z36" s="483">
        <v>0.14390490312671897</v>
      </c>
      <c r="AA36" s="483">
        <v>0.10029261924648851</v>
      </c>
      <c r="AB36" s="483">
        <v>0.10088020276262612</v>
      </c>
      <c r="AC36" s="512">
        <v>0.26085842634393408</v>
      </c>
      <c r="AD36" s="512">
        <f t="shared" si="13"/>
        <v>0.36481591061643281</v>
      </c>
      <c r="AE36" s="414"/>
    </row>
    <row r="37" spans="1:31" s="481" customFormat="1" ht="12" customHeight="1" x14ac:dyDescent="0.45">
      <c r="A37" s="504" t="str">
        <f t="shared" si="6"/>
        <v>TEV/EBIT</v>
      </c>
      <c r="B37" s="525">
        <f>B34/B21</f>
        <v>13.95606797451344</v>
      </c>
      <c r="C37" s="526">
        <f t="shared" ref="C37:L37" si="28">C34/C21</f>
        <v>16.536363973178581</v>
      </c>
      <c r="D37" s="526">
        <f t="shared" si="28"/>
        <v>16.114943479616954</v>
      </c>
      <c r="E37" s="526">
        <f t="shared" si="28"/>
        <v>15.647144202046237</v>
      </c>
      <c r="F37" s="526">
        <f t="shared" si="28"/>
        <v>15.234282700888709</v>
      </c>
      <c r="G37" s="526">
        <f t="shared" si="28"/>
        <v>14.961699067687778</v>
      </c>
      <c r="H37" s="526">
        <f t="shared" si="28"/>
        <v>14.677496634958995</v>
      </c>
      <c r="I37" s="526">
        <f t="shared" si="28"/>
        <v>14.382465963940261</v>
      </c>
      <c r="J37" s="526">
        <f t="shared" si="28"/>
        <v>14.077423344109596</v>
      </c>
      <c r="K37" s="526">
        <f t="shared" si="28"/>
        <v>14.191822181947311</v>
      </c>
      <c r="L37" s="526">
        <f t="shared" si="28"/>
        <v>14.576381271790043</v>
      </c>
      <c r="M37" s="527" t="s">
        <v>64</v>
      </c>
      <c r="N37" s="528"/>
      <c r="O37" s="414"/>
      <c r="Q37" s="482" t="s">
        <v>18</v>
      </c>
      <c r="R37" s="484"/>
      <c r="S37" s="483">
        <v>0.28916248094097335</v>
      </c>
      <c r="T37" s="483">
        <v>0.24530206867454502</v>
      </c>
      <c r="U37" s="483">
        <v>0.22396807412199451</v>
      </c>
      <c r="V37" s="483">
        <v>0.21639817696321487</v>
      </c>
      <c r="W37" s="483">
        <v>0.21043678938196173</v>
      </c>
      <c r="X37" s="483">
        <v>0.21849307083352659</v>
      </c>
      <c r="Y37" s="483">
        <v>0.11</v>
      </c>
      <c r="Z37" s="483">
        <v>0.23799371695152932</v>
      </c>
      <c r="AA37" s="483">
        <v>0.2452666117994084</v>
      </c>
      <c r="AB37" s="483">
        <v>0.24800769714019108</v>
      </c>
      <c r="AC37" s="512">
        <v>0.24236451695452566</v>
      </c>
      <c r="AD37" s="512">
        <f t="shared" si="13"/>
        <v>0.23098089553676193</v>
      </c>
      <c r="AE37" s="414"/>
    </row>
    <row r="38" spans="1:31" ht="12" customHeight="1" thickBot="1" x14ac:dyDescent="0.5">
      <c r="A38" s="529" t="s">
        <v>67</v>
      </c>
      <c r="B38" s="530"/>
      <c r="C38" s="530"/>
      <c r="D38" s="520">
        <f>B36</f>
        <v>1529843.5589981358</v>
      </c>
      <c r="E38" s="529" t="s">
        <v>621</v>
      </c>
      <c r="F38" s="531"/>
      <c r="G38" s="431" t="s">
        <v>338</v>
      </c>
      <c r="H38" s="431"/>
      <c r="I38" s="431"/>
      <c r="J38" s="431"/>
      <c r="K38" s="431"/>
      <c r="L38" s="431"/>
      <c r="M38" s="431"/>
      <c r="N38" s="532"/>
      <c r="Q38" s="517" t="s">
        <v>10</v>
      </c>
      <c r="R38" s="484"/>
      <c r="S38" s="483">
        <v>9.2426411680227527E-2</v>
      </c>
      <c r="T38" s="483">
        <v>9.1069916725427622E-2</v>
      </c>
      <c r="U38" s="483">
        <v>8.9713421770627716E-2</v>
      </c>
      <c r="V38" s="483">
        <v>8.8356926815827824E-2</v>
      </c>
      <c r="W38" s="483">
        <v>8.7000431861027919E-2</v>
      </c>
      <c r="X38" s="483">
        <v>8.5643936906228013E-2</v>
      </c>
      <c r="Y38" s="483">
        <v>8.4287441951428121E-2</v>
      </c>
      <c r="Z38" s="483">
        <v>8.2930946996628216E-2</v>
      </c>
      <c r="AA38" s="483">
        <v>8.2561386573167916E-2</v>
      </c>
      <c r="AB38" s="483">
        <v>8.2953038675466398E-2</v>
      </c>
      <c r="AC38" s="519">
        <v>8.2953038675466398E-2</v>
      </c>
      <c r="AD38" s="519">
        <f t="shared" si="13"/>
        <v>8.6322184383627959E-2</v>
      </c>
    </row>
    <row r="39" spans="1:31" ht="12" customHeight="1" x14ac:dyDescent="0.45">
      <c r="A39" s="440" t="s">
        <v>7</v>
      </c>
      <c r="B39" s="485"/>
      <c r="C39" s="485"/>
      <c r="D39" s="478">
        <v>81592</v>
      </c>
      <c r="E39" s="440" t="s">
        <v>51</v>
      </c>
      <c r="F39" s="473">
        <v>4.3200000000000002E-2</v>
      </c>
      <c r="G39" s="1203" t="str">
        <f>pay!B3</f>
        <v>Das Unternehmen
Meta Platforms, Inc. ist ein globaler Plattformkonzern für digitale Kommunikation, Werbung und künstliche Intelligenz und prägt mit Facebook, Instagram und WhatsApp zentrale Nutzungsgewohnheiten im Internet. Auf Basis der letzten vier Quartale steht das Unternehmen für einen Jahresumsatz von USD 200.966 Millionen, ein operatives Ergebnis von USD 84.076 Millionen und eine operative Marge von 41,8%. Strategisch richtet Meta den Konzern derzeit noch stärker auf KI-gestützte Produkterlebnisse, automatisierte Werbelösungen und den Ausbau von Echtzeitinhalten aus, während sich die Branche insgesamt mit hohem Tempo in Richtung KI-basierter Werbeaussteuerung und intensiverem Wettbewerb um digitale Werbebudgets bewegt.
Aktuelle Entwicklungen
Meta erweitert aktuell die Fähigkeiten von Meta AI durch neue Inhalte und Partnerschaften mit internationalen Medienhäusern und verankert KI damit tiefer in den eigenen Apps und Endgeräten. Parallel verschärft sich im Branchenumfeld der Wettbewerb zwischen großen Plattformen, weil Werbekunden zunehmend Systeme bevorzugen, die Kampagnen automatisiert erstellen, personalisieren und optimieren; genau in diesem Wandel zählt Meta derzeit zu den strategisch am stärksten positionierten Anbietern.</v>
      </c>
      <c r="H39" s="1204"/>
      <c r="I39" s="1204"/>
      <c r="J39" s="1204"/>
      <c r="K39" s="1204"/>
      <c r="L39" s="1204"/>
      <c r="M39" s="1204"/>
      <c r="N39" s="1205"/>
      <c r="O39" s="533"/>
      <c r="Q39" s="504" t="s">
        <v>48</v>
      </c>
      <c r="R39" s="488">
        <f t="shared" ref="R39:AA39" si="29">S39/(1+S38)</f>
        <v>1173369.2511902978</v>
      </c>
      <c r="S39" s="487">
        <f t="shared" si="29"/>
        <v>1281819.5606537326</v>
      </c>
      <c r="T39" s="487">
        <f t="shared" si="29"/>
        <v>1398554.7612994923</v>
      </c>
      <c r="U39" s="487">
        <f t="shared" si="29"/>
        <v>1524023.8944692733</v>
      </c>
      <c r="V39" s="487">
        <f t="shared" si="29"/>
        <v>1658681.9621784675</v>
      </c>
      <c r="W39" s="487">
        <f t="shared" si="29"/>
        <v>1802988.0092080915</v>
      </c>
      <c r="X39" s="487">
        <f t="shared" si="29"/>
        <v>1957403.000511395</v>
      </c>
      <c r="Y39" s="487">
        <f t="shared" si="29"/>
        <v>2122387.4922925504</v>
      </c>
      <c r="Z39" s="487">
        <f t="shared" si="29"/>
        <v>2298399.0969221704</v>
      </c>
      <c r="AA39" s="487">
        <f t="shared" si="29"/>
        <v>2488158.1132625816</v>
      </c>
      <c r="AB39" s="520">
        <f>AC35/(AC38-V44)</f>
        <v>2694558.3894627281</v>
      </c>
      <c r="AC39" s="521" t="s">
        <v>63</v>
      </c>
      <c r="AD39" s="522"/>
      <c r="AE39" s="533"/>
    </row>
    <row r="40" spans="1:31" ht="12" customHeight="1" x14ac:dyDescent="0.45">
      <c r="A40" s="440" t="s">
        <v>65</v>
      </c>
      <c r="B40" s="485"/>
      <c r="C40" s="485"/>
      <c r="D40" s="478">
        <v>0</v>
      </c>
      <c r="E40" s="440" t="s">
        <v>66</v>
      </c>
      <c r="F40" s="534">
        <v>6.6912423369693594E-2</v>
      </c>
      <c r="G40" s="1206"/>
      <c r="H40" s="1204"/>
      <c r="I40" s="1204"/>
      <c r="J40" s="1204"/>
      <c r="K40" s="1204"/>
      <c r="L40" s="1204"/>
      <c r="M40" s="1204"/>
      <c r="N40" s="1205"/>
      <c r="O40" s="533"/>
      <c r="Q40" s="504" t="s">
        <v>47</v>
      </c>
      <c r="R40" s="488">
        <f>SUM(S40:AB40)</f>
        <v>356474.3078078382</v>
      </c>
      <c r="S40" s="487">
        <f>S35/(1+S38)^1</f>
        <v>3676.5382619040683</v>
      </c>
      <c r="T40" s="487">
        <f>T35/(1+T38)^2</f>
        <v>3714.0868741635572</v>
      </c>
      <c r="U40" s="487">
        <f>U35/(1+U38)^3</f>
        <v>14101.167906972312</v>
      </c>
      <c r="V40" s="487">
        <f>V35/(1+V38)^4</f>
        <v>27870.046966448161</v>
      </c>
      <c r="W40" s="487">
        <f>W35/(1+W38)^5</f>
        <v>31550.836317855392</v>
      </c>
      <c r="X40" s="487">
        <f>X35/(1+X38)^6</f>
        <v>51194.35456247293</v>
      </c>
      <c r="Y40" s="487">
        <f>Y35/(1+Y38)^7</f>
        <v>51744.976409110001</v>
      </c>
      <c r="Z40" s="487">
        <f>Z35/(1+Z38)^8</f>
        <v>57361.463547528183</v>
      </c>
      <c r="AA40" s="487">
        <f>AA35/(1+AA38)^9</f>
        <v>58988.402701681269</v>
      </c>
      <c r="AB40" s="487">
        <f>AB35/(1+AB38)^10</f>
        <v>56272.434259702364</v>
      </c>
      <c r="AC40" s="523" t="s">
        <v>20</v>
      </c>
      <c r="AD40" s="524">
        <f>AC36</f>
        <v>0.26085842634393408</v>
      </c>
      <c r="AE40" s="533"/>
    </row>
    <row r="41" spans="1:31" ht="12" customHeight="1" x14ac:dyDescent="0.45">
      <c r="A41" s="440" t="s">
        <v>28</v>
      </c>
      <c r="B41" s="485"/>
      <c r="C41" s="485"/>
      <c r="D41" s="478">
        <v>-96862.515253533027</v>
      </c>
      <c r="E41" s="440" t="s">
        <v>43</v>
      </c>
      <c r="F41" s="535">
        <v>0.8</v>
      </c>
      <c r="G41" s="1206"/>
      <c r="H41" s="1204"/>
      <c r="I41" s="1204"/>
      <c r="J41" s="1204"/>
      <c r="K41" s="1204"/>
      <c r="L41" s="1204"/>
      <c r="M41" s="1204"/>
      <c r="N41" s="1205"/>
      <c r="O41" s="533" t="s">
        <v>24</v>
      </c>
      <c r="Q41" s="504" t="s">
        <v>14</v>
      </c>
      <c r="R41" s="488">
        <f>R39+R40</f>
        <v>1529843.5589981358</v>
      </c>
      <c r="S41" s="487">
        <f>S39+(T35+(U35+(V35+(W35+(X35+(Y35+(Z35+(AA35+AB35/(1+AC87))/(1+(AB87)))/(1+AA87))/(1+Z87))/(1+Y87))/(1+X87))/(1+W87))/(1+V87))/(1+U87)</f>
        <v>1657393.7151045031</v>
      </c>
      <c r="T41" s="487">
        <f>T39+(U35+(V35+(W35+(X35+(Y35+(Z35+(AA35+AB35/(1+AC87))/(1+(AB87)))/(1+AA87))/(1+Z87))/(1+Y87))/(1+X87))/(1+W87))/(1+V87)</f>
        <v>1803911.0490487346</v>
      </c>
      <c r="U41" s="487">
        <f>U39+(V35+(W35+(X35+(Y35+(Z35+(AA35+AB35/(1+AC87))/(1+(AB87)))/(1+AA87))/(1+Z87))/(1+Y87))/(1+X87))/(1+W87)</f>
        <v>1947499.0603177249</v>
      </c>
      <c r="V41" s="487">
        <f>V39+(W35+(X35+(Y35+(Z35+(AA35+AB35/(1+AC87))/(1+(AB87)))/(1+AA87))/(1+Z87))/(1+Y87))/(1+X87)</f>
        <v>2080469.9212768269</v>
      </c>
      <c r="W41" s="487">
        <f>W39+(X35+(Y35+(Z35+(AA35+AB35/(1+AC87))/(1+(AB87)))/(1+AA87))/(1+Z87))/(1+Y87)</f>
        <v>2213591.1167119872</v>
      </c>
      <c r="X41" s="487">
        <f>X39+(Y35+(Z35+(AA35+AB35/(1+AC87))/(1+(AB87)))/(1+AA87))/(1+Z87)</f>
        <v>2319351.9902229896</v>
      </c>
      <c r="Y41" s="487">
        <f>Y39+(Z35+(AA35+AB35/(1+AC87))/(1+(AB87)))/(1+AA87)</f>
        <v>2423668.519228464</v>
      </c>
      <c r="Z41" s="487">
        <f>Z39+(AA35+AB35/(1+AC87))/(1+(AB87))</f>
        <v>2516166.4932899596</v>
      </c>
      <c r="AA41" s="487">
        <f>AA39+AB35/(1+AC87)</f>
        <v>2603445.639512131</v>
      </c>
      <c r="AB41" s="487">
        <f>AB39</f>
        <v>2694558.3894627281</v>
      </c>
      <c r="AC41" s="523" t="s">
        <v>62</v>
      </c>
      <c r="AD41" s="524">
        <f>V44</f>
        <v>4.3200000000000002E-2</v>
      </c>
      <c r="AE41" s="533"/>
    </row>
    <row r="42" spans="1:31" ht="12" customHeight="1" x14ac:dyDescent="0.45">
      <c r="A42" s="440" t="s">
        <v>286</v>
      </c>
      <c r="B42" s="485"/>
      <c r="C42" s="485"/>
      <c r="D42" s="478">
        <v>0</v>
      </c>
      <c r="E42" s="440" t="s">
        <v>89</v>
      </c>
      <c r="F42" s="534">
        <v>0</v>
      </c>
      <c r="G42" s="1206"/>
      <c r="H42" s="1204"/>
      <c r="I42" s="1204"/>
      <c r="J42" s="1204"/>
      <c r="K42" s="1204"/>
      <c r="L42" s="1204"/>
      <c r="M42" s="1204"/>
      <c r="N42" s="1205"/>
      <c r="Q42" s="504" t="s">
        <v>50</v>
      </c>
      <c r="R42" s="525">
        <f t="shared" ref="R42:AB42" si="30">R39/R26</f>
        <v>13.95606797451344</v>
      </c>
      <c r="S42" s="526">
        <f t="shared" si="30"/>
        <v>16.536363973178581</v>
      </c>
      <c r="T42" s="526">
        <f t="shared" si="30"/>
        <v>16.114943479616954</v>
      </c>
      <c r="U42" s="526">
        <f t="shared" si="30"/>
        <v>15.647144202046237</v>
      </c>
      <c r="V42" s="526">
        <f t="shared" si="30"/>
        <v>15.234282700888709</v>
      </c>
      <c r="W42" s="526">
        <f t="shared" si="30"/>
        <v>14.961699067687778</v>
      </c>
      <c r="X42" s="526">
        <f t="shared" si="30"/>
        <v>14.677496634958995</v>
      </c>
      <c r="Y42" s="526">
        <f t="shared" si="30"/>
        <v>14.382465963940261</v>
      </c>
      <c r="Z42" s="526">
        <f t="shared" si="30"/>
        <v>14.077423344109596</v>
      </c>
      <c r="AA42" s="526">
        <f t="shared" si="30"/>
        <v>14.191822181947311</v>
      </c>
      <c r="AB42" s="526">
        <f t="shared" si="30"/>
        <v>14.576381271790043</v>
      </c>
      <c r="AC42" s="527" t="s">
        <v>64</v>
      </c>
      <c r="AD42" s="528"/>
      <c r="AE42" s="533"/>
    </row>
    <row r="43" spans="1:31" ht="12" customHeight="1" x14ac:dyDescent="0.45">
      <c r="A43" s="440" t="s">
        <v>8</v>
      </c>
      <c r="B43" s="485"/>
      <c r="C43" s="485"/>
      <c r="D43" s="478">
        <v>0</v>
      </c>
      <c r="E43" s="440" t="s">
        <v>44</v>
      </c>
      <c r="F43" s="473">
        <f>F39+F41*F40+F42</f>
        <v>9.6729938695754886E-2</v>
      </c>
      <c r="G43" s="1206"/>
      <c r="H43" s="1204"/>
      <c r="I43" s="1204"/>
      <c r="J43" s="1204"/>
      <c r="K43" s="1204"/>
      <c r="L43" s="1204"/>
      <c r="M43" s="1204"/>
      <c r="N43" s="1205"/>
      <c r="Q43" s="529" t="s">
        <v>67</v>
      </c>
      <c r="R43" s="530"/>
      <c r="S43" s="530"/>
      <c r="T43" s="520">
        <f>R41</f>
        <v>1529843.5589981358</v>
      </c>
      <c r="U43" s="1207" t="s">
        <v>621</v>
      </c>
      <c r="V43" s="1208"/>
      <c r="W43" s="431" t="s">
        <v>622</v>
      </c>
      <c r="X43" s="431"/>
      <c r="Y43" s="431"/>
      <c r="Z43" s="431"/>
      <c r="AA43" s="431"/>
      <c r="AB43" s="431"/>
      <c r="AC43" s="431"/>
      <c r="AD43" s="532"/>
    </row>
    <row r="44" spans="1:31" ht="12" customHeight="1" x14ac:dyDescent="0.45">
      <c r="A44" s="440" t="s">
        <v>287</v>
      </c>
      <c r="B44" s="485"/>
      <c r="C44" s="485"/>
      <c r="D44" s="478">
        <v>0</v>
      </c>
      <c r="E44" s="440" t="s">
        <v>45</v>
      </c>
      <c r="F44" s="534">
        <v>5.5586666666666673E-2</v>
      </c>
      <c r="G44" s="1206"/>
      <c r="H44" s="1204"/>
      <c r="I44" s="1204"/>
      <c r="J44" s="1204"/>
      <c r="K44" s="1204"/>
      <c r="L44" s="1204"/>
      <c r="M44" s="1204"/>
      <c r="N44" s="1205"/>
      <c r="Q44" s="440" t="s">
        <v>7</v>
      </c>
      <c r="R44" s="485"/>
      <c r="S44" s="485"/>
      <c r="T44" s="478">
        <v>81592</v>
      </c>
      <c r="U44" s="440" t="s">
        <v>51</v>
      </c>
      <c r="V44" s="473">
        <v>4.3200000000000002E-2</v>
      </c>
      <c r="W44" s="1203" t="s">
        <v>367</v>
      </c>
      <c r="X44" s="1204"/>
      <c r="Y44" s="1204"/>
      <c r="Z44" s="1204"/>
      <c r="AA44" s="1204"/>
      <c r="AB44" s="1204"/>
      <c r="AC44" s="1204"/>
      <c r="AD44" s="1205"/>
    </row>
    <row r="45" spans="1:31" ht="12" customHeight="1" x14ac:dyDescent="0.45">
      <c r="A45" s="440" t="s">
        <v>23</v>
      </c>
      <c r="B45" s="485"/>
      <c r="C45" s="485"/>
      <c r="D45" s="478">
        <v>0</v>
      </c>
      <c r="E45" s="440" t="s">
        <v>4</v>
      </c>
      <c r="F45" s="534">
        <v>0.25</v>
      </c>
      <c r="G45" s="1206"/>
      <c r="H45" s="1204"/>
      <c r="I45" s="1204"/>
      <c r="J45" s="1204"/>
      <c r="K45" s="1204"/>
      <c r="L45" s="1204"/>
      <c r="M45" s="1204"/>
      <c r="N45" s="1205"/>
      <c r="Q45" s="440" t="s">
        <v>65</v>
      </c>
      <c r="R45" s="485"/>
      <c r="S45" s="485"/>
      <c r="T45" s="478">
        <v>0</v>
      </c>
      <c r="U45" s="440" t="s">
        <v>66</v>
      </c>
      <c r="V45" s="473">
        <v>6.6912423369693594E-2</v>
      </c>
      <c r="W45" s="1206"/>
      <c r="X45" s="1204"/>
      <c r="Y45" s="1204"/>
      <c r="Z45" s="1204"/>
      <c r="AA45" s="1204"/>
      <c r="AB45" s="1204"/>
      <c r="AC45" s="1204"/>
      <c r="AD45" s="1205"/>
    </row>
    <row r="46" spans="1:31" ht="12" customHeight="1" x14ac:dyDescent="0.45">
      <c r="A46" s="440" t="s">
        <v>27</v>
      </c>
      <c r="B46" s="485"/>
      <c r="C46" s="485"/>
      <c r="D46" s="509">
        <v>0</v>
      </c>
      <c r="E46" s="440" t="s">
        <v>46</v>
      </c>
      <c r="F46" s="534">
        <f>F44*(1-F45)</f>
        <v>4.1690000000000005E-2</v>
      </c>
      <c r="G46" s="1206"/>
      <c r="H46" s="1204"/>
      <c r="I46" s="1204"/>
      <c r="J46" s="1204"/>
      <c r="K46" s="1204"/>
      <c r="L46" s="1204"/>
      <c r="M46" s="1204"/>
      <c r="N46" s="1205"/>
      <c r="Q46" s="440" t="s">
        <v>28</v>
      </c>
      <c r="R46" s="485"/>
      <c r="S46" s="485"/>
      <c r="T46" s="478">
        <v>-96862.515253533027</v>
      </c>
      <c r="U46" s="440" t="s">
        <v>43</v>
      </c>
      <c r="V46" s="535">
        <v>0.8</v>
      </c>
      <c r="W46" s="1206"/>
      <c r="X46" s="1204"/>
      <c r="Y46" s="1204"/>
      <c r="Z46" s="1204"/>
      <c r="AA46" s="1204"/>
      <c r="AB46" s="1204"/>
      <c r="AC46" s="1204"/>
      <c r="AD46" s="1205"/>
    </row>
    <row r="47" spans="1:31" ht="12" customHeight="1" x14ac:dyDescent="0.45">
      <c r="A47" s="440" t="s">
        <v>26</v>
      </c>
      <c r="B47" s="485"/>
      <c r="C47" s="485"/>
      <c r="D47" s="509">
        <v>0</v>
      </c>
      <c r="E47" s="440" t="s">
        <v>12</v>
      </c>
      <c r="F47" s="411">
        <v>1712180.20692</v>
      </c>
      <c r="G47" s="1206"/>
      <c r="H47" s="1204"/>
      <c r="I47" s="1204"/>
      <c r="J47" s="1204"/>
      <c r="K47" s="1204"/>
      <c r="L47" s="1204"/>
      <c r="M47" s="1204"/>
      <c r="N47" s="1205"/>
      <c r="Q47" s="440" t="s">
        <v>654</v>
      </c>
      <c r="R47" s="485"/>
      <c r="S47" s="485"/>
      <c r="T47" s="478">
        <v>0</v>
      </c>
      <c r="U47" s="440" t="s">
        <v>89</v>
      </c>
      <c r="V47" s="456">
        <v>0</v>
      </c>
      <c r="W47" s="1206"/>
      <c r="X47" s="1204"/>
      <c r="Y47" s="1204"/>
      <c r="Z47" s="1204"/>
      <c r="AA47" s="1204"/>
      <c r="AB47" s="1204"/>
      <c r="AC47" s="1204"/>
      <c r="AD47" s="1205"/>
    </row>
    <row r="48" spans="1:31" ht="12" customHeight="1" x14ac:dyDescent="0.45">
      <c r="A48" s="440" t="s">
        <v>200</v>
      </c>
      <c r="B48" s="485"/>
      <c r="C48" s="485"/>
      <c r="D48" s="478">
        <v>27524</v>
      </c>
      <c r="E48" s="440" t="s">
        <v>13</v>
      </c>
      <c r="F48" s="411">
        <v>96862.515253533027</v>
      </c>
      <c r="G48" s="1206"/>
      <c r="H48" s="1204"/>
      <c r="I48" s="1204"/>
      <c r="J48" s="1204"/>
      <c r="K48" s="1204"/>
      <c r="L48" s="1204"/>
      <c r="M48" s="1204"/>
      <c r="N48" s="1205"/>
      <c r="Q48" s="440" t="s">
        <v>8</v>
      </c>
      <c r="R48" s="485"/>
      <c r="S48" s="485"/>
      <c r="T48" s="478">
        <v>0</v>
      </c>
      <c r="U48" s="440" t="s">
        <v>44</v>
      </c>
      <c r="V48" s="473">
        <f>V44+V46*V45+V47</f>
        <v>9.6729938695754886E-2</v>
      </c>
      <c r="W48" s="1206"/>
      <c r="X48" s="1204"/>
      <c r="Y48" s="1204"/>
      <c r="Z48" s="1204"/>
      <c r="AA48" s="1204"/>
      <c r="AB48" s="1204"/>
      <c r="AC48" s="1204"/>
      <c r="AD48" s="1205"/>
    </row>
    <row r="49" spans="1:30" ht="12" customHeight="1" x14ac:dyDescent="0.45">
      <c r="A49" s="504" t="s">
        <v>17</v>
      </c>
      <c r="B49" s="536"/>
      <c r="C49" s="536"/>
      <c r="D49" s="487">
        <f>SUM(D38:D48)</f>
        <v>1542097.0437446027</v>
      </c>
      <c r="E49" s="504" t="s">
        <v>10</v>
      </c>
      <c r="F49" s="537">
        <f>F43*F47/(F47+F48)+F46*F48/(F47+F48)</f>
        <v>9.3782906635027433E-2</v>
      </c>
      <c r="G49" s="1206"/>
      <c r="H49" s="1204"/>
      <c r="I49" s="1204"/>
      <c r="J49" s="1204"/>
      <c r="K49" s="1204"/>
      <c r="L49" s="1204"/>
      <c r="M49" s="1204"/>
      <c r="N49" s="1205"/>
      <c r="Q49" s="440" t="s">
        <v>655</v>
      </c>
      <c r="R49" s="485"/>
      <c r="S49" s="485"/>
      <c r="T49" s="478">
        <v>0</v>
      </c>
      <c r="U49" s="440" t="s">
        <v>45</v>
      </c>
      <c r="V49" s="473">
        <v>5.5586666666666673E-2</v>
      </c>
      <c r="W49" s="1206"/>
      <c r="X49" s="1204"/>
      <c r="Y49" s="1204"/>
      <c r="Z49" s="1204"/>
      <c r="AA49" s="1204"/>
      <c r="AB49" s="1204"/>
      <c r="AC49" s="1204"/>
      <c r="AD49" s="1205"/>
    </row>
    <row r="50" spans="1:30" ht="12" customHeight="1" x14ac:dyDescent="0.45">
      <c r="A50" s="538" t="s">
        <v>204</v>
      </c>
      <c r="B50" s="539"/>
      <c r="C50" s="540"/>
      <c r="D50" s="538" t="s">
        <v>205</v>
      </c>
      <c r="E50" s="541"/>
      <c r="F50" s="542"/>
      <c r="G50" s="543" t="s">
        <v>81</v>
      </c>
      <c r="H50" s="431"/>
      <c r="I50" s="431"/>
      <c r="J50" s="544"/>
      <c r="K50" s="545"/>
      <c r="L50" s="546"/>
      <c r="M50" s="431"/>
      <c r="N50" s="532"/>
      <c r="Q50" s="440" t="s">
        <v>23</v>
      </c>
      <c r="R50" s="485"/>
      <c r="S50" s="485"/>
      <c r="T50" s="478">
        <v>0</v>
      </c>
      <c r="U50" s="440" t="s">
        <v>4</v>
      </c>
      <c r="V50" s="473">
        <v>0.25</v>
      </c>
      <c r="W50" s="1206"/>
      <c r="X50" s="1204"/>
      <c r="Y50" s="1204"/>
      <c r="Z50" s="1204"/>
      <c r="AA50" s="1204"/>
      <c r="AB50" s="1204"/>
      <c r="AC50" s="1204"/>
      <c r="AD50" s="1205"/>
    </row>
    <row r="51" spans="1:30" ht="12" customHeight="1" x14ac:dyDescent="0.45">
      <c r="A51" s="761" t="s">
        <v>454</v>
      </c>
      <c r="B51" s="143"/>
      <c r="C51" s="548">
        <v>0.98901804285301986</v>
      </c>
      <c r="D51" s="547" t="s">
        <v>444</v>
      </c>
      <c r="E51" s="418"/>
      <c r="F51" s="548">
        <v>0.37210274374769864</v>
      </c>
      <c r="G51" s="1189" t="s">
        <v>653</v>
      </c>
      <c r="H51" s="1190"/>
      <c r="I51" s="1190"/>
      <c r="J51" s="1190"/>
      <c r="K51" s="1190"/>
      <c r="L51" s="1190"/>
      <c r="M51" s="1190"/>
      <c r="N51" s="1191"/>
      <c r="Q51" s="440" t="s">
        <v>27</v>
      </c>
      <c r="R51" s="485"/>
      <c r="S51" s="485"/>
      <c r="T51" s="478">
        <v>0</v>
      </c>
      <c r="U51" s="440" t="s">
        <v>46</v>
      </c>
      <c r="V51" s="473">
        <f>V49*(1-V50)</f>
        <v>4.1690000000000005E-2</v>
      </c>
      <c r="W51" s="1206"/>
      <c r="X51" s="1204"/>
      <c r="Y51" s="1204"/>
      <c r="Z51" s="1204"/>
      <c r="AA51" s="1204"/>
      <c r="AB51" s="1204"/>
      <c r="AC51" s="1204"/>
      <c r="AD51" s="1205"/>
    </row>
    <row r="52" spans="1:30" ht="12" customHeight="1" x14ac:dyDescent="0.45">
      <c r="A52" s="440" t="s">
        <v>455</v>
      </c>
      <c r="B52" s="143"/>
      <c r="C52" s="548">
        <v>1.0981957146980087E-2</v>
      </c>
      <c r="D52" s="547" t="s">
        <v>447</v>
      </c>
      <c r="E52" s="418"/>
      <c r="F52" s="548">
        <v>0.26779156673268117</v>
      </c>
      <c r="G52" s="1189"/>
      <c r="H52" s="1190"/>
      <c r="I52" s="1190"/>
      <c r="J52" s="1190"/>
      <c r="K52" s="1190"/>
      <c r="L52" s="1190"/>
      <c r="M52" s="1190"/>
      <c r="N52" s="1191"/>
      <c r="Q52" s="440" t="s">
        <v>26</v>
      </c>
      <c r="R52" s="485"/>
      <c r="S52" s="485"/>
      <c r="T52" s="478">
        <v>0</v>
      </c>
      <c r="U52" s="440" t="s">
        <v>12</v>
      </c>
      <c r="V52" s="411">
        <v>1712180.20692</v>
      </c>
      <c r="W52" s="1206"/>
      <c r="X52" s="1204"/>
      <c r="Y52" s="1204"/>
      <c r="Z52" s="1204"/>
      <c r="AA52" s="1204"/>
      <c r="AB52" s="1204"/>
      <c r="AC52" s="1204"/>
      <c r="AD52" s="1205"/>
    </row>
    <row r="53" spans="1:30" ht="12" customHeight="1" x14ac:dyDescent="0.45">
      <c r="A53" s="440">
        <v>0</v>
      </c>
      <c r="B53" s="143"/>
      <c r="C53" s="548">
        <v>0</v>
      </c>
      <c r="D53" s="547" t="s">
        <v>446</v>
      </c>
      <c r="E53" s="418"/>
      <c r="F53" s="548">
        <v>0.23172576455718877</v>
      </c>
      <c r="G53" s="1189"/>
      <c r="H53" s="1190"/>
      <c r="I53" s="1190"/>
      <c r="J53" s="1190"/>
      <c r="K53" s="1190"/>
      <c r="L53" s="1190"/>
      <c r="M53" s="1190"/>
      <c r="N53" s="1191"/>
      <c r="Q53" s="440" t="s">
        <v>656</v>
      </c>
      <c r="R53" s="485"/>
      <c r="S53" s="485"/>
      <c r="T53" s="478">
        <v>27524</v>
      </c>
      <c r="U53" s="440" t="s">
        <v>13</v>
      </c>
      <c r="V53" s="411">
        <v>96862.515253533027</v>
      </c>
      <c r="W53" s="1206"/>
      <c r="X53" s="1204"/>
      <c r="Y53" s="1204"/>
      <c r="Z53" s="1204"/>
      <c r="AA53" s="1204"/>
      <c r="AB53" s="1204"/>
      <c r="AC53" s="1204"/>
      <c r="AD53" s="1205"/>
    </row>
    <row r="54" spans="1:30" ht="12" customHeight="1" x14ac:dyDescent="0.45">
      <c r="A54" s="440">
        <v>0</v>
      </c>
      <c r="B54" s="143"/>
      <c r="C54" s="548">
        <v>0</v>
      </c>
      <c r="D54" s="547" t="s">
        <v>448</v>
      </c>
      <c r="E54" s="418"/>
      <c r="F54" s="548">
        <v>0.10804812754396266</v>
      </c>
      <c r="G54" s="1189"/>
      <c r="H54" s="1190"/>
      <c r="I54" s="1190"/>
      <c r="J54" s="1190"/>
      <c r="K54" s="1190"/>
      <c r="L54" s="1190"/>
      <c r="M54" s="1190"/>
      <c r="N54" s="1191"/>
      <c r="Q54" s="504" t="s">
        <v>17</v>
      </c>
      <c r="R54" s="536"/>
      <c r="S54" s="536"/>
      <c r="T54" s="487">
        <f>SUM(T43:T53)</f>
        <v>1542097.0437446027</v>
      </c>
      <c r="U54" s="504" t="s">
        <v>10</v>
      </c>
      <c r="V54" s="805">
        <f>V48*V52/(V52+V53)+V51*V53/(V52+V53)</f>
        <v>9.3782906635027433E-2</v>
      </c>
      <c r="W54" s="1206"/>
      <c r="X54" s="1204"/>
      <c r="Y54" s="1204"/>
      <c r="Z54" s="1204"/>
      <c r="AA54" s="1204"/>
      <c r="AB54" s="1204"/>
      <c r="AC54" s="1204"/>
      <c r="AD54" s="1205"/>
    </row>
    <row r="55" spans="1:30" ht="12" customHeight="1" x14ac:dyDescent="0.45">
      <c r="A55" s="440">
        <v>0</v>
      </c>
      <c r="B55" s="143"/>
      <c r="C55" s="548">
        <v>0</v>
      </c>
      <c r="D55" s="547" t="s">
        <v>445</v>
      </c>
      <c r="E55" s="418"/>
      <c r="F55" s="548">
        <v>2.0331797418468796E-2</v>
      </c>
      <c r="G55" s="1189"/>
      <c r="H55" s="1190"/>
      <c r="I55" s="1190"/>
      <c r="J55" s="1190"/>
      <c r="K55" s="1190"/>
      <c r="L55" s="1190"/>
      <c r="M55" s="1190"/>
      <c r="N55" s="1191"/>
      <c r="Q55" s="538" t="s">
        <v>56</v>
      </c>
      <c r="R55" s="539"/>
      <c r="S55" s="540"/>
      <c r="T55" s="538" t="s">
        <v>57</v>
      </c>
      <c r="U55" s="541"/>
      <c r="V55" s="542"/>
      <c r="W55" s="543"/>
      <c r="X55" s="431"/>
      <c r="Y55" s="431"/>
      <c r="Z55" s="544"/>
      <c r="AA55" s="545"/>
      <c r="AB55" s="546"/>
      <c r="AC55" s="431"/>
      <c r="AD55" s="532"/>
    </row>
    <row r="56" spans="1:30" ht="12" customHeight="1" x14ac:dyDescent="0.45">
      <c r="A56" s="440">
        <v>0</v>
      </c>
      <c r="B56" s="143"/>
      <c r="C56" s="548">
        <v>0</v>
      </c>
      <c r="D56" s="547">
        <v>0</v>
      </c>
      <c r="E56" s="418"/>
      <c r="F56" s="548">
        <v>0</v>
      </c>
      <c r="G56" s="1189"/>
      <c r="H56" s="1190"/>
      <c r="I56" s="1190"/>
      <c r="J56" s="1190"/>
      <c r="K56" s="1190"/>
      <c r="L56" s="1190"/>
      <c r="M56" s="1190"/>
      <c r="N56" s="1191"/>
      <c r="Q56" s="547" t="s">
        <v>454</v>
      </c>
      <c r="R56" s="143"/>
      <c r="S56" s="548">
        <v>0.98901804285301986</v>
      </c>
      <c r="T56" s="547" t="s">
        <v>444</v>
      </c>
      <c r="U56" s="418"/>
      <c r="V56" s="815">
        <v>0.37210274374769864</v>
      </c>
      <c r="W56" s="543"/>
      <c r="X56" s="431"/>
      <c r="Y56" s="431"/>
      <c r="Z56" s="431"/>
      <c r="AA56" s="431"/>
      <c r="AB56" s="431"/>
      <c r="AC56" s="431"/>
      <c r="AD56" s="532"/>
    </row>
    <row r="57" spans="1:30" ht="12" customHeight="1" thickBot="1" x14ac:dyDescent="0.5">
      <c r="A57" s="440">
        <v>0</v>
      </c>
      <c r="B57" s="143"/>
      <c r="C57" s="548">
        <v>0</v>
      </c>
      <c r="D57" s="547">
        <v>0</v>
      </c>
      <c r="E57" s="418"/>
      <c r="F57" s="548">
        <v>0</v>
      </c>
      <c r="G57" s="1192"/>
      <c r="H57" s="1193"/>
      <c r="I57" s="1193"/>
      <c r="J57" s="1193"/>
      <c r="K57" s="1193"/>
      <c r="L57" s="1193"/>
      <c r="M57" s="1193"/>
      <c r="N57" s="1194"/>
      <c r="Q57" s="547" t="s">
        <v>455</v>
      </c>
      <c r="R57" s="143"/>
      <c r="S57" s="816">
        <v>1.0981957146980087E-2</v>
      </c>
      <c r="T57" s="547" t="s">
        <v>447</v>
      </c>
      <c r="U57" s="418"/>
      <c r="V57" s="817">
        <v>0.26779156673268117</v>
      </c>
      <c r="W57" s="543"/>
      <c r="X57" s="431"/>
      <c r="Y57" s="431"/>
      <c r="Z57" s="431"/>
      <c r="AA57" s="431"/>
      <c r="AB57" s="431"/>
      <c r="AC57" s="431"/>
      <c r="AD57" s="532"/>
    </row>
    <row r="58" spans="1:30" ht="12" customHeight="1" thickBot="1" x14ac:dyDescent="0.5">
      <c r="A58" s="549" t="s">
        <v>592</v>
      </c>
      <c r="B58" s="550"/>
      <c r="C58" s="551">
        <v>0</v>
      </c>
      <c r="D58" s="549" t="s">
        <v>592</v>
      </c>
      <c r="E58" s="471"/>
      <c r="F58" s="552">
        <v>0</v>
      </c>
      <c r="G58" s="553" t="s">
        <v>82</v>
      </c>
      <c r="H58" s="554"/>
      <c r="I58" s="554"/>
      <c r="J58" s="554"/>
      <c r="K58" s="554"/>
      <c r="L58" s="554"/>
      <c r="M58" s="554"/>
      <c r="N58" s="555"/>
      <c r="Q58" s="547">
        <v>0</v>
      </c>
      <c r="R58" s="143"/>
      <c r="S58" s="816">
        <v>0</v>
      </c>
      <c r="T58" s="547" t="s">
        <v>446</v>
      </c>
      <c r="U58" s="418"/>
      <c r="V58" s="817">
        <v>0.23172576455718877</v>
      </c>
      <c r="W58" s="543"/>
      <c r="X58" s="431"/>
      <c r="Y58" s="431"/>
      <c r="Z58" s="431"/>
      <c r="AA58" s="431"/>
      <c r="AB58" s="431"/>
      <c r="AC58" s="431"/>
      <c r="AD58" s="532"/>
    </row>
    <row r="59" spans="1:30" ht="12" customHeight="1" x14ac:dyDescent="0.45">
      <c r="Q59" s="547">
        <v>0</v>
      </c>
      <c r="R59" s="143"/>
      <c r="S59" s="816">
        <v>0</v>
      </c>
      <c r="T59" s="547" t="s">
        <v>448</v>
      </c>
      <c r="U59" s="418"/>
      <c r="V59" s="817">
        <v>0.10804812754396266</v>
      </c>
      <c r="W59" s="543"/>
      <c r="X59" s="431"/>
      <c r="Y59" s="431"/>
      <c r="Z59" s="431"/>
      <c r="AA59" s="431"/>
      <c r="AB59" s="431"/>
      <c r="AC59" s="431"/>
      <c r="AD59" s="532"/>
    </row>
    <row r="60" spans="1:30" ht="12" customHeight="1" x14ac:dyDescent="0.45">
      <c r="A60" s="827" t="s">
        <v>265</v>
      </c>
      <c r="B60" s="431"/>
      <c r="C60" s="828" t="s">
        <v>266</v>
      </c>
      <c r="D60" s="845" t="s">
        <v>444</v>
      </c>
      <c r="E60" s="845" t="s">
        <v>445</v>
      </c>
      <c r="F60" s="845" t="s">
        <v>446</v>
      </c>
      <c r="G60" s="845" t="s">
        <v>447</v>
      </c>
      <c r="H60" s="845" t="s">
        <v>448</v>
      </c>
      <c r="I60" s="845">
        <v>0</v>
      </c>
      <c r="J60" s="845">
        <v>0</v>
      </c>
      <c r="K60" s="845">
        <v>0</v>
      </c>
      <c r="L60" s="845">
        <v>0</v>
      </c>
      <c r="M60" s="845">
        <v>0</v>
      </c>
      <c r="N60" s="545" t="s">
        <v>267</v>
      </c>
      <c r="Q60" s="547">
        <v>0</v>
      </c>
      <c r="R60" s="143"/>
      <c r="S60" s="816">
        <v>0</v>
      </c>
      <c r="T60" s="547" t="s">
        <v>445</v>
      </c>
      <c r="U60" s="418"/>
      <c r="V60" s="817">
        <v>2.0331797418468796E-2</v>
      </c>
      <c r="W60" s="543"/>
      <c r="X60" s="431"/>
      <c r="Y60" s="431"/>
      <c r="Z60" s="431"/>
      <c r="AA60" s="431"/>
      <c r="AB60" s="431"/>
      <c r="AC60" s="431"/>
      <c r="AD60" s="532"/>
    </row>
    <row r="61" spans="1:30" ht="12" customHeight="1" x14ac:dyDescent="0.45">
      <c r="A61" s="829" t="s">
        <v>268</v>
      </c>
      <c r="B61" s="585"/>
      <c r="C61" s="139"/>
      <c r="D61" s="830">
        <v>0.37210274374769864</v>
      </c>
      <c r="E61" s="830">
        <v>2.0331797418468796E-2</v>
      </c>
      <c r="F61" s="830">
        <v>0.23172576455718877</v>
      </c>
      <c r="G61" s="830">
        <v>0.26779156673268117</v>
      </c>
      <c r="H61" s="830">
        <v>0.10804812754396266</v>
      </c>
      <c r="I61" s="830">
        <v>0</v>
      </c>
      <c r="J61" s="830">
        <v>0</v>
      </c>
      <c r="K61" s="830">
        <v>0</v>
      </c>
      <c r="L61" s="830">
        <v>0</v>
      </c>
      <c r="M61" s="830">
        <v>0</v>
      </c>
      <c r="N61" s="830">
        <f>1-SUM(D61:M61)</f>
        <v>0</v>
      </c>
      <c r="Q61" s="547">
        <v>0</v>
      </c>
      <c r="R61" s="143"/>
      <c r="S61" s="816">
        <v>0</v>
      </c>
      <c r="T61" s="547">
        <v>0</v>
      </c>
      <c r="U61" s="418"/>
      <c r="V61" s="817">
        <v>0</v>
      </c>
      <c r="W61" s="543"/>
      <c r="X61" s="431"/>
      <c r="Y61" s="431"/>
      <c r="Z61" s="431"/>
      <c r="AA61" s="431"/>
      <c r="AB61" s="431"/>
      <c r="AC61" s="431"/>
      <c r="AD61" s="532"/>
    </row>
    <row r="62" spans="1:30" ht="12" customHeight="1" thickBot="1" x14ac:dyDescent="0.5">
      <c r="A62" s="829" t="s">
        <v>269</v>
      </c>
      <c r="B62" s="585"/>
      <c r="C62" s="831">
        <v>6.3700000000000007E-3</v>
      </c>
      <c r="D62" s="830">
        <v>4.8621300000000001E-3</v>
      </c>
      <c r="E62" s="830">
        <v>2.30554E-3</v>
      </c>
      <c r="F62" s="830">
        <v>4.5324573763307428E-3</v>
      </c>
      <c r="G62" s="830">
        <v>1.6473654006483679E-2</v>
      </c>
      <c r="H62" s="830">
        <v>1.0712521755483326E-2</v>
      </c>
      <c r="I62" s="830">
        <v>0</v>
      </c>
      <c r="J62" s="830">
        <v>0</v>
      </c>
      <c r="K62" s="830">
        <v>0</v>
      </c>
      <c r="L62" s="830">
        <v>0</v>
      </c>
      <c r="M62" s="830">
        <v>0</v>
      </c>
      <c r="N62" s="830">
        <f>IFERROR(MAX(D62:E62),"")</f>
        <v>4.8621300000000001E-3</v>
      </c>
      <c r="Q62" s="547">
        <v>0</v>
      </c>
      <c r="R62" s="143"/>
      <c r="S62" s="816">
        <v>0</v>
      </c>
      <c r="T62" s="547">
        <v>0</v>
      </c>
      <c r="U62" s="418"/>
      <c r="V62" s="817">
        <v>0</v>
      </c>
      <c r="W62" s="818"/>
      <c r="X62" s="819"/>
      <c r="Y62" s="819"/>
      <c r="Z62" s="819"/>
      <c r="AA62" s="819"/>
      <c r="AB62" s="819"/>
      <c r="AC62" s="819"/>
      <c r="AD62" s="820"/>
    </row>
    <row r="63" spans="1:30" ht="12" customHeight="1" thickBot="1" x14ac:dyDescent="0.5">
      <c r="A63" s="829" t="s">
        <v>270</v>
      </c>
      <c r="B63" s="832">
        <f>D61*D63+E61*E63+F61*F63+G61*G63+H61*H63+I61*I63+J61*J63+K61*K63+L61*L63+M61*M63+N61*N63</f>
        <v>6.6912423369693594E-2</v>
      </c>
      <c r="C63" s="831">
        <v>0.06</v>
      </c>
      <c r="D63" s="830">
        <v>6.3299204999999997E-2</v>
      </c>
      <c r="E63" s="830">
        <v>6.0742615E-2</v>
      </c>
      <c r="F63" s="830">
        <v>6.2969532376330739E-2</v>
      </c>
      <c r="G63" s="830">
        <v>7.4910729006483684E-2</v>
      </c>
      <c r="H63" s="830">
        <v>6.9149596755483322E-2</v>
      </c>
      <c r="I63" s="830">
        <v>0</v>
      </c>
      <c r="J63" s="830">
        <v>0</v>
      </c>
      <c r="K63" s="830">
        <v>0</v>
      </c>
      <c r="L63" s="830">
        <v>0</v>
      </c>
      <c r="M63" s="830">
        <v>0</v>
      </c>
      <c r="N63" s="830">
        <v>0</v>
      </c>
      <c r="Q63" s="549">
        <f>IF(S63=0,0,"Sonstige")</f>
        <v>0</v>
      </c>
      <c r="R63" s="550"/>
      <c r="S63" s="551">
        <f>1-SUM(S56:S62)</f>
        <v>0</v>
      </c>
      <c r="T63" s="549">
        <f>IF(V63=0,0,"Sonstige")</f>
        <v>0</v>
      </c>
      <c r="U63" s="471"/>
      <c r="V63" s="821">
        <f>1-SUM(V56:V62)</f>
        <v>0</v>
      </c>
      <c r="W63" s="822"/>
      <c r="X63" s="823"/>
      <c r="Y63" s="823"/>
      <c r="Z63" s="823"/>
      <c r="AA63" s="823"/>
      <c r="AB63" s="823"/>
      <c r="AC63" s="823"/>
      <c r="AD63" s="824"/>
    </row>
    <row r="64" spans="1:30" ht="12" customHeight="1" thickBot="1" x14ac:dyDescent="0.5">
      <c r="A64" s="833" t="s">
        <v>271</v>
      </c>
      <c r="D64" s="834">
        <f>IF(D61=0,0,$C$63+D$62-$C$62)</f>
        <v>5.8492130000000003E-2</v>
      </c>
      <c r="E64" s="834">
        <f t="shared" ref="E64:N64" si="31">IF(E61=0,0,$C$63+E$62-$C$62)</f>
        <v>5.5935539999999999E-2</v>
      </c>
      <c r="F64" s="834">
        <f t="shared" si="31"/>
        <v>5.8162457376330745E-2</v>
      </c>
      <c r="G64" s="834">
        <f t="shared" si="31"/>
        <v>7.0103654006483676E-2</v>
      </c>
      <c r="H64" s="834">
        <f t="shared" si="31"/>
        <v>6.4342521755483328E-2</v>
      </c>
      <c r="I64" s="834">
        <f t="shared" si="31"/>
        <v>0</v>
      </c>
      <c r="J64" s="834">
        <f t="shared" si="31"/>
        <v>0</v>
      </c>
      <c r="K64" s="834">
        <f t="shared" si="31"/>
        <v>0</v>
      </c>
      <c r="L64" s="834">
        <f t="shared" si="31"/>
        <v>0</v>
      </c>
      <c r="M64" s="834">
        <f t="shared" si="31"/>
        <v>0</v>
      </c>
      <c r="N64" s="834">
        <f t="shared" si="31"/>
        <v>0</v>
      </c>
    </row>
    <row r="65" spans="1:30" ht="12" customHeight="1" x14ac:dyDescent="0.45">
      <c r="A65" s="556" t="s">
        <v>190</v>
      </c>
      <c r="B65" s="557"/>
      <c r="C65" s="558" t="s">
        <v>0</v>
      </c>
      <c r="D65" s="432" t="s">
        <v>33</v>
      </c>
      <c r="E65" s="432" t="s">
        <v>34</v>
      </c>
      <c r="F65" s="432" t="s">
        <v>35</v>
      </c>
      <c r="G65" s="432" t="s">
        <v>36</v>
      </c>
      <c r="H65" s="432" t="s">
        <v>37</v>
      </c>
      <c r="I65" s="432" t="s">
        <v>38</v>
      </c>
      <c r="J65" s="432" t="s">
        <v>39</v>
      </c>
      <c r="K65" s="432" t="s">
        <v>40</v>
      </c>
      <c r="L65" s="432" t="s">
        <v>41</v>
      </c>
      <c r="M65" s="432" t="s">
        <v>42</v>
      </c>
      <c r="N65" s="558" t="s">
        <v>58</v>
      </c>
      <c r="Q65" s="556" t="s">
        <v>49</v>
      </c>
      <c r="R65" s="559" t="s">
        <v>0</v>
      </c>
      <c r="S65" s="557" t="s">
        <v>33</v>
      </c>
      <c r="T65" s="557" t="s">
        <v>34</v>
      </c>
      <c r="U65" s="557" t="s">
        <v>35</v>
      </c>
      <c r="V65" s="557" t="s">
        <v>36</v>
      </c>
      <c r="W65" s="557" t="s">
        <v>37</v>
      </c>
      <c r="X65" s="557" t="s">
        <v>38</v>
      </c>
      <c r="Y65" s="557" t="s">
        <v>39</v>
      </c>
      <c r="Z65" s="557" t="s">
        <v>40</v>
      </c>
      <c r="AA65" s="557" t="s">
        <v>41</v>
      </c>
      <c r="AB65" s="557" t="s">
        <v>42</v>
      </c>
      <c r="AC65" s="557" t="s">
        <v>58</v>
      </c>
      <c r="AD65" s="560" t="s">
        <v>78</v>
      </c>
    </row>
    <row r="66" spans="1:30" ht="12" customHeight="1" x14ac:dyDescent="0.25">
      <c r="A66" s="561" t="s">
        <v>79</v>
      </c>
      <c r="B66" s="562"/>
      <c r="C66" s="846">
        <v>168073</v>
      </c>
      <c r="D66" s="478">
        <f t="shared" ref="D66:N66" si="32">C66-C28</f>
        <v>231034.02408547589</v>
      </c>
      <c r="E66" s="478">
        <f t="shared" si="32"/>
        <v>300505.70990116074</v>
      </c>
      <c r="F66" s="478">
        <f t="shared" si="32"/>
        <v>363960.26052359527</v>
      </c>
      <c r="G66" s="478">
        <f t="shared" si="32"/>
        <v>414815.55140340701</v>
      </c>
      <c r="H66" s="478">
        <f t="shared" si="32"/>
        <v>464988.08401823137</v>
      </c>
      <c r="I66" s="478">
        <f t="shared" si="32"/>
        <v>488005.35669847328</v>
      </c>
      <c r="J66" s="478">
        <f t="shared" si="32"/>
        <v>513195.66194751824</v>
      </c>
      <c r="K66" s="478">
        <f t="shared" si="32"/>
        <v>531395.1282192308</v>
      </c>
      <c r="L66" s="478">
        <f t="shared" si="32"/>
        <v>544796.261416291</v>
      </c>
      <c r="M66" s="478">
        <f t="shared" si="32"/>
        <v>558776.32356746425</v>
      </c>
      <c r="N66" s="846">
        <f t="shared" si="32"/>
        <v>596487.97960820852</v>
      </c>
      <c r="Q66" s="561" t="s">
        <v>79</v>
      </c>
      <c r="R66" s="478">
        <v>168073</v>
      </c>
      <c r="S66" s="478">
        <v>231034.02408547589</v>
      </c>
      <c r="T66" s="478">
        <v>300505.70990116074</v>
      </c>
      <c r="U66" s="478">
        <v>363960.26052359527</v>
      </c>
      <c r="V66" s="478">
        <v>414815.55140340701</v>
      </c>
      <c r="W66" s="478">
        <v>464988.08401823137</v>
      </c>
      <c r="X66" s="478">
        <v>488005.35669847328</v>
      </c>
      <c r="Y66" s="478">
        <v>513195.66194751824</v>
      </c>
      <c r="Z66" s="478">
        <v>531395.1282192308</v>
      </c>
      <c r="AA66" s="478">
        <v>544796.261416291</v>
      </c>
      <c r="AB66" s="478">
        <v>558776.32356746425</v>
      </c>
      <c r="AC66" s="478">
        <f>AB66-AC33</f>
        <v>596487.97960820852</v>
      </c>
      <c r="AD66" s="478">
        <f>SUM(S66:AB66)</f>
        <v>4411472.3617808474</v>
      </c>
    </row>
    <row r="67" spans="1:30" ht="12" customHeight="1" thickBot="1" x14ac:dyDescent="0.3">
      <c r="A67" s="563" t="s">
        <v>80</v>
      </c>
      <c r="B67" s="564"/>
      <c r="C67" s="847">
        <f t="shared" ref="C67:N67" si="33">B19/C66</f>
        <v>1.1957066274773462</v>
      </c>
      <c r="D67" s="848">
        <f t="shared" si="33"/>
        <v>1.0858311930159155</v>
      </c>
      <c r="E67" s="848">
        <f t="shared" si="33"/>
        <v>0.94515470302849958</v>
      </c>
      <c r="F67" s="848">
        <f t="shared" si="33"/>
        <v>0.86980169190502254</v>
      </c>
      <c r="G67" s="848">
        <f t="shared" si="33"/>
        <v>0.84344476236334898</v>
      </c>
      <c r="H67" s="848">
        <f t="shared" si="33"/>
        <v>0.82347310448589417</v>
      </c>
      <c r="I67" s="848">
        <f t="shared" si="33"/>
        <v>0.85870940817319541</v>
      </c>
      <c r="J67" s="848">
        <f t="shared" si="33"/>
        <v>0.8936498794779365</v>
      </c>
      <c r="K67" s="848">
        <f t="shared" si="33"/>
        <v>0.94452264948217401</v>
      </c>
      <c r="L67" s="848">
        <f t="shared" si="33"/>
        <v>0.97870764017412892</v>
      </c>
      <c r="M67" s="848">
        <f t="shared" si="33"/>
        <v>0.99544364802987706</v>
      </c>
      <c r="N67" s="847">
        <f t="shared" si="33"/>
        <v>0.97279327090334256</v>
      </c>
      <c r="Q67" s="563" t="s">
        <v>80</v>
      </c>
      <c r="R67" s="848">
        <v>1.1957066274773462</v>
      </c>
      <c r="S67" s="848">
        <v>1.0858311930159155</v>
      </c>
      <c r="T67" s="848">
        <v>0.94515470302849958</v>
      </c>
      <c r="U67" s="848">
        <v>0.86980169190502254</v>
      </c>
      <c r="V67" s="848">
        <v>0.84344476236334898</v>
      </c>
      <c r="W67" s="848">
        <v>0.82347310448589417</v>
      </c>
      <c r="X67" s="848">
        <v>0.85870940817319541</v>
      </c>
      <c r="Y67" s="848">
        <v>0.8936498794779365</v>
      </c>
      <c r="Z67" s="848">
        <v>0.94452264948217401</v>
      </c>
      <c r="AA67" s="848">
        <v>0.97870764017412892</v>
      </c>
      <c r="AB67" s="848">
        <v>0.99544364802987706</v>
      </c>
      <c r="AC67" s="848">
        <f>AC24/AC66</f>
        <v>0.97279327090334256</v>
      </c>
      <c r="AD67" s="848">
        <f>AC24/AD66</f>
        <v>0.13153420109003089</v>
      </c>
    </row>
    <row r="68" spans="1:30" ht="12" customHeight="1" x14ac:dyDescent="0.45"/>
    <row r="69" spans="1:30" ht="12" customHeight="1" x14ac:dyDescent="0.45"/>
    <row r="70" spans="1:30" ht="12" customHeight="1" x14ac:dyDescent="0.45">
      <c r="A70" s="430" t="s">
        <v>96</v>
      </c>
      <c r="B70" s="432"/>
      <c r="C70" s="565" t="s">
        <v>0</v>
      </c>
      <c r="D70" s="432" t="s">
        <v>33</v>
      </c>
      <c r="E70" s="432" t="s">
        <v>34</v>
      </c>
      <c r="F70" s="432" t="s">
        <v>35</v>
      </c>
      <c r="G70" s="432" t="s">
        <v>36</v>
      </c>
      <c r="H70" s="432" t="s">
        <v>37</v>
      </c>
      <c r="I70" s="432" t="s">
        <v>38</v>
      </c>
      <c r="J70" s="432" t="s">
        <v>39</v>
      </c>
      <c r="K70" s="432" t="s">
        <v>40</v>
      </c>
      <c r="L70" s="432" t="s">
        <v>41</v>
      </c>
      <c r="M70" s="432" t="s">
        <v>42</v>
      </c>
      <c r="N70" s="497" t="s">
        <v>58</v>
      </c>
      <c r="Q70" s="566" t="s">
        <v>96</v>
      </c>
      <c r="R70" s="496"/>
      <c r="S70" s="496" t="s">
        <v>0</v>
      </c>
      <c r="T70" s="432" t="s">
        <v>33</v>
      </c>
      <c r="U70" s="432" t="s">
        <v>34</v>
      </c>
      <c r="V70" s="432" t="s">
        <v>35</v>
      </c>
      <c r="W70" s="432" t="s">
        <v>36</v>
      </c>
      <c r="X70" s="432" t="s">
        <v>37</v>
      </c>
      <c r="Y70" s="432" t="s">
        <v>38</v>
      </c>
      <c r="Z70" s="432" t="s">
        <v>39</v>
      </c>
      <c r="AA70" s="432" t="s">
        <v>40</v>
      </c>
      <c r="AB70" s="432" t="s">
        <v>41</v>
      </c>
      <c r="AC70" s="432" t="s">
        <v>42</v>
      </c>
      <c r="AD70" s="497" t="s">
        <v>58</v>
      </c>
    </row>
    <row r="71" spans="1:30" ht="12" customHeight="1" x14ac:dyDescent="0.45">
      <c r="A71" s="567" t="s">
        <v>66</v>
      </c>
      <c r="B71" s="567"/>
      <c r="C71" s="568">
        <f>F40</f>
        <v>6.6912423369693594E-2</v>
      </c>
      <c r="D71" s="569">
        <f>C71</f>
        <v>6.6912423369693594E-2</v>
      </c>
      <c r="E71" s="569">
        <f t="shared" ref="E71:N73" si="34">D71</f>
        <v>6.6912423369693594E-2</v>
      </c>
      <c r="F71" s="569">
        <f t="shared" si="34"/>
        <v>6.6912423369693594E-2</v>
      </c>
      <c r="G71" s="569">
        <f t="shared" si="34"/>
        <v>6.6912423369693594E-2</v>
      </c>
      <c r="H71" s="569">
        <f t="shared" si="34"/>
        <v>6.6912423369693594E-2</v>
      </c>
      <c r="I71" s="569">
        <f t="shared" si="34"/>
        <v>6.6912423369693594E-2</v>
      </c>
      <c r="J71" s="569">
        <f t="shared" si="34"/>
        <v>6.6912423369693594E-2</v>
      </c>
      <c r="K71" s="569">
        <f t="shared" si="34"/>
        <v>6.6912423369693594E-2</v>
      </c>
      <c r="L71" s="569">
        <f t="shared" si="34"/>
        <v>6.6912423369693594E-2</v>
      </c>
      <c r="M71" s="569">
        <f t="shared" si="34"/>
        <v>6.6912423369693594E-2</v>
      </c>
      <c r="N71" s="568">
        <f t="shared" si="34"/>
        <v>6.6912423369693594E-2</v>
      </c>
      <c r="Q71" s="567" t="s">
        <v>66</v>
      </c>
      <c r="R71" s="567"/>
      <c r="S71" s="570">
        <f>V45</f>
        <v>6.6912423369693594E-2</v>
      </c>
      <c r="T71" s="571">
        <f t="shared" ref="T71:AD71" si="35">S71</f>
        <v>6.6912423369693594E-2</v>
      </c>
      <c r="U71" s="569">
        <f t="shared" si="35"/>
        <v>6.6912423369693594E-2</v>
      </c>
      <c r="V71" s="569">
        <f t="shared" si="35"/>
        <v>6.6912423369693594E-2</v>
      </c>
      <c r="W71" s="569">
        <f t="shared" si="35"/>
        <v>6.6912423369693594E-2</v>
      </c>
      <c r="X71" s="569">
        <f t="shared" si="35"/>
        <v>6.6912423369693594E-2</v>
      </c>
      <c r="Y71" s="569">
        <f t="shared" si="35"/>
        <v>6.6912423369693594E-2</v>
      </c>
      <c r="Z71" s="569">
        <f t="shared" si="35"/>
        <v>6.6912423369693594E-2</v>
      </c>
      <c r="AA71" s="569">
        <f t="shared" si="35"/>
        <v>6.6912423369693594E-2</v>
      </c>
      <c r="AB71" s="569">
        <f t="shared" si="35"/>
        <v>6.6912423369693594E-2</v>
      </c>
      <c r="AC71" s="569">
        <f t="shared" si="35"/>
        <v>6.6912423369693594E-2</v>
      </c>
      <c r="AD71" s="569">
        <f t="shared" si="35"/>
        <v>6.6912423369693594E-2</v>
      </c>
    </row>
    <row r="72" spans="1:30" ht="12" customHeight="1" x14ac:dyDescent="0.45">
      <c r="A72" s="567" t="s">
        <v>51</v>
      </c>
      <c r="B72" s="567"/>
      <c r="C72" s="568">
        <f>F39</f>
        <v>4.3200000000000002E-2</v>
      </c>
      <c r="D72" s="569">
        <f>C72</f>
        <v>4.3200000000000002E-2</v>
      </c>
      <c r="E72" s="569">
        <f>D72</f>
        <v>4.3200000000000002E-2</v>
      </c>
      <c r="F72" s="569">
        <f t="shared" si="34"/>
        <v>4.3200000000000002E-2</v>
      </c>
      <c r="G72" s="569">
        <f t="shared" si="34"/>
        <v>4.3200000000000002E-2</v>
      </c>
      <c r="H72" s="569">
        <f t="shared" si="34"/>
        <v>4.3200000000000002E-2</v>
      </c>
      <c r="I72" s="569">
        <f t="shared" si="34"/>
        <v>4.3200000000000002E-2</v>
      </c>
      <c r="J72" s="569">
        <f t="shared" si="34"/>
        <v>4.3200000000000002E-2</v>
      </c>
      <c r="K72" s="569">
        <f t="shared" si="34"/>
        <v>4.3200000000000002E-2</v>
      </c>
      <c r="L72" s="569">
        <f t="shared" si="34"/>
        <v>4.3200000000000002E-2</v>
      </c>
      <c r="M72" s="569">
        <f t="shared" si="34"/>
        <v>4.3200000000000002E-2</v>
      </c>
      <c r="N72" s="568">
        <f t="shared" si="34"/>
        <v>4.3200000000000002E-2</v>
      </c>
      <c r="O72" s="572"/>
      <c r="Q72" s="567" t="s">
        <v>51</v>
      </c>
      <c r="R72" s="567"/>
      <c r="S72" s="570">
        <f>V44</f>
        <v>4.3200000000000002E-2</v>
      </c>
      <c r="T72" s="571">
        <f t="shared" ref="T72:AD72" si="36">S72</f>
        <v>4.3200000000000002E-2</v>
      </c>
      <c r="U72" s="569">
        <f t="shared" si="36"/>
        <v>4.3200000000000002E-2</v>
      </c>
      <c r="V72" s="569">
        <f t="shared" si="36"/>
        <v>4.3200000000000002E-2</v>
      </c>
      <c r="W72" s="569">
        <f t="shared" si="36"/>
        <v>4.3200000000000002E-2</v>
      </c>
      <c r="X72" s="569">
        <f t="shared" si="36"/>
        <v>4.3200000000000002E-2</v>
      </c>
      <c r="Y72" s="569">
        <f t="shared" si="36"/>
        <v>4.3200000000000002E-2</v>
      </c>
      <c r="Z72" s="569">
        <f t="shared" si="36"/>
        <v>4.3200000000000002E-2</v>
      </c>
      <c r="AA72" s="569">
        <f t="shared" si="36"/>
        <v>4.3200000000000002E-2</v>
      </c>
      <c r="AB72" s="569">
        <f t="shared" si="36"/>
        <v>4.3200000000000002E-2</v>
      </c>
      <c r="AC72" s="569">
        <f t="shared" si="36"/>
        <v>4.3200000000000002E-2</v>
      </c>
      <c r="AD72" s="569">
        <f t="shared" si="36"/>
        <v>4.3200000000000002E-2</v>
      </c>
    </row>
    <row r="73" spans="1:30" ht="12" customHeight="1" x14ac:dyDescent="0.45">
      <c r="A73" s="567" t="s">
        <v>191</v>
      </c>
      <c r="B73" s="567"/>
      <c r="C73" s="573">
        <v>1.043891231397104</v>
      </c>
      <c r="D73" s="574">
        <f>C73</f>
        <v>1.043891231397104</v>
      </c>
      <c r="E73" s="574">
        <f>D73</f>
        <v>1.043891231397104</v>
      </c>
      <c r="F73" s="574">
        <f t="shared" si="34"/>
        <v>1.043891231397104</v>
      </c>
      <c r="G73" s="574">
        <f t="shared" si="34"/>
        <v>1.043891231397104</v>
      </c>
      <c r="H73" s="574">
        <f t="shared" si="34"/>
        <v>1.043891231397104</v>
      </c>
      <c r="I73" s="574">
        <f t="shared" si="34"/>
        <v>1.043891231397104</v>
      </c>
      <c r="J73" s="574">
        <f t="shared" si="34"/>
        <v>1.043891231397104</v>
      </c>
      <c r="K73" s="574">
        <f t="shared" si="34"/>
        <v>1.043891231397104</v>
      </c>
      <c r="L73" s="574">
        <f t="shared" si="34"/>
        <v>1.043891231397104</v>
      </c>
      <c r="M73" s="574">
        <f t="shared" si="34"/>
        <v>1.043891231397104</v>
      </c>
      <c r="N73" s="573">
        <f t="shared" si="34"/>
        <v>1.043891231397104</v>
      </c>
      <c r="O73" s="575"/>
      <c r="Q73" s="567" t="s">
        <v>87</v>
      </c>
      <c r="R73" s="567"/>
      <c r="S73" s="576">
        <v>1.043891231397104</v>
      </c>
      <c r="T73" s="577">
        <f t="shared" ref="T73:AD73" si="37">S73</f>
        <v>1.043891231397104</v>
      </c>
      <c r="U73" s="574">
        <f t="shared" si="37"/>
        <v>1.043891231397104</v>
      </c>
      <c r="V73" s="574">
        <f t="shared" si="37"/>
        <v>1.043891231397104</v>
      </c>
      <c r="W73" s="574">
        <f t="shared" si="37"/>
        <v>1.043891231397104</v>
      </c>
      <c r="X73" s="574">
        <f t="shared" si="37"/>
        <v>1.043891231397104</v>
      </c>
      <c r="Y73" s="574">
        <f t="shared" si="37"/>
        <v>1.043891231397104</v>
      </c>
      <c r="Z73" s="574">
        <f t="shared" si="37"/>
        <v>1.043891231397104</v>
      </c>
      <c r="AA73" s="574">
        <f t="shared" si="37"/>
        <v>1.043891231397104</v>
      </c>
      <c r="AB73" s="574">
        <f t="shared" si="37"/>
        <v>1.043891231397104</v>
      </c>
      <c r="AC73" s="574">
        <f t="shared" si="37"/>
        <v>1.043891231397104</v>
      </c>
      <c r="AD73" s="574">
        <f t="shared" si="37"/>
        <v>1.043891231397104</v>
      </c>
    </row>
    <row r="74" spans="1:30" ht="12" customHeight="1" x14ac:dyDescent="0.45">
      <c r="A74" s="567" t="s">
        <v>192</v>
      </c>
      <c r="B74" s="567"/>
      <c r="C74" s="573">
        <f>C73*(1+(1-C79)*C84)</f>
        <v>1.0881829755935819</v>
      </c>
      <c r="D74" s="574">
        <f t="shared" ref="D74:M74" si="38">D73*(1+(1-D79)*D84)</f>
        <v>1.1102993685733724</v>
      </c>
      <c r="E74" s="574">
        <f t="shared" si="38"/>
        <v>1.1336308618402802</v>
      </c>
      <c r="F74" s="574">
        <f t="shared" si="38"/>
        <v>1.1582804224892114</v>
      </c>
      <c r="G74" s="574">
        <f t="shared" si="38"/>
        <v>1.1843629896350254</v>
      </c>
      <c r="H74" s="574">
        <f t="shared" si="38"/>
        <v>1.2120072664926356</v>
      </c>
      <c r="I74" s="574">
        <f t="shared" si="38"/>
        <v>1.2413578442973685</v>
      </c>
      <c r="J74" s="574">
        <f t="shared" si="38"/>
        <v>1.2725777320366265</v>
      </c>
      <c r="K74" s="574">
        <f t="shared" si="38"/>
        <v>1.3058513854283169</v>
      </c>
      <c r="L74" s="574">
        <f t="shared" si="38"/>
        <v>1.3413883540038916</v>
      </c>
      <c r="M74" s="574">
        <f t="shared" si="38"/>
        <v>1.3794276986318874</v>
      </c>
      <c r="N74" s="573"/>
      <c r="Q74" s="567" t="s">
        <v>88</v>
      </c>
      <c r="R74" s="567"/>
      <c r="S74" s="576">
        <f t="shared" ref="S74:AD74" si="39">S73*(1+(1-$V$50)*S84)</f>
        <v>1.0881829755935819</v>
      </c>
      <c r="T74" s="577">
        <f t="shared" si="39"/>
        <v>1.1102993685733724</v>
      </c>
      <c r="U74" s="574">
        <f t="shared" si="39"/>
        <v>1.1336308618402802</v>
      </c>
      <c r="V74" s="574">
        <f t="shared" si="39"/>
        <v>1.1582804224892114</v>
      </c>
      <c r="W74" s="574">
        <f t="shared" si="39"/>
        <v>1.1843629896350254</v>
      </c>
      <c r="X74" s="574">
        <f t="shared" si="39"/>
        <v>1.2120072664926356</v>
      </c>
      <c r="Y74" s="574">
        <f t="shared" si="39"/>
        <v>1.2413578442973685</v>
      </c>
      <c r="Z74" s="574">
        <f t="shared" si="39"/>
        <v>1.2725777320366265</v>
      </c>
      <c r="AA74" s="574">
        <f t="shared" si="39"/>
        <v>1.3058513854283169</v>
      </c>
      <c r="AB74" s="574">
        <f t="shared" si="39"/>
        <v>1.3413883540038916</v>
      </c>
      <c r="AC74" s="574">
        <f t="shared" si="39"/>
        <v>1.3794276986318874</v>
      </c>
      <c r="AD74" s="574">
        <f t="shared" si="39"/>
        <v>1.3794276986318874</v>
      </c>
    </row>
    <row r="75" spans="1:30" ht="12" customHeight="1" x14ac:dyDescent="0.45">
      <c r="A75" s="567" t="s">
        <v>89</v>
      </c>
      <c r="B75" s="567"/>
      <c r="C75" s="573">
        <v>-0.52103406684745002</v>
      </c>
      <c r="D75" s="578">
        <f>C75</f>
        <v>-0.52103406684745002</v>
      </c>
      <c r="E75" s="578">
        <f>D75</f>
        <v>-0.52103406684745002</v>
      </c>
      <c r="F75" s="578">
        <f t="shared" ref="F75:M75" si="40">E75</f>
        <v>-0.52103406684745002</v>
      </c>
      <c r="G75" s="578">
        <f t="shared" si="40"/>
        <v>-0.52103406684745002</v>
      </c>
      <c r="H75" s="578">
        <f t="shared" si="40"/>
        <v>-0.52103406684745002</v>
      </c>
      <c r="I75" s="578">
        <f t="shared" si="40"/>
        <v>-0.52103406684745002</v>
      </c>
      <c r="J75" s="578">
        <f t="shared" si="40"/>
        <v>-0.52103406684745002</v>
      </c>
      <c r="K75" s="578">
        <f t="shared" si="40"/>
        <v>-0.52103406684745002</v>
      </c>
      <c r="L75" s="578">
        <f t="shared" si="40"/>
        <v>-0.52103406684745002</v>
      </c>
      <c r="M75" s="578">
        <f t="shared" si="40"/>
        <v>-0.52103406684745002</v>
      </c>
      <c r="N75" s="573"/>
      <c r="Q75" s="567" t="s">
        <v>89</v>
      </c>
      <c r="R75" s="567"/>
      <c r="S75" s="576">
        <v>-0.52103406684745002</v>
      </c>
      <c r="T75" s="577">
        <f t="shared" ref="T75:AD75" si="41">S75</f>
        <v>-0.52103406684745002</v>
      </c>
      <c r="U75" s="574">
        <f t="shared" si="41"/>
        <v>-0.52103406684745002</v>
      </c>
      <c r="V75" s="574">
        <f t="shared" si="41"/>
        <v>-0.52103406684745002</v>
      </c>
      <c r="W75" s="574">
        <f t="shared" si="41"/>
        <v>-0.52103406684745002</v>
      </c>
      <c r="X75" s="574">
        <f t="shared" si="41"/>
        <v>-0.52103406684745002</v>
      </c>
      <c r="Y75" s="574">
        <f t="shared" si="41"/>
        <v>-0.52103406684745002</v>
      </c>
      <c r="Z75" s="574">
        <f t="shared" si="41"/>
        <v>-0.52103406684745002</v>
      </c>
      <c r="AA75" s="574">
        <f t="shared" si="41"/>
        <v>-0.52103406684745002</v>
      </c>
      <c r="AB75" s="574">
        <f t="shared" si="41"/>
        <v>-0.52103406684745002</v>
      </c>
      <c r="AC75" s="574">
        <f t="shared" si="41"/>
        <v>-0.52103406684745002</v>
      </c>
      <c r="AD75" s="574">
        <f t="shared" si="41"/>
        <v>-0.52103406684745002</v>
      </c>
    </row>
    <row r="76" spans="1:30" ht="12" customHeight="1" x14ac:dyDescent="0.45">
      <c r="A76" s="567" t="s">
        <v>83</v>
      </c>
      <c r="B76" s="567"/>
      <c r="C76" s="573">
        <v>0.8</v>
      </c>
      <c r="D76" s="574">
        <f>MAX(D74+D75,0.8)</f>
        <v>0.8</v>
      </c>
      <c r="E76" s="574">
        <f t="shared" ref="E76:M76" si="42">MAX(E74+E75,0.8)</f>
        <v>0.8</v>
      </c>
      <c r="F76" s="574">
        <f t="shared" si="42"/>
        <v>0.8</v>
      </c>
      <c r="G76" s="574">
        <f t="shared" si="42"/>
        <v>0.8</v>
      </c>
      <c r="H76" s="574">
        <f t="shared" si="42"/>
        <v>0.8</v>
      </c>
      <c r="I76" s="574">
        <f t="shared" si="42"/>
        <v>0.8</v>
      </c>
      <c r="J76" s="574">
        <f t="shared" si="42"/>
        <v>0.8</v>
      </c>
      <c r="K76" s="574">
        <f t="shared" si="42"/>
        <v>0.8</v>
      </c>
      <c r="L76" s="574">
        <f t="shared" si="42"/>
        <v>0.82035428715644154</v>
      </c>
      <c r="M76" s="574">
        <f t="shared" si="42"/>
        <v>0.85839363178443739</v>
      </c>
      <c r="N76" s="579">
        <v>0.85839363178443739</v>
      </c>
      <c r="Q76" s="567" t="s">
        <v>83</v>
      </c>
      <c r="R76" s="567"/>
      <c r="S76" s="576">
        <v>0.8</v>
      </c>
      <c r="T76" s="577">
        <v>0.8</v>
      </c>
      <c r="U76" s="574">
        <v>0.8</v>
      </c>
      <c r="V76" s="574">
        <v>0.8</v>
      </c>
      <c r="W76" s="574">
        <v>0.8</v>
      </c>
      <c r="X76" s="574">
        <v>0.8</v>
      </c>
      <c r="Y76" s="574">
        <v>0.8</v>
      </c>
      <c r="Z76" s="574">
        <v>0.8</v>
      </c>
      <c r="AA76" s="574">
        <v>0.8</v>
      </c>
      <c r="AB76" s="574">
        <v>0.82035428715644154</v>
      </c>
      <c r="AC76" s="574">
        <v>0.85839363178443739</v>
      </c>
      <c r="AD76" s="574">
        <v>0.85839363178443739</v>
      </c>
    </row>
    <row r="77" spans="1:30" ht="12" customHeight="1" x14ac:dyDescent="0.45">
      <c r="A77" s="567" t="s">
        <v>84</v>
      </c>
      <c r="B77" s="567"/>
      <c r="C77" s="568">
        <v>0</v>
      </c>
      <c r="D77" s="569">
        <f>C77</f>
        <v>0</v>
      </c>
      <c r="E77" s="569">
        <f>D77</f>
        <v>0</v>
      </c>
      <c r="F77" s="569">
        <f t="shared" ref="F77:N77" si="43">E77</f>
        <v>0</v>
      </c>
      <c r="G77" s="569">
        <f t="shared" si="43"/>
        <v>0</v>
      </c>
      <c r="H77" s="569">
        <f t="shared" si="43"/>
        <v>0</v>
      </c>
      <c r="I77" s="569">
        <f t="shared" si="43"/>
        <v>0</v>
      </c>
      <c r="J77" s="569">
        <f t="shared" si="43"/>
        <v>0</v>
      </c>
      <c r="K77" s="569">
        <f t="shared" si="43"/>
        <v>0</v>
      </c>
      <c r="L77" s="569">
        <f t="shared" si="43"/>
        <v>0</v>
      </c>
      <c r="M77" s="569">
        <f t="shared" si="43"/>
        <v>0</v>
      </c>
      <c r="N77" s="568">
        <f t="shared" si="43"/>
        <v>0</v>
      </c>
      <c r="Q77" s="567" t="s">
        <v>84</v>
      </c>
      <c r="R77" s="567"/>
      <c r="S77" s="570">
        <v>0</v>
      </c>
      <c r="T77" s="571">
        <f t="shared" ref="T77:AD77" si="44">S77</f>
        <v>0</v>
      </c>
      <c r="U77" s="569">
        <f t="shared" si="44"/>
        <v>0</v>
      </c>
      <c r="V77" s="569">
        <f t="shared" si="44"/>
        <v>0</v>
      </c>
      <c r="W77" s="569">
        <f t="shared" si="44"/>
        <v>0</v>
      </c>
      <c r="X77" s="569">
        <f t="shared" si="44"/>
        <v>0</v>
      </c>
      <c r="Y77" s="569">
        <f t="shared" si="44"/>
        <v>0</v>
      </c>
      <c r="Z77" s="569">
        <f t="shared" si="44"/>
        <v>0</v>
      </c>
      <c r="AA77" s="569">
        <f t="shared" si="44"/>
        <v>0</v>
      </c>
      <c r="AB77" s="569">
        <f t="shared" si="44"/>
        <v>0</v>
      </c>
      <c r="AC77" s="569">
        <f t="shared" si="44"/>
        <v>0</v>
      </c>
      <c r="AD77" s="569">
        <f t="shared" si="44"/>
        <v>0</v>
      </c>
    </row>
    <row r="78" spans="1:30" ht="12" customHeight="1" x14ac:dyDescent="0.45">
      <c r="A78" s="140" t="s">
        <v>85</v>
      </c>
      <c r="B78" s="140"/>
      <c r="C78" s="580">
        <f t="shared" ref="C78:N78" si="45">C72+C76*C71+C77</f>
        <v>9.6729938695754886E-2</v>
      </c>
      <c r="D78" s="581">
        <f t="shared" si="45"/>
        <v>9.6729938695754886E-2</v>
      </c>
      <c r="E78" s="581">
        <f t="shared" si="45"/>
        <v>9.6729938695754886E-2</v>
      </c>
      <c r="F78" s="581">
        <f t="shared" si="45"/>
        <v>9.6729938695754886E-2</v>
      </c>
      <c r="G78" s="581">
        <f t="shared" si="45"/>
        <v>9.6729938695754886E-2</v>
      </c>
      <c r="H78" s="581">
        <f t="shared" si="45"/>
        <v>9.6729938695754886E-2</v>
      </c>
      <c r="I78" s="581">
        <f t="shared" si="45"/>
        <v>9.6729938695754886E-2</v>
      </c>
      <c r="J78" s="581">
        <f t="shared" si="45"/>
        <v>9.6729938695754886E-2</v>
      </c>
      <c r="K78" s="581">
        <f t="shared" si="45"/>
        <v>9.6729938695754886E-2</v>
      </c>
      <c r="L78" s="581">
        <f t="shared" si="45"/>
        <v>9.809189337535501E-2</v>
      </c>
      <c r="M78" s="581">
        <f t="shared" si="45"/>
        <v>0.10063719810780915</v>
      </c>
      <c r="N78" s="580">
        <f t="shared" si="45"/>
        <v>0.10063719810780915</v>
      </c>
      <c r="Q78" s="140" t="s">
        <v>85</v>
      </c>
      <c r="R78" s="140"/>
      <c r="S78" s="582">
        <f t="shared" ref="S78:AD78" si="46">S72+S76*S71+S77</f>
        <v>9.6729938695754886E-2</v>
      </c>
      <c r="T78" s="583">
        <f t="shared" si="46"/>
        <v>9.6729938695754886E-2</v>
      </c>
      <c r="U78" s="581">
        <f t="shared" si="46"/>
        <v>9.6729938695754886E-2</v>
      </c>
      <c r="V78" s="581">
        <f t="shared" si="46"/>
        <v>9.6729938695754886E-2</v>
      </c>
      <c r="W78" s="581">
        <f t="shared" si="46"/>
        <v>9.6729938695754886E-2</v>
      </c>
      <c r="X78" s="581">
        <f t="shared" si="46"/>
        <v>9.6729938695754886E-2</v>
      </c>
      <c r="Y78" s="581">
        <f t="shared" si="46"/>
        <v>9.6729938695754886E-2</v>
      </c>
      <c r="Z78" s="581">
        <f t="shared" si="46"/>
        <v>9.6729938695754886E-2</v>
      </c>
      <c r="AA78" s="581">
        <f t="shared" si="46"/>
        <v>9.6729938695754886E-2</v>
      </c>
      <c r="AB78" s="581">
        <f t="shared" si="46"/>
        <v>9.809189337535501E-2</v>
      </c>
      <c r="AC78" s="581">
        <f t="shared" si="46"/>
        <v>0.10063719810780915</v>
      </c>
      <c r="AD78" s="581">
        <f t="shared" si="46"/>
        <v>0.10063719810780915</v>
      </c>
    </row>
    <row r="79" spans="1:30" ht="12" customHeight="1" x14ac:dyDescent="0.45">
      <c r="A79" s="567" t="s">
        <v>4</v>
      </c>
      <c r="B79" s="567"/>
      <c r="C79" s="568">
        <f>S79</f>
        <v>0.25</v>
      </c>
      <c r="D79" s="569">
        <f t="shared" ref="D79:N80" si="47">C79</f>
        <v>0.25</v>
      </c>
      <c r="E79" s="569">
        <f t="shared" si="47"/>
        <v>0.25</v>
      </c>
      <c r="F79" s="569">
        <f t="shared" si="47"/>
        <v>0.25</v>
      </c>
      <c r="G79" s="569">
        <f t="shared" si="47"/>
        <v>0.25</v>
      </c>
      <c r="H79" s="569">
        <f t="shared" si="47"/>
        <v>0.25</v>
      </c>
      <c r="I79" s="569">
        <f t="shared" si="47"/>
        <v>0.25</v>
      </c>
      <c r="J79" s="569">
        <f t="shared" si="47"/>
        <v>0.25</v>
      </c>
      <c r="K79" s="569">
        <f t="shared" si="47"/>
        <v>0.25</v>
      </c>
      <c r="L79" s="569">
        <f t="shared" si="47"/>
        <v>0.25</v>
      </c>
      <c r="M79" s="569">
        <f t="shared" si="47"/>
        <v>0.25</v>
      </c>
      <c r="N79" s="568">
        <f t="shared" si="47"/>
        <v>0.25</v>
      </c>
      <c r="Q79" s="567" t="s">
        <v>4</v>
      </c>
      <c r="R79" s="567"/>
      <c r="S79" s="570">
        <v>0.25</v>
      </c>
      <c r="T79" s="571">
        <f t="shared" ref="T79:AD79" si="48">S79</f>
        <v>0.25</v>
      </c>
      <c r="U79" s="569">
        <f t="shared" si="48"/>
        <v>0.25</v>
      </c>
      <c r="V79" s="569">
        <f t="shared" si="48"/>
        <v>0.25</v>
      </c>
      <c r="W79" s="569">
        <f t="shared" si="48"/>
        <v>0.25</v>
      </c>
      <c r="X79" s="569">
        <f t="shared" si="48"/>
        <v>0.25</v>
      </c>
      <c r="Y79" s="569">
        <f t="shared" si="48"/>
        <v>0.25</v>
      </c>
      <c r="Z79" s="569">
        <f t="shared" si="48"/>
        <v>0.25</v>
      </c>
      <c r="AA79" s="569">
        <f t="shared" si="48"/>
        <v>0.25</v>
      </c>
      <c r="AB79" s="569">
        <f t="shared" si="48"/>
        <v>0.25</v>
      </c>
      <c r="AC79" s="569">
        <f t="shared" si="48"/>
        <v>0.25</v>
      </c>
      <c r="AD79" s="569">
        <f t="shared" si="48"/>
        <v>0.25</v>
      </c>
    </row>
    <row r="80" spans="1:30" ht="12" customHeight="1" x14ac:dyDescent="0.45">
      <c r="A80" s="567" t="s">
        <v>45</v>
      </c>
      <c r="B80" s="567"/>
      <c r="C80" s="568">
        <f>S80</f>
        <v>5.5586666666666673E-2</v>
      </c>
      <c r="D80" s="569">
        <f t="shared" si="47"/>
        <v>5.5586666666666673E-2</v>
      </c>
      <c r="E80" s="569">
        <f t="shared" si="47"/>
        <v>5.5586666666666673E-2</v>
      </c>
      <c r="F80" s="569">
        <f t="shared" si="47"/>
        <v>5.5586666666666673E-2</v>
      </c>
      <c r="G80" s="569">
        <f t="shared" si="47"/>
        <v>5.5586666666666673E-2</v>
      </c>
      <c r="H80" s="569">
        <f t="shared" si="47"/>
        <v>5.5586666666666673E-2</v>
      </c>
      <c r="I80" s="569">
        <f t="shared" si="47"/>
        <v>5.5586666666666673E-2</v>
      </c>
      <c r="J80" s="569">
        <f t="shared" si="47"/>
        <v>5.5586666666666673E-2</v>
      </c>
      <c r="K80" s="569">
        <f t="shared" si="47"/>
        <v>5.5586666666666673E-2</v>
      </c>
      <c r="L80" s="569">
        <f t="shared" si="47"/>
        <v>5.5586666666666673E-2</v>
      </c>
      <c r="M80" s="569">
        <f t="shared" si="47"/>
        <v>5.5586666666666673E-2</v>
      </c>
      <c r="N80" s="568">
        <f t="shared" si="47"/>
        <v>5.5586666666666673E-2</v>
      </c>
      <c r="Q80" s="567" t="s">
        <v>45</v>
      </c>
      <c r="R80" s="567"/>
      <c r="S80" s="570">
        <v>5.5586666666666673E-2</v>
      </c>
      <c r="T80" s="571">
        <f t="shared" ref="T80:AD80" si="49">S80</f>
        <v>5.5586666666666673E-2</v>
      </c>
      <c r="U80" s="569">
        <f t="shared" si="49"/>
        <v>5.5586666666666673E-2</v>
      </c>
      <c r="V80" s="569">
        <f t="shared" si="49"/>
        <v>5.5586666666666673E-2</v>
      </c>
      <c r="W80" s="569">
        <f t="shared" si="49"/>
        <v>5.5586666666666673E-2</v>
      </c>
      <c r="X80" s="569">
        <f t="shared" si="49"/>
        <v>5.5586666666666673E-2</v>
      </c>
      <c r="Y80" s="569">
        <f t="shared" si="49"/>
        <v>5.5586666666666673E-2</v>
      </c>
      <c r="Z80" s="569">
        <f t="shared" si="49"/>
        <v>5.5586666666666673E-2</v>
      </c>
      <c r="AA80" s="569">
        <f t="shared" si="49"/>
        <v>5.5586666666666673E-2</v>
      </c>
      <c r="AB80" s="569">
        <f t="shared" si="49"/>
        <v>5.5586666666666673E-2</v>
      </c>
      <c r="AC80" s="569">
        <f t="shared" si="49"/>
        <v>5.5586666666666673E-2</v>
      </c>
      <c r="AD80" s="569">
        <f t="shared" si="49"/>
        <v>5.5586666666666673E-2</v>
      </c>
    </row>
    <row r="81" spans="1:30" ht="12" customHeight="1" x14ac:dyDescent="0.45">
      <c r="A81" s="140" t="s">
        <v>93</v>
      </c>
      <c r="B81" s="140"/>
      <c r="C81" s="580">
        <f>C80*(1-C79)</f>
        <v>4.1690000000000005E-2</v>
      </c>
      <c r="D81" s="581">
        <f t="shared" ref="D81:N81" si="50">D80*(1-D79)</f>
        <v>4.1690000000000005E-2</v>
      </c>
      <c r="E81" s="581">
        <f t="shared" si="50"/>
        <v>4.1690000000000005E-2</v>
      </c>
      <c r="F81" s="581">
        <f t="shared" si="50"/>
        <v>4.1690000000000005E-2</v>
      </c>
      <c r="G81" s="581">
        <f t="shared" si="50"/>
        <v>4.1690000000000005E-2</v>
      </c>
      <c r="H81" s="581">
        <f t="shared" si="50"/>
        <v>4.1690000000000005E-2</v>
      </c>
      <c r="I81" s="581">
        <f t="shared" si="50"/>
        <v>4.1690000000000005E-2</v>
      </c>
      <c r="J81" s="581">
        <f t="shared" si="50"/>
        <v>4.1690000000000005E-2</v>
      </c>
      <c r="K81" s="581">
        <f t="shared" si="50"/>
        <v>4.1690000000000005E-2</v>
      </c>
      <c r="L81" s="581">
        <f t="shared" si="50"/>
        <v>4.1690000000000005E-2</v>
      </c>
      <c r="M81" s="581">
        <f t="shared" si="50"/>
        <v>4.1690000000000005E-2</v>
      </c>
      <c r="N81" s="580">
        <f t="shared" si="50"/>
        <v>4.1690000000000005E-2</v>
      </c>
      <c r="Q81" s="140" t="s">
        <v>93</v>
      </c>
      <c r="R81" s="140"/>
      <c r="S81" s="582">
        <f t="shared" ref="S81:AD81" si="51">S80*(1-S79)</f>
        <v>4.1690000000000005E-2</v>
      </c>
      <c r="T81" s="583">
        <f t="shared" si="51"/>
        <v>4.1690000000000005E-2</v>
      </c>
      <c r="U81" s="581">
        <f t="shared" si="51"/>
        <v>4.1690000000000005E-2</v>
      </c>
      <c r="V81" s="581">
        <f t="shared" si="51"/>
        <v>4.1690000000000005E-2</v>
      </c>
      <c r="W81" s="581">
        <f t="shared" si="51"/>
        <v>4.1690000000000005E-2</v>
      </c>
      <c r="X81" s="581">
        <f t="shared" si="51"/>
        <v>4.1690000000000005E-2</v>
      </c>
      <c r="Y81" s="581">
        <f t="shared" si="51"/>
        <v>4.1690000000000005E-2</v>
      </c>
      <c r="Z81" s="581">
        <f t="shared" si="51"/>
        <v>4.1690000000000005E-2</v>
      </c>
      <c r="AA81" s="581">
        <f t="shared" si="51"/>
        <v>4.1690000000000005E-2</v>
      </c>
      <c r="AB81" s="581">
        <f t="shared" si="51"/>
        <v>4.1690000000000005E-2</v>
      </c>
      <c r="AC81" s="581">
        <f t="shared" si="51"/>
        <v>4.1690000000000005E-2</v>
      </c>
      <c r="AD81" s="581">
        <f t="shared" si="51"/>
        <v>4.1690000000000005E-2</v>
      </c>
    </row>
    <row r="82" spans="1:30" ht="12" customHeight="1" x14ac:dyDescent="0.45">
      <c r="A82" s="584" t="s">
        <v>94</v>
      </c>
      <c r="B82" s="584"/>
      <c r="C82" s="506">
        <f>F47</f>
        <v>1712180.20692</v>
      </c>
      <c r="D82" s="487"/>
      <c r="E82" s="585"/>
      <c r="F82" s="585"/>
      <c r="G82" s="585"/>
      <c r="H82" s="585"/>
      <c r="I82" s="585"/>
      <c r="J82" s="585"/>
      <c r="K82" s="585"/>
      <c r="L82" s="585"/>
      <c r="M82" s="585"/>
      <c r="N82" s="586"/>
      <c r="Q82" s="584" t="s">
        <v>94</v>
      </c>
      <c r="R82" s="584"/>
      <c r="S82" s="587">
        <v>1712180.20692</v>
      </c>
      <c r="T82" s="487"/>
      <c r="U82" s="585"/>
      <c r="V82" s="585"/>
      <c r="W82" s="585"/>
      <c r="X82" s="585"/>
      <c r="Y82" s="585"/>
      <c r="Z82" s="585"/>
      <c r="AA82" s="585"/>
      <c r="AB82" s="585"/>
      <c r="AC82" s="585"/>
      <c r="AD82" s="585"/>
    </row>
    <row r="83" spans="1:30" ht="12" customHeight="1" x14ac:dyDescent="0.45">
      <c r="A83" s="584" t="s">
        <v>86</v>
      </c>
      <c r="B83" s="584"/>
      <c r="C83" s="506">
        <f>F48</f>
        <v>96862.515253533027</v>
      </c>
      <c r="D83" s="487">
        <f t="shared" ref="D83:M83" si="52">D86*C36</f>
        <v>129590.2356967489</v>
      </c>
      <c r="E83" s="487">
        <f t="shared" si="52"/>
        <v>185504.86087150063</v>
      </c>
      <c r="F83" s="487">
        <f t="shared" si="52"/>
        <v>248268.08390763131</v>
      </c>
      <c r="G83" s="487">
        <f t="shared" si="52"/>
        <v>316493.80031059776</v>
      </c>
      <c r="H83" s="487">
        <f t="shared" si="52"/>
        <v>391300.39766925259</v>
      </c>
      <c r="I83" s="487">
        <f t="shared" si="52"/>
        <v>467157.86615034682</v>
      </c>
      <c r="J83" s="487">
        <f t="shared" si="52"/>
        <v>547901.91221912357</v>
      </c>
      <c r="K83" s="487">
        <f t="shared" si="52"/>
        <v>630824.84060264274</v>
      </c>
      <c r="L83" s="487">
        <f t="shared" si="52"/>
        <v>716870.08704631077</v>
      </c>
      <c r="M83" s="487">
        <f t="shared" si="52"/>
        <v>808367.51683881844</v>
      </c>
      <c r="N83" s="506"/>
      <c r="Q83" s="584" t="s">
        <v>86</v>
      </c>
      <c r="R83" s="584"/>
      <c r="S83" s="587">
        <v>96862.515253533027</v>
      </c>
      <c r="T83" s="487">
        <f t="shared" ref="T83:AC83" si="53">T86*S41</f>
        <v>129590.2356967489</v>
      </c>
      <c r="U83" s="487">
        <f t="shared" si="53"/>
        <v>185504.86087150063</v>
      </c>
      <c r="V83" s="487">
        <f t="shared" si="53"/>
        <v>248268.08390763131</v>
      </c>
      <c r="W83" s="487">
        <f t="shared" si="53"/>
        <v>316493.80031059776</v>
      </c>
      <c r="X83" s="487">
        <f t="shared" si="53"/>
        <v>391300.39766925259</v>
      </c>
      <c r="Y83" s="487">
        <f t="shared" si="53"/>
        <v>467157.86615034682</v>
      </c>
      <c r="Z83" s="487">
        <f t="shared" si="53"/>
        <v>547901.91221912357</v>
      </c>
      <c r="AA83" s="487">
        <f t="shared" si="53"/>
        <v>630824.84060264274</v>
      </c>
      <c r="AB83" s="487">
        <f t="shared" si="53"/>
        <v>716870.08704631077</v>
      </c>
      <c r="AC83" s="487">
        <f t="shared" si="53"/>
        <v>808367.51683881844</v>
      </c>
      <c r="AD83" s="487"/>
    </row>
    <row r="84" spans="1:30" ht="12" customHeight="1" x14ac:dyDescent="0.45">
      <c r="A84" s="584" t="s">
        <v>90</v>
      </c>
      <c r="B84" s="584"/>
      <c r="C84" s="568">
        <f>C86/C85</f>
        <v>5.6572617100729534E-2</v>
      </c>
      <c r="D84" s="569">
        <f t="shared" ref="D84:M84" si="54">D86/D85</f>
        <v>8.4821272790257002E-2</v>
      </c>
      <c r="E84" s="569">
        <f t="shared" si="54"/>
        <v>0.11462194239409676</v>
      </c>
      <c r="F84" s="569">
        <f t="shared" si="54"/>
        <v>0.14610614292833732</v>
      </c>
      <c r="G84" s="569">
        <f t="shared" si="54"/>
        <v>0.17942068293829075</v>
      </c>
      <c r="H84" s="569">
        <f t="shared" si="54"/>
        <v>0.21472995147272994</v>
      </c>
      <c r="I84" s="569">
        <f t="shared" si="54"/>
        <v>0.25221863090848728</v>
      </c>
      <c r="J84" s="569">
        <f t="shared" si="54"/>
        <v>0.29209492810658361</v>
      </c>
      <c r="K84" s="569">
        <f t="shared" si="54"/>
        <v>0.33459444324241255</v>
      </c>
      <c r="L84" s="569">
        <f t="shared" si="54"/>
        <v>0.37998482812381223</v>
      </c>
      <c r="M84" s="569">
        <f t="shared" si="54"/>
        <v>0.4285714285714286</v>
      </c>
      <c r="N84" s="568">
        <f>N86/N85</f>
        <v>0.4285714285714286</v>
      </c>
      <c r="Q84" s="584" t="s">
        <v>90</v>
      </c>
      <c r="R84" s="584"/>
      <c r="S84" s="570">
        <f t="shared" ref="S84:AD84" si="55">S86/S85</f>
        <v>5.6572617100729534E-2</v>
      </c>
      <c r="T84" s="571">
        <f t="shared" si="55"/>
        <v>8.4821272790257002E-2</v>
      </c>
      <c r="U84" s="569">
        <f t="shared" si="55"/>
        <v>0.11462194239409676</v>
      </c>
      <c r="V84" s="569">
        <f t="shared" si="55"/>
        <v>0.14610614292833732</v>
      </c>
      <c r="W84" s="569">
        <f t="shared" si="55"/>
        <v>0.17942068293829075</v>
      </c>
      <c r="X84" s="569">
        <f t="shared" si="55"/>
        <v>0.21472995147272994</v>
      </c>
      <c r="Y84" s="569">
        <f t="shared" si="55"/>
        <v>0.25221863090848728</v>
      </c>
      <c r="Z84" s="569">
        <f t="shared" si="55"/>
        <v>0.29209492810658361</v>
      </c>
      <c r="AA84" s="569">
        <f t="shared" si="55"/>
        <v>0.33459444324241255</v>
      </c>
      <c r="AB84" s="569">
        <f t="shared" si="55"/>
        <v>0.37998482812381223</v>
      </c>
      <c r="AC84" s="569">
        <f t="shared" si="55"/>
        <v>0.4285714285714286</v>
      </c>
      <c r="AD84" s="569">
        <f t="shared" si="55"/>
        <v>0.4285714285714286</v>
      </c>
    </row>
    <row r="85" spans="1:30" ht="12" customHeight="1" x14ac:dyDescent="0.45">
      <c r="A85" s="584" t="s">
        <v>91</v>
      </c>
      <c r="B85" s="584"/>
      <c r="C85" s="568">
        <f>C82/(C82+C83)</f>
        <v>0.94645647995689441</v>
      </c>
      <c r="D85" s="569">
        <f t="shared" ref="D85:M85" si="56">1-D86</f>
        <v>0.92181083196120484</v>
      </c>
      <c r="E85" s="569">
        <f t="shared" si="56"/>
        <v>0.89716518396551548</v>
      </c>
      <c r="F85" s="569">
        <f t="shared" si="56"/>
        <v>0.87251953596982601</v>
      </c>
      <c r="G85" s="569">
        <f t="shared" si="56"/>
        <v>0.84787388797413654</v>
      </c>
      <c r="H85" s="569">
        <f t="shared" si="56"/>
        <v>0.82322823997844718</v>
      </c>
      <c r="I85" s="569">
        <f t="shared" si="56"/>
        <v>0.79858259198275772</v>
      </c>
      <c r="J85" s="569">
        <f t="shared" si="56"/>
        <v>0.77393694398706825</v>
      </c>
      <c r="K85" s="569">
        <f t="shared" si="56"/>
        <v>0.74929129599137889</v>
      </c>
      <c r="L85" s="569">
        <f t="shared" si="56"/>
        <v>0.72464564799568942</v>
      </c>
      <c r="M85" s="569">
        <f t="shared" si="56"/>
        <v>0.7</v>
      </c>
      <c r="N85" s="568">
        <f>1-N86</f>
        <v>0.7</v>
      </c>
      <c r="Q85" s="584" t="s">
        <v>91</v>
      </c>
      <c r="R85" s="584"/>
      <c r="S85" s="570">
        <f>S82/(S82+S83)</f>
        <v>0.94645647995689441</v>
      </c>
      <c r="T85" s="571">
        <f t="shared" ref="T85:AD85" si="57">1-T86</f>
        <v>0.92181083196120484</v>
      </c>
      <c r="U85" s="569">
        <f t="shared" si="57"/>
        <v>0.89716518396551548</v>
      </c>
      <c r="V85" s="569">
        <f t="shared" si="57"/>
        <v>0.87251953596982601</v>
      </c>
      <c r="W85" s="569">
        <f t="shared" si="57"/>
        <v>0.84787388797413654</v>
      </c>
      <c r="X85" s="569">
        <f t="shared" si="57"/>
        <v>0.82322823997844718</v>
      </c>
      <c r="Y85" s="569">
        <f t="shared" si="57"/>
        <v>0.79858259198275772</v>
      </c>
      <c r="Z85" s="569">
        <f t="shared" si="57"/>
        <v>0.77393694398706825</v>
      </c>
      <c r="AA85" s="569">
        <f t="shared" si="57"/>
        <v>0.74929129599137889</v>
      </c>
      <c r="AB85" s="569">
        <f t="shared" si="57"/>
        <v>0.72464564799568942</v>
      </c>
      <c r="AC85" s="569">
        <f t="shared" si="57"/>
        <v>0.7</v>
      </c>
      <c r="AD85" s="569">
        <f t="shared" si="57"/>
        <v>0.7</v>
      </c>
    </row>
    <row r="86" spans="1:30" ht="12" customHeight="1" x14ac:dyDescent="0.45">
      <c r="A86" s="584" t="s">
        <v>92</v>
      </c>
      <c r="B86" s="584"/>
      <c r="C86" s="568">
        <f>C83/(C82+C83)</f>
        <v>5.3543520043105683E-2</v>
      </c>
      <c r="D86" s="588">
        <f>C86+($N$86-$C$86)/10</f>
        <v>7.8189168038795109E-2</v>
      </c>
      <c r="E86" s="588">
        <f>D86+($N$86-$C$86)/10</f>
        <v>0.10283481603448454</v>
      </c>
      <c r="F86" s="588">
        <f t="shared" ref="F86:M86" si="58">E86+($N$86-$C$86)/10</f>
        <v>0.12748046403017396</v>
      </c>
      <c r="G86" s="588">
        <f t="shared" si="58"/>
        <v>0.1521261120258634</v>
      </c>
      <c r="H86" s="588">
        <f t="shared" si="58"/>
        <v>0.17677176002155284</v>
      </c>
      <c r="I86" s="588">
        <f t="shared" si="58"/>
        <v>0.20141740801724228</v>
      </c>
      <c r="J86" s="588">
        <f t="shared" si="58"/>
        <v>0.22606305601293172</v>
      </c>
      <c r="K86" s="588">
        <f t="shared" si="58"/>
        <v>0.25070870400862116</v>
      </c>
      <c r="L86" s="588">
        <f t="shared" si="58"/>
        <v>0.27535435200431058</v>
      </c>
      <c r="M86" s="588">
        <f t="shared" si="58"/>
        <v>0.3</v>
      </c>
      <c r="N86" s="589">
        <f>AD86</f>
        <v>0.3</v>
      </c>
      <c r="Q86" s="584" t="s">
        <v>92</v>
      </c>
      <c r="R86" s="584"/>
      <c r="S86" s="570">
        <f>S83/(S82+S83)</f>
        <v>5.3543520043105683E-2</v>
      </c>
      <c r="T86" s="571">
        <f t="shared" ref="T86:AC86" si="59">S86+($AD$86-$S$86)/10</f>
        <v>7.8189168038795109E-2</v>
      </c>
      <c r="U86" s="569">
        <f t="shared" si="59"/>
        <v>0.10283481603448454</v>
      </c>
      <c r="V86" s="569">
        <f t="shared" si="59"/>
        <v>0.12748046403017396</v>
      </c>
      <c r="W86" s="569">
        <f t="shared" si="59"/>
        <v>0.1521261120258634</v>
      </c>
      <c r="X86" s="569">
        <f t="shared" si="59"/>
        <v>0.17677176002155284</v>
      </c>
      <c r="Y86" s="569">
        <f t="shared" si="59"/>
        <v>0.20141740801724228</v>
      </c>
      <c r="Z86" s="569">
        <f t="shared" si="59"/>
        <v>0.22606305601293172</v>
      </c>
      <c r="AA86" s="569">
        <f t="shared" si="59"/>
        <v>0.25070870400862116</v>
      </c>
      <c r="AB86" s="569">
        <f t="shared" si="59"/>
        <v>0.27535435200431058</v>
      </c>
      <c r="AC86" s="569">
        <f t="shared" si="59"/>
        <v>0.3</v>
      </c>
      <c r="AD86" s="569">
        <v>0.3</v>
      </c>
    </row>
    <row r="87" spans="1:30" ht="12" customHeight="1" x14ac:dyDescent="0.45">
      <c r="A87" s="140" t="s">
        <v>10</v>
      </c>
      <c r="B87" s="140"/>
      <c r="C87" s="580">
        <f>C78*C85+C81*C86</f>
        <v>9.3782906635027447E-2</v>
      </c>
      <c r="D87" s="581">
        <f t="shared" ref="D87:N87" si="60">D78*D85+D81*D86</f>
        <v>9.2426411680227527E-2</v>
      </c>
      <c r="E87" s="581">
        <f t="shared" si="60"/>
        <v>9.1069916725427622E-2</v>
      </c>
      <c r="F87" s="581">
        <f t="shared" si="60"/>
        <v>8.9713421770627716E-2</v>
      </c>
      <c r="G87" s="581">
        <f t="shared" si="60"/>
        <v>8.8356926815827824E-2</v>
      </c>
      <c r="H87" s="581">
        <f t="shared" si="60"/>
        <v>8.7000431861027919E-2</v>
      </c>
      <c r="I87" s="581">
        <f t="shared" si="60"/>
        <v>8.5643936906228013E-2</v>
      </c>
      <c r="J87" s="581">
        <f t="shared" si="60"/>
        <v>8.4287441951428121E-2</v>
      </c>
      <c r="K87" s="581">
        <f t="shared" si="60"/>
        <v>8.2930946996628216E-2</v>
      </c>
      <c r="L87" s="581">
        <f t="shared" si="60"/>
        <v>8.2561386573167916E-2</v>
      </c>
      <c r="M87" s="581">
        <f t="shared" si="60"/>
        <v>8.2953038675466398E-2</v>
      </c>
      <c r="N87" s="580">
        <f t="shared" si="60"/>
        <v>8.2953038675466398E-2</v>
      </c>
      <c r="Q87" s="140" t="s">
        <v>10</v>
      </c>
      <c r="R87" s="140"/>
      <c r="S87" s="582">
        <f t="shared" ref="S87:AD87" si="61">S78*S85+S81*S86</f>
        <v>9.3782906635027447E-2</v>
      </c>
      <c r="T87" s="583">
        <f t="shared" si="61"/>
        <v>9.2426411680227527E-2</v>
      </c>
      <c r="U87" s="581">
        <f t="shared" si="61"/>
        <v>9.1069916725427622E-2</v>
      </c>
      <c r="V87" s="581">
        <f t="shared" si="61"/>
        <v>8.9713421770627716E-2</v>
      </c>
      <c r="W87" s="581">
        <f t="shared" si="61"/>
        <v>8.8356926815827824E-2</v>
      </c>
      <c r="X87" s="581">
        <f t="shared" si="61"/>
        <v>8.7000431861027919E-2</v>
      </c>
      <c r="Y87" s="581">
        <f t="shared" si="61"/>
        <v>8.5643936906228013E-2</v>
      </c>
      <c r="Z87" s="581">
        <f t="shared" si="61"/>
        <v>8.4287441951428121E-2</v>
      </c>
      <c r="AA87" s="581">
        <f t="shared" si="61"/>
        <v>8.2930946996628216E-2</v>
      </c>
      <c r="AB87" s="581">
        <f t="shared" si="61"/>
        <v>8.2561386573167916E-2</v>
      </c>
      <c r="AC87" s="581">
        <f t="shared" si="61"/>
        <v>8.2953038675466398E-2</v>
      </c>
      <c r="AD87" s="581">
        <f t="shared" si="61"/>
        <v>8.2953038675466398E-2</v>
      </c>
    </row>
    <row r="88" spans="1:30" ht="12" customHeight="1" x14ac:dyDescent="0.45">
      <c r="A88" s="590" t="s">
        <v>95</v>
      </c>
      <c r="B88" s="419"/>
      <c r="C88" s="591">
        <f>C87/S87-1</f>
        <v>0</v>
      </c>
      <c r="D88" s="591">
        <f t="shared" ref="D88:N88" si="62">D87/T87-1</f>
        <v>0</v>
      </c>
      <c r="E88" s="591">
        <f t="shared" si="62"/>
        <v>0</v>
      </c>
      <c r="F88" s="591">
        <f t="shared" si="62"/>
        <v>0</v>
      </c>
      <c r="G88" s="591">
        <f t="shared" si="62"/>
        <v>0</v>
      </c>
      <c r="H88" s="591">
        <f t="shared" si="62"/>
        <v>0</v>
      </c>
      <c r="I88" s="591">
        <f t="shared" si="62"/>
        <v>0</v>
      </c>
      <c r="J88" s="591">
        <f t="shared" si="62"/>
        <v>0</v>
      </c>
      <c r="K88" s="591">
        <f t="shared" si="62"/>
        <v>0</v>
      </c>
      <c r="L88" s="591">
        <f t="shared" si="62"/>
        <v>0</v>
      </c>
      <c r="M88" s="591">
        <f t="shared" si="62"/>
        <v>0</v>
      </c>
      <c r="N88" s="591">
        <f t="shared" si="62"/>
        <v>0</v>
      </c>
      <c r="Q88" s="825" t="s">
        <v>95</v>
      </c>
      <c r="S88" s="826"/>
      <c r="T88" s="826">
        <f t="shared" ref="T88:AD88" si="63">T87/S38-1</f>
        <v>0</v>
      </c>
      <c r="U88" s="826">
        <f t="shared" si="63"/>
        <v>0</v>
      </c>
      <c r="V88" s="826">
        <f t="shared" si="63"/>
        <v>0</v>
      </c>
      <c r="W88" s="826">
        <f t="shared" si="63"/>
        <v>0</v>
      </c>
      <c r="X88" s="826">
        <f t="shared" si="63"/>
        <v>0</v>
      </c>
      <c r="Y88" s="826">
        <f t="shared" si="63"/>
        <v>0</v>
      </c>
      <c r="Z88" s="826">
        <f t="shared" si="63"/>
        <v>0</v>
      </c>
      <c r="AA88" s="826">
        <f t="shared" si="63"/>
        <v>0</v>
      </c>
      <c r="AB88" s="826">
        <f t="shared" si="63"/>
        <v>0</v>
      </c>
      <c r="AC88" s="826">
        <f t="shared" si="63"/>
        <v>0</v>
      </c>
      <c r="AD88" s="826">
        <f t="shared" si="63"/>
        <v>0</v>
      </c>
    </row>
    <row r="89" spans="1:30" ht="11.1" customHeight="1" x14ac:dyDescent="0.45">
      <c r="A89" s="590"/>
      <c r="B89" s="419"/>
      <c r="C89" s="591"/>
      <c r="D89" s="591"/>
      <c r="E89" s="591"/>
      <c r="F89" s="591"/>
      <c r="G89" s="591"/>
      <c r="H89" s="591"/>
      <c r="I89" s="591"/>
      <c r="J89" s="591"/>
      <c r="K89" s="591"/>
      <c r="L89" s="591"/>
      <c r="M89" s="591"/>
      <c r="N89" s="591"/>
      <c r="Q89" s="419"/>
      <c r="R89" s="419"/>
      <c r="S89" s="419"/>
      <c r="T89" s="419"/>
      <c r="U89" s="419"/>
      <c r="V89" s="419"/>
      <c r="W89" s="419"/>
      <c r="X89" s="419"/>
      <c r="Y89" s="419"/>
      <c r="Z89" s="419"/>
      <c r="AA89" s="419"/>
      <c r="AB89" s="419"/>
      <c r="AC89" s="419"/>
      <c r="AD89" s="419"/>
    </row>
    <row r="90" spans="1:30" ht="11.1" customHeight="1" x14ac:dyDescent="0.45">
      <c r="A90" s="1212">
        <f>Datenquelle!$B$20</f>
        <v>46129</v>
      </c>
      <c r="B90" s="1212"/>
      <c r="C90" s="939"/>
      <c r="D90" s="139"/>
      <c r="E90" s="940">
        <v>1</v>
      </c>
      <c r="F90" s="940">
        <f>E90+1</f>
        <v>2</v>
      </c>
      <c r="G90" s="940">
        <f t="shared" ref="G90:N90" si="64">F90+1</f>
        <v>3</v>
      </c>
      <c r="H90" s="940">
        <f t="shared" si="64"/>
        <v>4</v>
      </c>
      <c r="I90" s="940">
        <f t="shared" si="64"/>
        <v>5</v>
      </c>
      <c r="J90" s="940">
        <f t="shared" si="64"/>
        <v>6</v>
      </c>
      <c r="K90" s="940">
        <f t="shared" si="64"/>
        <v>7</v>
      </c>
      <c r="L90" s="940">
        <f t="shared" si="64"/>
        <v>8</v>
      </c>
      <c r="M90" s="940">
        <f t="shared" si="64"/>
        <v>9</v>
      </c>
      <c r="N90" s="940">
        <f t="shared" si="64"/>
        <v>10</v>
      </c>
      <c r="Q90" s="139" t="str">
        <f>Datenquelle!$E$15</f>
        <v>IQ20765463</v>
      </c>
      <c r="R90" s="183"/>
      <c r="S90" s="183" t="s">
        <v>70</v>
      </c>
      <c r="T90" s="183" t="s">
        <v>72</v>
      </c>
      <c r="U90" s="183" t="s">
        <v>70</v>
      </c>
      <c r="V90" s="183" t="s">
        <v>72</v>
      </c>
      <c r="X90" s="183" t="s">
        <v>170</v>
      </c>
    </row>
    <row r="91" spans="1:30" ht="11.1" customHeight="1" x14ac:dyDescent="0.45">
      <c r="A91" s="592" t="s">
        <v>140</v>
      </c>
      <c r="B91" s="139"/>
      <c r="C91" s="1214" t="s">
        <v>139</v>
      </c>
      <c r="D91" s="1215"/>
      <c r="E91" s="593" t="s">
        <v>821</v>
      </c>
      <c r="F91" s="593" t="s">
        <v>822</v>
      </c>
      <c r="G91" s="593" t="s">
        <v>823</v>
      </c>
      <c r="H91" s="593" t="s">
        <v>824</v>
      </c>
      <c r="I91" s="593" t="s">
        <v>825</v>
      </c>
      <c r="J91" s="593" t="s">
        <v>826</v>
      </c>
      <c r="K91" s="593" t="s">
        <v>827</v>
      </c>
      <c r="L91" s="593" t="s">
        <v>828</v>
      </c>
      <c r="M91" s="593" t="s">
        <v>829</v>
      </c>
      <c r="N91" s="593" t="s">
        <v>830</v>
      </c>
      <c r="Q91" s="139"/>
      <c r="R91" s="183" t="s">
        <v>21</v>
      </c>
      <c r="S91" s="183" t="s">
        <v>71</v>
      </c>
      <c r="T91" s="183" t="s">
        <v>73</v>
      </c>
      <c r="U91" s="183" t="s">
        <v>71</v>
      </c>
      <c r="V91" s="183" t="s">
        <v>73</v>
      </c>
      <c r="X91" s="183" t="s">
        <v>171</v>
      </c>
    </row>
    <row r="92" spans="1:30" ht="11.1" customHeight="1" x14ac:dyDescent="0.45">
      <c r="A92" s="592" t="s">
        <v>138</v>
      </c>
      <c r="B92" s="140" t="str">
        <f>A2</f>
        <v>Meta Platforms, Inc.</v>
      </c>
      <c r="C92" s="141" t="s">
        <v>15</v>
      </c>
      <c r="D92" s="142" t="s">
        <v>193</v>
      </c>
      <c r="E92" s="138" t="s">
        <v>831</v>
      </c>
      <c r="F92" s="138" t="s">
        <v>832</v>
      </c>
      <c r="G92" s="138" t="s">
        <v>833</v>
      </c>
      <c r="H92" s="138" t="s">
        <v>834</v>
      </c>
      <c r="I92" s="138" t="s">
        <v>835</v>
      </c>
      <c r="J92" s="138" t="s">
        <v>836</v>
      </c>
      <c r="K92" s="138" t="s">
        <v>837</v>
      </c>
      <c r="L92" s="138" t="s">
        <v>838</v>
      </c>
      <c r="M92" s="138" t="s">
        <v>839</v>
      </c>
      <c r="N92" s="138" t="s">
        <v>840</v>
      </c>
      <c r="O92" s="414" t="s">
        <v>24</v>
      </c>
      <c r="Q92" s="183">
        <f>365*3</f>
        <v>1095</v>
      </c>
      <c r="R92" s="183"/>
      <c r="S92" s="183" t="str">
        <f>Datenquelle!$K$15</f>
        <v>USD</v>
      </c>
      <c r="T92" s="183" t="s">
        <v>3</v>
      </c>
      <c r="U92" s="183" t="str">
        <f>S92</f>
        <v>USD</v>
      </c>
      <c r="V92" s="183" t="str">
        <f>T92</f>
        <v>in Mio.</v>
      </c>
      <c r="X92" s="183" t="s">
        <v>172</v>
      </c>
    </row>
    <row r="93" spans="1:30" ht="11.1" customHeight="1" x14ac:dyDescent="0.45">
      <c r="A93" s="567" t="s">
        <v>125</v>
      </c>
      <c r="B93" s="526">
        <v>16.267199999999999</v>
      </c>
      <c r="C93" s="594">
        <f>MEDIAN(E93:N93)</f>
        <v>14.0227</v>
      </c>
      <c r="D93" s="595">
        <f>IFERROR(B93/C93-1,0)</f>
        <v>0.16006189963416451</v>
      </c>
      <c r="E93" s="526">
        <v>25.635290000000001</v>
      </c>
      <c r="F93" s="526">
        <v>60.899949999999997</v>
      </c>
      <c r="G93" s="526">
        <v>3.9651800000000001</v>
      </c>
      <c r="H93" s="526">
        <v>13.874269999999999</v>
      </c>
      <c r="I93" s="526">
        <v>16.931709999999999</v>
      </c>
      <c r="J93" s="526">
        <v>6.4804399999999998</v>
      </c>
      <c r="K93" s="526">
        <v>19.332920000000001</v>
      </c>
      <c r="L93" s="526">
        <v>14.17113</v>
      </c>
      <c r="M93" s="526">
        <v>6.2693000000000003</v>
      </c>
      <c r="N93" s="526">
        <v>2.1202000000000001</v>
      </c>
      <c r="Q93" s="439">
        <f t="shared" ref="Q93:Q156" si="65">Q94+1</f>
        <v>1095</v>
      </c>
      <c r="R93" s="596">
        <f t="shared" ref="R93:R156" si="66">R94-1</f>
        <v>45035</v>
      </c>
      <c r="S93" s="597">
        <f t="shared" ref="S93:S156" si="67">IF(U93=U92,#N/A,U93)</f>
        <v>215.7</v>
      </c>
      <c r="T93" s="526">
        <f t="shared" ref="T93:T156" si="68">IF(S93="#NV",#N/A,V93)</f>
        <v>3429.2158599999998</v>
      </c>
      <c r="U93" s="598">
        <v>215.7</v>
      </c>
      <c r="V93" s="598">
        <v>3429.2158599999998</v>
      </c>
      <c r="X93" s="599">
        <v>4154.5189899999996</v>
      </c>
    </row>
    <row r="94" spans="1:30" ht="11.1" customHeight="1" x14ac:dyDescent="0.45">
      <c r="A94" s="567" t="s">
        <v>0</v>
      </c>
      <c r="B94" s="526">
        <v>16.267199999999999</v>
      </c>
      <c r="C94" s="594">
        <f>MEDIAN(E94:N94)</f>
        <v>14.17113</v>
      </c>
      <c r="D94" s="595">
        <f t="shared" ref="D94:D95" si="69">IFERROR(B94/C94-1,0)</f>
        <v>0.14791128159857392</v>
      </c>
      <c r="E94" s="526">
        <v>25.635290000000001</v>
      </c>
      <c r="F94" s="526">
        <v>60.899949999999997</v>
      </c>
      <c r="G94" s="526">
        <v>3.9651800000000001</v>
      </c>
      <c r="H94" s="526">
        <v>13.874269999999999</v>
      </c>
      <c r="I94" s="526">
        <v>16.931709999999999</v>
      </c>
      <c r="J94" s="526">
        <v>6.4804399999999998</v>
      </c>
      <c r="K94" s="526">
        <v>19.332920000000001</v>
      </c>
      <c r="L94" s="526">
        <v>14.17113</v>
      </c>
      <c r="M94" s="526">
        <v>6.2693000000000003</v>
      </c>
      <c r="N94" s="526" t="s">
        <v>841</v>
      </c>
      <c r="Q94" s="439">
        <f t="shared" si="65"/>
        <v>1094</v>
      </c>
      <c r="R94" s="596">
        <f t="shared" si="66"/>
        <v>45036</v>
      </c>
      <c r="S94" s="597">
        <f t="shared" si="67"/>
        <v>213.07</v>
      </c>
      <c r="T94" s="526">
        <f t="shared" si="68"/>
        <v>3510.422</v>
      </c>
      <c r="U94" s="598">
        <v>213.07</v>
      </c>
      <c r="V94" s="598">
        <v>3510.422</v>
      </c>
      <c r="X94" s="599">
        <v>4129.7923700000001</v>
      </c>
    </row>
    <row r="95" spans="1:30" ht="11.1" customHeight="1" x14ac:dyDescent="0.45">
      <c r="A95" s="567" t="s">
        <v>126</v>
      </c>
      <c r="B95" s="526">
        <v>12.187889999999999</v>
      </c>
      <c r="C95" s="594">
        <f>MEDIAN(E95:N95)</f>
        <v>12.332520000000001</v>
      </c>
      <c r="D95" s="595">
        <f t="shared" si="69"/>
        <v>-1.1727530139825526E-2</v>
      </c>
      <c r="E95" s="526">
        <v>18.25487</v>
      </c>
      <c r="F95" s="526">
        <v>21.509920000000001</v>
      </c>
      <c r="G95" s="526">
        <v>3.9385400000000002</v>
      </c>
      <c r="H95" s="526">
        <v>11.3622</v>
      </c>
      <c r="I95" s="526">
        <v>13.018929999999999</v>
      </c>
      <c r="J95" s="526">
        <v>4.1325099999999999</v>
      </c>
      <c r="K95" s="526">
        <v>12.332520000000001</v>
      </c>
      <c r="L95" s="526">
        <v>13.676600000000001</v>
      </c>
      <c r="M95" s="526">
        <v>4.7689500000000002</v>
      </c>
      <c r="N95" s="526" t="s">
        <v>841</v>
      </c>
      <c r="Q95" s="439">
        <f t="shared" si="65"/>
        <v>1093</v>
      </c>
      <c r="R95" s="596">
        <f t="shared" si="66"/>
        <v>45037</v>
      </c>
      <c r="S95" s="597">
        <f t="shared" si="67"/>
        <v>212.89</v>
      </c>
      <c r="T95" s="526">
        <f t="shared" si="68"/>
        <v>3771.8083200000001</v>
      </c>
      <c r="U95" s="598">
        <v>212.89</v>
      </c>
      <c r="V95" s="598">
        <v>3771.8083200000001</v>
      </c>
      <c r="X95" s="599">
        <v>4133.5213199999998</v>
      </c>
    </row>
    <row r="96" spans="1:30" ht="11.1" customHeight="1" x14ac:dyDescent="0.45">
      <c r="A96" s="592" t="s">
        <v>50</v>
      </c>
      <c r="B96" s="139"/>
      <c r="C96" s="141" t="str">
        <f>C$92</f>
        <v>Median</v>
      </c>
      <c r="D96" s="142" t="s">
        <v>193</v>
      </c>
      <c r="E96" s="138"/>
      <c r="F96" s="138"/>
      <c r="G96" s="138"/>
      <c r="H96" s="138"/>
      <c r="I96" s="138"/>
      <c r="J96" s="138"/>
      <c r="K96" s="138"/>
      <c r="L96" s="138"/>
      <c r="M96" s="138"/>
      <c r="N96" s="138"/>
      <c r="O96" s="414" t="s">
        <v>24</v>
      </c>
      <c r="Q96" s="439">
        <f t="shared" si="65"/>
        <v>1092</v>
      </c>
      <c r="R96" s="596">
        <f t="shared" si="66"/>
        <v>45038</v>
      </c>
      <c r="S96" s="597" t="e">
        <f t="shared" si="67"/>
        <v>#N/A</v>
      </c>
      <c r="T96" s="526" t="e">
        <f t="shared" si="68"/>
        <v>#N/A</v>
      </c>
      <c r="U96" s="598">
        <v>212.89</v>
      </c>
      <c r="V96" s="598">
        <v>0</v>
      </c>
      <c r="X96" s="599">
        <v>4133.5213199999998</v>
      </c>
    </row>
    <row r="97" spans="1:24" ht="11.1" customHeight="1" x14ac:dyDescent="0.45">
      <c r="A97" s="567" t="s">
        <v>125</v>
      </c>
      <c r="B97" s="526">
        <v>20.67428</v>
      </c>
      <c r="C97" s="594">
        <f>MEDIAN(E97:N97)</f>
        <v>22.608454999999999</v>
      </c>
      <c r="D97" s="595">
        <f>IFERROR(B97/C97-1,0)</f>
        <v>-8.555095870106999E-2</v>
      </c>
      <c r="E97" s="526">
        <v>30.832920000000001</v>
      </c>
      <c r="F97" s="526">
        <v>64.663349999999994</v>
      </c>
      <c r="G97" s="526">
        <v>4.3354900000000001</v>
      </c>
      <c r="H97" s="526">
        <v>15.624879999999999</v>
      </c>
      <c r="I97" s="526">
        <v>34.510449999999999</v>
      </c>
      <c r="J97" s="526">
        <v>7.0713400000000002</v>
      </c>
      <c r="K97" s="526">
        <v>20.493590000000001</v>
      </c>
      <c r="L97" s="526">
        <v>37.175080000000001</v>
      </c>
      <c r="M97" s="526">
        <v>24.723320000000001</v>
      </c>
      <c r="N97" s="526">
        <v>5.4117899999999999</v>
      </c>
      <c r="Q97" s="439">
        <f t="shared" si="65"/>
        <v>1091</v>
      </c>
      <c r="R97" s="596">
        <f t="shared" si="66"/>
        <v>45039</v>
      </c>
      <c r="S97" s="597" t="e">
        <f t="shared" si="67"/>
        <v>#N/A</v>
      </c>
      <c r="T97" s="526" t="e">
        <f t="shared" si="68"/>
        <v>#N/A</v>
      </c>
      <c r="U97" s="598">
        <v>212.89</v>
      </c>
      <c r="V97" s="598">
        <v>0</v>
      </c>
      <c r="X97" s="599">
        <v>4133.5213199999998</v>
      </c>
    </row>
    <row r="98" spans="1:24" ht="11.1" customHeight="1" x14ac:dyDescent="0.45">
      <c r="A98" s="567" t="s">
        <v>0</v>
      </c>
      <c r="B98" s="526">
        <v>20.67428</v>
      </c>
      <c r="C98" s="594">
        <f>MEDIAN(E98:N98)</f>
        <v>22.751750000000001</v>
      </c>
      <c r="D98" s="595">
        <f t="shared" ref="D98:D99" si="70">IFERROR(B98/C98-1,0)</f>
        <v>-9.1310338765150045E-2</v>
      </c>
      <c r="E98" s="526">
        <v>30.832920000000001</v>
      </c>
      <c r="F98" s="526">
        <v>64.663349999999994</v>
      </c>
      <c r="G98" s="526">
        <v>4.3354900000000001</v>
      </c>
      <c r="H98" s="526">
        <v>15.624879999999999</v>
      </c>
      <c r="I98" s="526">
        <v>34.510449999999999</v>
      </c>
      <c r="J98" s="526">
        <v>7.0713400000000002</v>
      </c>
      <c r="K98" s="526">
        <v>20.493590000000001</v>
      </c>
      <c r="L98" s="526">
        <v>37.175080000000001</v>
      </c>
      <c r="M98" s="526">
        <v>24.723320000000001</v>
      </c>
      <c r="N98" s="526">
        <v>20.780180000000001</v>
      </c>
      <c r="Q98" s="439">
        <f t="shared" si="65"/>
        <v>1090</v>
      </c>
      <c r="R98" s="596">
        <f t="shared" si="66"/>
        <v>45040</v>
      </c>
      <c r="S98" s="597">
        <f t="shared" si="67"/>
        <v>212.79</v>
      </c>
      <c r="T98" s="526">
        <f t="shared" si="68"/>
        <v>3351.6382699999999</v>
      </c>
      <c r="U98" s="598">
        <v>212.79</v>
      </c>
      <c r="V98" s="598">
        <v>3351.6382699999999</v>
      </c>
      <c r="X98" s="599">
        <v>4137.0445900000004</v>
      </c>
    </row>
    <row r="99" spans="1:24" ht="11.1" customHeight="1" x14ac:dyDescent="0.45">
      <c r="A99" s="567" t="s">
        <v>126</v>
      </c>
      <c r="B99" s="526">
        <v>19.702860000000001</v>
      </c>
      <c r="C99" s="594">
        <f>MEDIAN(E99:N99)</f>
        <v>17.33625</v>
      </c>
      <c r="D99" s="595">
        <f t="shared" si="70"/>
        <v>0.1365122215011898</v>
      </c>
      <c r="E99" s="526">
        <v>25.0976</v>
      </c>
      <c r="F99" s="526">
        <v>34.174669999999999</v>
      </c>
      <c r="G99" s="526">
        <v>4.9126099999999999</v>
      </c>
      <c r="H99" s="526">
        <v>14.901479999999999</v>
      </c>
      <c r="I99" s="526">
        <v>27.876090000000001</v>
      </c>
      <c r="J99" s="526">
        <v>8.5730299999999993</v>
      </c>
      <c r="K99" s="526">
        <v>17.33625</v>
      </c>
      <c r="L99" s="526">
        <v>28.548549999999999</v>
      </c>
      <c r="M99" s="526">
        <v>11.116540000000001</v>
      </c>
      <c r="N99" s="526" t="s">
        <v>841</v>
      </c>
      <c r="Q99" s="439">
        <f t="shared" si="65"/>
        <v>1089</v>
      </c>
      <c r="R99" s="596">
        <f t="shared" si="66"/>
        <v>45041</v>
      </c>
      <c r="S99" s="597">
        <f t="shared" si="67"/>
        <v>207.55</v>
      </c>
      <c r="T99" s="526">
        <f t="shared" si="68"/>
        <v>3984.5822600000001</v>
      </c>
      <c r="U99" s="598">
        <v>207.55</v>
      </c>
      <c r="V99" s="598">
        <v>3984.5822600000001</v>
      </c>
      <c r="X99" s="599">
        <v>4071.6304300000002</v>
      </c>
    </row>
    <row r="100" spans="1:24" ht="11.1" customHeight="1" x14ac:dyDescent="0.45">
      <c r="A100" s="592" t="s">
        <v>127</v>
      </c>
      <c r="B100" s="139"/>
      <c r="C100" s="141" t="str">
        <f>C$92</f>
        <v>Median</v>
      </c>
      <c r="D100" s="142" t="s">
        <v>193</v>
      </c>
      <c r="E100" s="138"/>
      <c r="F100" s="138"/>
      <c r="G100" s="138"/>
      <c r="H100" s="138"/>
      <c r="I100" s="138"/>
      <c r="J100" s="138"/>
      <c r="K100" s="138"/>
      <c r="L100" s="138"/>
      <c r="M100" s="138"/>
      <c r="N100" s="138"/>
      <c r="O100" s="414" t="s">
        <v>24</v>
      </c>
      <c r="Q100" s="439">
        <f t="shared" si="65"/>
        <v>1088</v>
      </c>
      <c r="R100" s="596">
        <f t="shared" si="66"/>
        <v>45042</v>
      </c>
      <c r="S100" s="597">
        <f t="shared" si="67"/>
        <v>209.4</v>
      </c>
      <c r="T100" s="526">
        <f t="shared" si="68"/>
        <v>8793.2776599999997</v>
      </c>
      <c r="U100" s="598">
        <v>209.4</v>
      </c>
      <c r="V100" s="598">
        <v>8793.2776599999997</v>
      </c>
      <c r="X100" s="599">
        <v>4055.9877799999999</v>
      </c>
    </row>
    <row r="101" spans="1:24" ht="11.1" customHeight="1" x14ac:dyDescent="0.45">
      <c r="A101" s="567" t="s">
        <v>125</v>
      </c>
      <c r="B101" s="526">
        <v>32.43985</v>
      </c>
      <c r="C101" s="594">
        <f>MEDIAN(E101:N101)</f>
        <v>39.935164999999998</v>
      </c>
      <c r="D101" s="595">
        <f>IFERROR(B101/C101-1,0)</f>
        <v>-0.18768709231575731</v>
      </c>
      <c r="E101" s="526">
        <v>48.993630000000003</v>
      </c>
      <c r="F101" s="526">
        <v>99.36242</v>
      </c>
      <c r="G101" s="526">
        <v>1.45702</v>
      </c>
      <c r="H101" s="526">
        <v>25.725239999999999</v>
      </c>
      <c r="I101" s="526">
        <v>53.103560000000002</v>
      </c>
      <c r="J101" s="526">
        <v>13.73282</v>
      </c>
      <c r="K101" s="526">
        <v>32.449950000000001</v>
      </c>
      <c r="L101" s="526">
        <v>131.99507</v>
      </c>
      <c r="M101" s="526">
        <v>47.420380000000002</v>
      </c>
      <c r="N101" s="526">
        <v>7.4938599999999997</v>
      </c>
      <c r="Q101" s="439">
        <f t="shared" si="65"/>
        <v>1087</v>
      </c>
      <c r="R101" s="596">
        <f t="shared" si="66"/>
        <v>45043</v>
      </c>
      <c r="S101" s="597">
        <f t="shared" si="67"/>
        <v>238.56</v>
      </c>
      <c r="T101" s="526">
        <f t="shared" si="68"/>
        <v>16984.644199999999</v>
      </c>
      <c r="U101" s="598">
        <v>238.56</v>
      </c>
      <c r="V101" s="598">
        <v>16984.644199999999</v>
      </c>
      <c r="X101" s="599">
        <v>4135.3522300000004</v>
      </c>
    </row>
    <row r="102" spans="1:24" ht="11.1" customHeight="1" x14ac:dyDescent="0.45">
      <c r="A102" s="567" t="s">
        <v>0</v>
      </c>
      <c r="B102" s="526">
        <v>32.43985</v>
      </c>
      <c r="C102" s="594">
        <f>MEDIAN(E102:N102)</f>
        <v>43.387610000000002</v>
      </c>
      <c r="D102" s="595">
        <f t="shared" ref="D102" si="71">IFERROR(B102/C102-1,0)</f>
        <v>-0.25232456915695523</v>
      </c>
      <c r="E102" s="526">
        <v>48.993630000000003</v>
      </c>
      <c r="F102" s="526">
        <v>99.36242</v>
      </c>
      <c r="G102" s="526">
        <v>1.45702</v>
      </c>
      <c r="H102" s="526">
        <v>25.725239999999999</v>
      </c>
      <c r="I102" s="526">
        <v>53.103560000000002</v>
      </c>
      <c r="J102" s="526">
        <v>13.73282</v>
      </c>
      <c r="K102" s="526">
        <v>32.449950000000001</v>
      </c>
      <c r="L102" s="526">
        <v>131.99507</v>
      </c>
      <c r="M102" s="526">
        <v>47.420380000000002</v>
      </c>
      <c r="N102" s="526">
        <v>39.354840000000003</v>
      </c>
      <c r="Q102" s="439">
        <f t="shared" si="65"/>
        <v>1086</v>
      </c>
      <c r="R102" s="596">
        <f t="shared" si="66"/>
        <v>45044</v>
      </c>
      <c r="S102" s="597">
        <f t="shared" si="67"/>
        <v>240.32</v>
      </c>
      <c r="T102" s="526">
        <f t="shared" si="68"/>
        <v>9505.6268899999995</v>
      </c>
      <c r="U102" s="598">
        <v>240.32</v>
      </c>
      <c r="V102" s="598">
        <v>9505.6268899999995</v>
      </c>
      <c r="X102" s="599">
        <v>4169.4813999999997</v>
      </c>
    </row>
    <row r="103" spans="1:24" ht="11.1" customHeight="1" x14ac:dyDescent="0.45">
      <c r="A103" s="592" t="s">
        <v>128</v>
      </c>
      <c r="B103" s="139"/>
      <c r="C103" s="141" t="str">
        <f>C$92</f>
        <v>Median</v>
      </c>
      <c r="D103" s="142" t="s">
        <v>193</v>
      </c>
      <c r="E103" s="138"/>
      <c r="F103" s="138"/>
      <c r="G103" s="138"/>
      <c r="H103" s="138"/>
      <c r="I103" s="138"/>
      <c r="J103" s="138"/>
      <c r="K103" s="138"/>
      <c r="L103" s="138"/>
      <c r="M103" s="138"/>
      <c r="N103" s="138"/>
      <c r="O103" s="414" t="s">
        <v>24</v>
      </c>
      <c r="Q103" s="439">
        <f t="shared" si="65"/>
        <v>1085</v>
      </c>
      <c r="R103" s="596">
        <f t="shared" si="66"/>
        <v>45045</v>
      </c>
      <c r="S103" s="597" t="e">
        <f t="shared" si="67"/>
        <v>#N/A</v>
      </c>
      <c r="T103" s="526" t="e">
        <f t="shared" si="68"/>
        <v>#N/A</v>
      </c>
      <c r="U103" s="598">
        <v>240.32</v>
      </c>
      <c r="V103" s="598">
        <v>0</v>
      </c>
      <c r="X103" s="599">
        <v>4169.4813999999997</v>
      </c>
    </row>
    <row r="104" spans="1:24" ht="11.1" customHeight="1" x14ac:dyDescent="0.45">
      <c r="A104" s="567" t="s">
        <v>125</v>
      </c>
      <c r="B104" s="526">
        <v>7.88279</v>
      </c>
      <c r="C104" s="594">
        <f>MEDIAN(E104:N104)</f>
        <v>3.5903399999999999</v>
      </c>
      <c r="D104" s="595">
        <f>IFERROR(B104/C104-1,0)</f>
        <v>1.1955552955987456</v>
      </c>
      <c r="E104" s="526">
        <v>9.78125</v>
      </c>
      <c r="F104" s="526">
        <v>10.58724</v>
      </c>
      <c r="G104" s="526">
        <v>0.98007</v>
      </c>
      <c r="H104" s="526">
        <v>3.5903399999999999</v>
      </c>
      <c r="I104" s="526">
        <v>6.51851</v>
      </c>
      <c r="J104" s="526">
        <v>2.3126500000000001</v>
      </c>
      <c r="K104" s="526">
        <v>50.937060000000002</v>
      </c>
      <c r="L104" s="526">
        <v>0.71057000000000003</v>
      </c>
      <c r="M104" s="526">
        <v>1.1149899999999999</v>
      </c>
      <c r="N104" s="526" t="s">
        <v>842</v>
      </c>
      <c r="Q104" s="439">
        <f t="shared" si="65"/>
        <v>1084</v>
      </c>
      <c r="R104" s="596">
        <f t="shared" si="66"/>
        <v>45046</v>
      </c>
      <c r="S104" s="597" t="e">
        <f t="shared" si="67"/>
        <v>#N/A</v>
      </c>
      <c r="T104" s="526" t="e">
        <f t="shared" si="68"/>
        <v>#N/A</v>
      </c>
      <c r="U104" s="598">
        <v>240.32</v>
      </c>
      <c r="V104" s="598">
        <v>0</v>
      </c>
      <c r="X104" s="599">
        <v>4169.4813999999997</v>
      </c>
    </row>
    <row r="105" spans="1:24" ht="11.1" customHeight="1" x14ac:dyDescent="0.45">
      <c r="A105" s="567" t="s">
        <v>0</v>
      </c>
      <c r="B105" s="526">
        <v>7.88279</v>
      </c>
      <c r="C105" s="594">
        <f>MEDIAN(E105:N105)</f>
        <v>3.5903399999999999</v>
      </c>
      <c r="D105" s="595">
        <f t="shared" ref="D105" si="72">IFERROR(B105/C105-1,0)</f>
        <v>1.1955552955987456</v>
      </c>
      <c r="E105" s="526">
        <v>9.78125</v>
      </c>
      <c r="F105" s="526">
        <v>10.58724</v>
      </c>
      <c r="G105" s="526">
        <v>0.98007</v>
      </c>
      <c r="H105" s="526">
        <v>3.5903399999999999</v>
      </c>
      <c r="I105" s="526">
        <v>6.51851</v>
      </c>
      <c r="J105" s="526">
        <v>2.3126500000000001</v>
      </c>
      <c r="K105" s="526">
        <v>50.937060000000002</v>
      </c>
      <c r="L105" s="526">
        <v>0.71057000000000003</v>
      </c>
      <c r="M105" s="526">
        <v>1.1149899999999999</v>
      </c>
      <c r="N105" s="526" t="s">
        <v>842</v>
      </c>
      <c r="Q105" s="439">
        <f t="shared" si="65"/>
        <v>1083</v>
      </c>
      <c r="R105" s="596">
        <f t="shared" si="66"/>
        <v>45047</v>
      </c>
      <c r="S105" s="597">
        <f t="shared" si="67"/>
        <v>243.18</v>
      </c>
      <c r="T105" s="526">
        <f t="shared" si="68"/>
        <v>7087.2160299999996</v>
      </c>
      <c r="U105" s="598">
        <v>243.18</v>
      </c>
      <c r="V105" s="598">
        <v>7087.2160299999996</v>
      </c>
      <c r="X105" s="599">
        <v>4167.8668900000002</v>
      </c>
    </row>
    <row r="106" spans="1:24" ht="11.1" customHeight="1" x14ac:dyDescent="0.45">
      <c r="Q106" s="439">
        <f t="shared" si="65"/>
        <v>1082</v>
      </c>
      <c r="R106" s="596">
        <f t="shared" si="66"/>
        <v>45048</v>
      </c>
      <c r="S106" s="597">
        <f t="shared" si="67"/>
        <v>239.24</v>
      </c>
      <c r="T106" s="526">
        <f t="shared" si="68"/>
        <v>5825.5298899999998</v>
      </c>
      <c r="U106" s="598">
        <v>239.24</v>
      </c>
      <c r="V106" s="598">
        <v>5825.5298899999998</v>
      </c>
      <c r="X106" s="599">
        <v>4119.5804500000004</v>
      </c>
    </row>
    <row r="107" spans="1:24" ht="11.1" customHeight="1" x14ac:dyDescent="0.45">
      <c r="A107" s="592" t="s">
        <v>165</v>
      </c>
      <c r="B107" s="140"/>
      <c r="C107" s="1214" t="s">
        <v>139</v>
      </c>
      <c r="D107" s="1215"/>
      <c r="E107" s="1213" t="str">
        <f t="shared" ref="E107:N107" si="73">E$92</f>
        <v>Alphabet Inc.</v>
      </c>
      <c r="F107" s="1198" t="str">
        <f t="shared" si="73"/>
        <v>Reddit, Inc.</v>
      </c>
      <c r="G107" s="1198" t="str">
        <f t="shared" si="73"/>
        <v>Bumble Inc.</v>
      </c>
      <c r="H107" s="1198" t="str">
        <f t="shared" si="73"/>
        <v>Tencent Holdings</v>
      </c>
      <c r="I107" s="1198" t="str">
        <f t="shared" si="73"/>
        <v>Amazon.com, Inc.</v>
      </c>
      <c r="J107" s="1198" t="str">
        <f t="shared" si="73"/>
        <v>Yelp Inc.</v>
      </c>
      <c r="K107" s="1198" t="str">
        <f t="shared" si="73"/>
        <v>Grindr Inc.</v>
      </c>
      <c r="L107" s="1198" t="str">
        <f t="shared" si="73"/>
        <v>IAC Inc.</v>
      </c>
      <c r="M107" s="1198" t="str">
        <f t="shared" si="73"/>
        <v>Taboola.com Ltd.</v>
      </c>
      <c r="N107" s="1198" t="str">
        <f t="shared" si="73"/>
        <v>Leafbuyer Technologies</v>
      </c>
      <c r="O107" s="414" t="s">
        <v>24</v>
      </c>
      <c r="Q107" s="439">
        <f t="shared" si="65"/>
        <v>1081</v>
      </c>
      <c r="R107" s="596">
        <f t="shared" si="66"/>
        <v>45049</v>
      </c>
      <c r="S107" s="597">
        <f t="shared" si="67"/>
        <v>237.03</v>
      </c>
      <c r="T107" s="526">
        <f t="shared" si="68"/>
        <v>8168.9687400000003</v>
      </c>
      <c r="U107" s="598">
        <v>237.03</v>
      </c>
      <c r="V107" s="598">
        <v>8168.9687400000003</v>
      </c>
      <c r="X107" s="599">
        <v>4090.7522199999999</v>
      </c>
    </row>
    <row r="108" spans="1:24" ht="11.1" customHeight="1" x14ac:dyDescent="0.45">
      <c r="A108" s="592" t="s">
        <v>142</v>
      </c>
      <c r="B108" s="139"/>
      <c r="C108" s="141" t="str">
        <f t="shared" ref="C108:D108" si="74">C$92</f>
        <v>Median</v>
      </c>
      <c r="D108" s="142" t="str">
        <f t="shared" si="74"/>
        <v>Delta %</v>
      </c>
      <c r="E108" s="1213"/>
      <c r="F108" s="1198"/>
      <c r="G108" s="1198"/>
      <c r="H108" s="1198"/>
      <c r="I108" s="1198"/>
      <c r="J108" s="1198"/>
      <c r="K108" s="1198"/>
      <c r="L108" s="1198"/>
      <c r="M108" s="1198"/>
      <c r="N108" s="1198"/>
      <c r="Q108" s="439">
        <f t="shared" si="65"/>
        <v>1080</v>
      </c>
      <c r="R108" s="596">
        <f t="shared" si="66"/>
        <v>45050</v>
      </c>
      <c r="S108" s="597">
        <f t="shared" si="67"/>
        <v>233.52</v>
      </c>
      <c r="T108" s="526">
        <f t="shared" si="68"/>
        <v>4177.53035</v>
      </c>
      <c r="U108" s="598">
        <v>233.52</v>
      </c>
      <c r="V108" s="598">
        <v>4177.53035</v>
      </c>
      <c r="X108" s="599">
        <v>4061.2168900000001</v>
      </c>
    </row>
    <row r="109" spans="1:24" ht="11.1" customHeight="1" x14ac:dyDescent="0.45">
      <c r="A109" s="567" t="s">
        <v>225</v>
      </c>
      <c r="B109" s="600">
        <f>IF(B20=0,"NA",B20)</f>
        <v>0.17965484855599906</v>
      </c>
      <c r="C109" s="601">
        <f>MEDIAN(E109:N109)</f>
        <v>0.1031685</v>
      </c>
      <c r="D109" s="595">
        <f t="shared" ref="D109:D111" si="75">IFERROR(B109/C109-1,0)</f>
        <v>0.74137307953492648</v>
      </c>
      <c r="E109" s="600">
        <v>0.15090000000000001</v>
      </c>
      <c r="F109" s="600">
        <v>0.69396800000000003</v>
      </c>
      <c r="G109" s="600">
        <v>-9.8900000000000002E-2</v>
      </c>
      <c r="H109" s="600">
        <v>0.138596</v>
      </c>
      <c r="I109" s="600">
        <v>0.123777</v>
      </c>
      <c r="J109" s="600">
        <v>3.7456000000000003E-2</v>
      </c>
      <c r="K109" s="600">
        <v>0.27641300000000002</v>
      </c>
      <c r="L109" s="600">
        <v>-8.7307999999999997E-2</v>
      </c>
      <c r="M109" s="600">
        <v>8.2559999999999995E-2</v>
      </c>
      <c r="N109" s="600">
        <v>-0.19658300000000001</v>
      </c>
      <c r="Q109" s="439">
        <f t="shared" si="65"/>
        <v>1079</v>
      </c>
      <c r="R109" s="596">
        <f t="shared" si="66"/>
        <v>45051</v>
      </c>
      <c r="S109" s="597">
        <f t="shared" si="67"/>
        <v>232.78</v>
      </c>
      <c r="T109" s="526">
        <f t="shared" si="68"/>
        <v>6285.17173</v>
      </c>
      <c r="U109" s="598">
        <v>232.78</v>
      </c>
      <c r="V109" s="598">
        <v>6285.17173</v>
      </c>
      <c r="X109" s="599">
        <v>4136.25335</v>
      </c>
    </row>
    <row r="110" spans="1:24" ht="11.1" customHeight="1" x14ac:dyDescent="0.45">
      <c r="A110" s="567" t="s">
        <v>148</v>
      </c>
      <c r="B110" s="600">
        <v>0.22054000000000001</v>
      </c>
      <c r="C110" s="601">
        <f>MEDIAN(E110:N110)</f>
        <v>0.11392749999999999</v>
      </c>
      <c r="D110" s="595">
        <f t="shared" si="75"/>
        <v>0.9357924996159841</v>
      </c>
      <c r="E110" s="600">
        <v>0.144765</v>
      </c>
      <c r="F110" s="600">
        <v>0.65509399999999995</v>
      </c>
      <c r="G110" s="600">
        <v>-4.1838E-2</v>
      </c>
      <c r="H110" s="600">
        <v>0.11103399999999999</v>
      </c>
      <c r="I110" s="600">
        <v>0.11682099999999999</v>
      </c>
      <c r="J110" s="600">
        <v>4.6733999999999998E-2</v>
      </c>
      <c r="K110" s="600">
        <v>0.30151</v>
      </c>
      <c r="L110" s="600">
        <v>-9.4598000000000002E-2</v>
      </c>
      <c r="M110" s="600">
        <v>0.15243000000000001</v>
      </c>
      <c r="N110" s="600">
        <v>-1.3802E-2</v>
      </c>
      <c r="O110" s="414" t="s">
        <v>24</v>
      </c>
      <c r="Q110" s="439">
        <f t="shared" si="65"/>
        <v>1078</v>
      </c>
      <c r="R110" s="596">
        <f t="shared" si="66"/>
        <v>45052</v>
      </c>
      <c r="S110" s="597" t="e">
        <f t="shared" si="67"/>
        <v>#N/A</v>
      </c>
      <c r="T110" s="526" t="e">
        <f t="shared" si="68"/>
        <v>#N/A</v>
      </c>
      <c r="U110" s="598">
        <v>232.78</v>
      </c>
      <c r="V110" s="598">
        <v>0</v>
      </c>
      <c r="X110" s="599">
        <v>4136.25335</v>
      </c>
    </row>
    <row r="111" spans="1:24" ht="11.1" customHeight="1" x14ac:dyDescent="0.45">
      <c r="A111" s="567" t="s">
        <v>149</v>
      </c>
      <c r="B111" s="600">
        <v>0.198938</v>
      </c>
      <c r="C111" s="601">
        <f>MEDIAN(E111:N111)</f>
        <v>0.107964</v>
      </c>
      <c r="D111" s="595">
        <f t="shared" si="75"/>
        <v>0.84263272942832801</v>
      </c>
      <c r="E111" s="600">
        <v>0.12511700000000001</v>
      </c>
      <c r="F111" s="600">
        <v>0.48934499999999997</v>
      </c>
      <c r="G111" s="600">
        <v>2.2423999999999999E-2</v>
      </c>
      <c r="H111" s="600">
        <v>0.106743</v>
      </c>
      <c r="I111" s="600">
        <v>0.117313</v>
      </c>
      <c r="J111" s="600">
        <v>7.0696999999999996E-2</v>
      </c>
      <c r="K111" s="600">
        <v>0.31147900000000001</v>
      </c>
      <c r="L111" s="600">
        <v>-0.22966600000000001</v>
      </c>
      <c r="M111" s="600">
        <v>0.109185</v>
      </c>
      <c r="N111" s="600">
        <v>4.1154999999999997E-2</v>
      </c>
      <c r="Q111" s="439">
        <f t="shared" si="65"/>
        <v>1077</v>
      </c>
      <c r="R111" s="596">
        <f t="shared" si="66"/>
        <v>45053</v>
      </c>
      <c r="S111" s="597" t="e">
        <f t="shared" si="67"/>
        <v>#N/A</v>
      </c>
      <c r="T111" s="526" t="e">
        <f t="shared" si="68"/>
        <v>#N/A</v>
      </c>
      <c r="U111" s="598">
        <v>232.78</v>
      </c>
      <c r="V111" s="598">
        <v>0</v>
      </c>
      <c r="X111" s="599">
        <v>4136.25335</v>
      </c>
    </row>
    <row r="112" spans="1:24" ht="11.1" customHeight="1" x14ac:dyDescent="0.45">
      <c r="A112" s="592" t="s">
        <v>141</v>
      </c>
      <c r="B112" s="139"/>
      <c r="C112" s="141" t="str">
        <f t="shared" ref="C112:D112" si="76">C$92</f>
        <v>Median</v>
      </c>
      <c r="D112" s="142" t="str">
        <f t="shared" si="76"/>
        <v>Delta %</v>
      </c>
      <c r="E112" s="138"/>
      <c r="F112" s="138"/>
      <c r="G112" s="138"/>
      <c r="H112" s="138"/>
      <c r="I112" s="138"/>
      <c r="J112" s="138"/>
      <c r="K112" s="138"/>
      <c r="L112" s="138"/>
      <c r="M112" s="138"/>
      <c r="N112" s="138"/>
      <c r="O112" s="414" t="s">
        <v>24</v>
      </c>
      <c r="Q112" s="439">
        <f t="shared" si="65"/>
        <v>1076</v>
      </c>
      <c r="R112" s="596">
        <f t="shared" si="66"/>
        <v>45054</v>
      </c>
      <c r="S112" s="597">
        <f t="shared" si="67"/>
        <v>233.27</v>
      </c>
      <c r="T112" s="526">
        <f t="shared" si="68"/>
        <v>3825.7516300000002</v>
      </c>
      <c r="U112" s="598">
        <v>233.27</v>
      </c>
      <c r="V112" s="598">
        <v>3825.7516300000002</v>
      </c>
      <c r="X112" s="599">
        <v>4138.1229800000001</v>
      </c>
    </row>
    <row r="113" spans="1:24" ht="11.1" customHeight="1" x14ac:dyDescent="0.45">
      <c r="A113" s="567" t="s">
        <v>125</v>
      </c>
      <c r="B113" s="600">
        <f>IF(K17=0,"NA",K17)</f>
        <v>0.41437855159579234</v>
      </c>
      <c r="C113" s="601">
        <f>MEDIAN(E113:N113)</f>
        <v>0.16464999999999999</v>
      </c>
      <c r="D113" s="595">
        <f t="shared" ref="D113:D114" si="77">IFERROR(B113/C113-1,0)</f>
        <v>1.5167236659325378</v>
      </c>
      <c r="E113" s="600">
        <v>0.320326</v>
      </c>
      <c r="F113" s="600">
        <v>0.20067299999999999</v>
      </c>
      <c r="G113" s="600">
        <v>0.261374</v>
      </c>
      <c r="H113" s="600">
        <v>0.32673400000000002</v>
      </c>
      <c r="I113" s="600">
        <v>0.111552</v>
      </c>
      <c r="J113" s="600">
        <v>0.12862699999999999</v>
      </c>
      <c r="K113" s="600">
        <v>0.300535</v>
      </c>
      <c r="L113" s="600">
        <v>4.5719000000000003E-2</v>
      </c>
      <c r="M113" s="600">
        <v>2.3040999999999999E-2</v>
      </c>
      <c r="N113" s="600">
        <v>4.6691999999999997E-2</v>
      </c>
      <c r="Q113" s="439">
        <f t="shared" si="65"/>
        <v>1075</v>
      </c>
      <c r="R113" s="596">
        <f t="shared" si="66"/>
        <v>45055</v>
      </c>
      <c r="S113" s="597">
        <f t="shared" si="67"/>
        <v>233.37</v>
      </c>
      <c r="T113" s="526">
        <f t="shared" si="68"/>
        <v>3935.92274</v>
      </c>
      <c r="U113" s="598">
        <v>233.37</v>
      </c>
      <c r="V113" s="598">
        <v>3935.92274</v>
      </c>
      <c r="X113" s="599">
        <v>4119.1733700000004</v>
      </c>
    </row>
    <row r="114" spans="1:24" ht="11.1" customHeight="1" x14ac:dyDescent="0.45">
      <c r="A114" s="567" t="s">
        <v>0</v>
      </c>
      <c r="B114" s="600">
        <f>IF(B22=0,"NA",B22)</f>
        <v>0.41835892519132589</v>
      </c>
      <c r="C114" s="601">
        <f>MEDIAN(E114:N114)</f>
        <v>0.16464999999999999</v>
      </c>
      <c r="D114" s="595">
        <f t="shared" si="77"/>
        <v>1.540898422054819</v>
      </c>
      <c r="E114" s="600">
        <v>0.320326</v>
      </c>
      <c r="F114" s="600">
        <v>0.20067299999999999</v>
      </c>
      <c r="G114" s="600">
        <v>0.261374</v>
      </c>
      <c r="H114" s="600">
        <v>0.32673400000000002</v>
      </c>
      <c r="I114" s="600">
        <v>0.111552</v>
      </c>
      <c r="J114" s="600">
        <v>0.12862699999999999</v>
      </c>
      <c r="K114" s="600">
        <v>0.300535</v>
      </c>
      <c r="L114" s="600">
        <v>4.5719000000000003E-2</v>
      </c>
      <c r="M114" s="600">
        <v>2.3040999999999999E-2</v>
      </c>
      <c r="N114" s="600">
        <v>1.5488E-2</v>
      </c>
      <c r="Q114" s="439">
        <f t="shared" si="65"/>
        <v>1074</v>
      </c>
      <c r="R114" s="596">
        <f t="shared" si="66"/>
        <v>45056</v>
      </c>
      <c r="S114" s="597">
        <f t="shared" si="67"/>
        <v>233.08</v>
      </c>
      <c r="T114" s="526">
        <f t="shared" si="68"/>
        <v>4456.2588500000002</v>
      </c>
      <c r="U114" s="598">
        <v>233.08</v>
      </c>
      <c r="V114" s="598">
        <v>4456.2588500000002</v>
      </c>
      <c r="X114" s="599">
        <v>4137.6421899999996</v>
      </c>
    </row>
    <row r="115" spans="1:24" ht="11.1" customHeight="1" x14ac:dyDescent="0.45">
      <c r="Q115" s="439">
        <f t="shared" si="65"/>
        <v>1073</v>
      </c>
      <c r="R115" s="596">
        <f t="shared" si="66"/>
        <v>45057</v>
      </c>
      <c r="S115" s="597">
        <f t="shared" si="67"/>
        <v>235.79</v>
      </c>
      <c r="T115" s="526">
        <f t="shared" si="68"/>
        <v>4821.6673499999997</v>
      </c>
      <c r="U115" s="598">
        <v>235.79</v>
      </c>
      <c r="V115" s="598">
        <v>4821.6673499999997</v>
      </c>
      <c r="X115" s="599">
        <v>4130.6212699999996</v>
      </c>
    </row>
    <row r="116" spans="1:24" ht="11.1" customHeight="1" x14ac:dyDescent="0.45">
      <c r="A116" s="592" t="s">
        <v>187</v>
      </c>
      <c r="B116" s="602"/>
      <c r="C116" s="602"/>
      <c r="D116" s="602"/>
      <c r="E116" s="139"/>
      <c r="F116" s="139"/>
      <c r="G116" s="139"/>
      <c r="H116" s="139"/>
      <c r="I116" s="139"/>
      <c r="J116" s="1195" t="s">
        <v>25</v>
      </c>
      <c r="K116" s="1196"/>
      <c r="L116" s="603"/>
      <c r="M116" s="1196" t="s">
        <v>150</v>
      </c>
      <c r="N116" s="1197"/>
      <c r="Q116" s="439">
        <f t="shared" si="65"/>
        <v>1072</v>
      </c>
      <c r="R116" s="596">
        <f t="shared" si="66"/>
        <v>45058</v>
      </c>
      <c r="S116" s="597">
        <f t="shared" si="67"/>
        <v>233.81</v>
      </c>
      <c r="T116" s="526">
        <f t="shared" si="68"/>
        <v>3778.7086300000001</v>
      </c>
      <c r="U116" s="598">
        <v>233.81</v>
      </c>
      <c r="V116" s="598">
        <v>3778.7086300000001</v>
      </c>
      <c r="X116" s="599">
        <v>4124.0810199999996</v>
      </c>
    </row>
    <row r="117" spans="1:24" ht="11.1" customHeight="1" x14ac:dyDescent="0.45">
      <c r="A117" s="585"/>
      <c r="B117" s="585"/>
      <c r="C117" s="585"/>
      <c r="D117" s="585"/>
      <c r="E117" s="585"/>
      <c r="F117" s="585"/>
      <c r="G117" s="585"/>
      <c r="H117" s="585"/>
      <c r="I117" s="585"/>
      <c r="J117" s="604"/>
      <c r="K117" s="585"/>
      <c r="L117" s="585"/>
      <c r="M117" s="585"/>
      <c r="N117" s="605"/>
      <c r="Q117" s="439">
        <f t="shared" si="65"/>
        <v>1071</v>
      </c>
      <c r="R117" s="596">
        <f t="shared" si="66"/>
        <v>45059</v>
      </c>
      <c r="S117" s="597" t="e">
        <f t="shared" si="67"/>
        <v>#N/A</v>
      </c>
      <c r="T117" s="526" t="e">
        <f t="shared" si="68"/>
        <v>#N/A</v>
      </c>
      <c r="U117" s="598">
        <v>233.81</v>
      </c>
      <c r="V117" s="598">
        <v>0</v>
      </c>
      <c r="X117" s="599">
        <v>4124.0810199999996</v>
      </c>
    </row>
    <row r="118" spans="1:24" ht="11.1" customHeight="1" x14ac:dyDescent="0.45">
      <c r="A118" s="606"/>
      <c r="B118" s="606"/>
      <c r="C118" s="607" t="s">
        <v>0</v>
      </c>
      <c r="D118" s="607" t="s">
        <v>133</v>
      </c>
      <c r="E118" s="607" t="s">
        <v>129</v>
      </c>
      <c r="F118" s="607" t="s">
        <v>130</v>
      </c>
      <c r="G118" s="607" t="s">
        <v>131</v>
      </c>
      <c r="H118" s="607" t="s">
        <v>132</v>
      </c>
      <c r="I118" s="585"/>
      <c r="J118" s="608" t="s">
        <v>147</v>
      </c>
      <c r="K118" s="567" t="s">
        <v>147</v>
      </c>
      <c r="L118" s="585"/>
      <c r="M118" s="567" t="s">
        <v>147</v>
      </c>
      <c r="N118" s="609" t="s">
        <v>147</v>
      </c>
      <c r="Q118" s="439">
        <f t="shared" si="65"/>
        <v>1070</v>
      </c>
      <c r="R118" s="596">
        <f t="shared" si="66"/>
        <v>45060</v>
      </c>
      <c r="S118" s="597" t="e">
        <f t="shared" si="67"/>
        <v>#N/A</v>
      </c>
      <c r="T118" s="526" t="e">
        <f t="shared" si="68"/>
        <v>#N/A</v>
      </c>
      <c r="U118" s="598">
        <v>233.81</v>
      </c>
      <c r="V118" s="598">
        <v>0</v>
      </c>
      <c r="X118" s="599">
        <v>4124.0810199999996</v>
      </c>
    </row>
    <row r="119" spans="1:24" ht="11.1" customHeight="1" x14ac:dyDescent="0.45">
      <c r="A119" s="610" t="s">
        <v>194</v>
      </c>
      <c r="B119" s="611"/>
      <c r="C119" s="585"/>
      <c r="D119" s="585"/>
      <c r="E119" s="607">
        <f>K13</f>
        <v>2025</v>
      </c>
      <c r="F119" s="607" t="str">
        <f t="shared" ref="F119:H119" si="78">L13</f>
        <v>2026e</v>
      </c>
      <c r="G119" s="607" t="str">
        <f t="shared" si="78"/>
        <v>2027e</v>
      </c>
      <c r="H119" s="607" t="str">
        <f t="shared" si="78"/>
        <v>2028e</v>
      </c>
      <c r="I119" s="585"/>
      <c r="J119" s="608" t="s">
        <v>144</v>
      </c>
      <c r="K119" s="567" t="s">
        <v>145</v>
      </c>
      <c r="L119" s="585"/>
      <c r="M119" s="567" t="s">
        <v>144</v>
      </c>
      <c r="N119" s="609" t="s">
        <v>145</v>
      </c>
      <c r="Q119" s="439">
        <f t="shared" si="65"/>
        <v>1069</v>
      </c>
      <c r="R119" s="596">
        <f t="shared" si="66"/>
        <v>45061</v>
      </c>
      <c r="S119" s="597">
        <f t="shared" si="67"/>
        <v>238.86</v>
      </c>
      <c r="T119" s="526">
        <f t="shared" si="68"/>
        <v>4933.2305200000001</v>
      </c>
      <c r="U119" s="598">
        <v>238.86</v>
      </c>
      <c r="V119" s="598">
        <v>4933.2305200000001</v>
      </c>
      <c r="X119" s="599">
        <v>4136.2842099999998</v>
      </c>
    </row>
    <row r="120" spans="1:24" ht="11.1" customHeight="1" thickBot="1" x14ac:dyDescent="0.5">
      <c r="A120" s="610" t="s">
        <v>143</v>
      </c>
      <c r="B120" s="611"/>
      <c r="C120" s="600">
        <v>0.179654848555999</v>
      </c>
      <c r="D120" s="600">
        <v>0.24829050685190546</v>
      </c>
      <c r="E120" s="600">
        <v>0.22426963247761589</v>
      </c>
      <c r="F120" s="600">
        <v>0.24829050685190546</v>
      </c>
      <c r="G120" s="600">
        <v>0.18883562185798319</v>
      </c>
      <c r="H120" s="600">
        <v>0.16371263026596394</v>
      </c>
      <c r="I120" s="585"/>
      <c r="J120" s="612">
        <f>(L14/B14)^(1/10)-1</f>
        <v>0.24678958101160697</v>
      </c>
      <c r="K120" s="613">
        <f>(K14/F14)^(1/5)-1</f>
        <v>0.18511415178759827</v>
      </c>
      <c r="L120" s="614"/>
      <c r="M120" s="613">
        <f>(L19/B19)^(1/10)-1</f>
        <v>0.10716719351153015</v>
      </c>
      <c r="N120" s="615">
        <f>(G19/B19)^(1/5)-1</f>
        <v>0.13761086407107359</v>
      </c>
      <c r="Q120" s="439">
        <f t="shared" si="65"/>
        <v>1068</v>
      </c>
      <c r="R120" s="596">
        <f t="shared" si="66"/>
        <v>45062</v>
      </c>
      <c r="S120" s="597">
        <f t="shared" si="67"/>
        <v>238.82</v>
      </c>
      <c r="T120" s="526">
        <f t="shared" si="68"/>
        <v>4337.8715499999998</v>
      </c>
      <c r="U120" s="598">
        <v>238.82</v>
      </c>
      <c r="V120" s="598">
        <v>4337.8715499999998</v>
      </c>
      <c r="X120" s="599">
        <v>4109.8970099999997</v>
      </c>
    </row>
    <row r="121" spans="1:24" ht="11.1" customHeight="1" thickBot="1" x14ac:dyDescent="0.5">
      <c r="A121" s="616" t="s">
        <v>339</v>
      </c>
      <c r="B121" s="585"/>
      <c r="C121" s="617">
        <f>B20</f>
        <v>0.17965484855599906</v>
      </c>
      <c r="D121" s="617">
        <f>C20</f>
        <v>0.24829050685190546</v>
      </c>
      <c r="E121" s="617">
        <f>K15</f>
        <v>0.22167038498246211</v>
      </c>
      <c r="F121" s="628">
        <f>L15</f>
        <v>0.24829050685190546</v>
      </c>
      <c r="G121" s="628">
        <f>M15</f>
        <v>0.18883562185798319</v>
      </c>
      <c r="H121" s="628">
        <f>N15</f>
        <v>0.16371263026596394</v>
      </c>
      <c r="I121" s="585"/>
      <c r="J121" s="585"/>
      <c r="K121" s="585"/>
      <c r="L121" s="585"/>
      <c r="M121" s="585"/>
      <c r="N121" s="585"/>
      <c r="Q121" s="439">
        <f t="shared" si="65"/>
        <v>1067</v>
      </c>
      <c r="R121" s="596">
        <f t="shared" si="66"/>
        <v>45063</v>
      </c>
      <c r="S121" s="597">
        <f t="shared" si="67"/>
        <v>242.48500000000001</v>
      </c>
      <c r="T121" s="526">
        <f t="shared" si="68"/>
        <v>5139.0039999999999</v>
      </c>
      <c r="U121" s="598">
        <v>242.48500000000001</v>
      </c>
      <c r="V121" s="598">
        <v>5139.0039999999999</v>
      </c>
      <c r="X121" s="599">
        <v>4158.7707700000001</v>
      </c>
    </row>
    <row r="122" spans="1:24" ht="11.1" customHeight="1" x14ac:dyDescent="0.45">
      <c r="A122" s="585"/>
      <c r="B122" s="585"/>
      <c r="C122" s="585"/>
      <c r="D122" s="585"/>
      <c r="E122" s="585"/>
      <c r="F122" s="585"/>
      <c r="G122" s="585"/>
      <c r="H122" s="585"/>
      <c r="I122" s="585"/>
      <c r="J122" s="1181" t="s">
        <v>141</v>
      </c>
      <c r="K122" s="1182"/>
      <c r="L122" s="1182"/>
      <c r="M122" s="1182"/>
      <c r="N122" s="1183"/>
      <c r="Q122" s="439">
        <f t="shared" si="65"/>
        <v>1066</v>
      </c>
      <c r="R122" s="596">
        <f t="shared" si="66"/>
        <v>45064</v>
      </c>
      <c r="S122" s="597">
        <f t="shared" si="67"/>
        <v>246.85</v>
      </c>
      <c r="T122" s="526">
        <f t="shared" si="68"/>
        <v>5663.5536099999999</v>
      </c>
      <c r="U122" s="598">
        <v>246.85</v>
      </c>
      <c r="V122" s="598">
        <v>5663.5536099999999</v>
      </c>
      <c r="X122" s="599">
        <v>4198.0509499999998</v>
      </c>
    </row>
    <row r="123" spans="1:24" ht="11.1" customHeight="1" x14ac:dyDescent="0.45">
      <c r="A123" s="585"/>
      <c r="B123" s="585"/>
      <c r="C123" s="607" t="s">
        <v>0</v>
      </c>
      <c r="D123" s="607" t="s">
        <v>133</v>
      </c>
      <c r="E123" s="607" t="s">
        <v>129</v>
      </c>
      <c r="F123" s="607" t="s">
        <v>130</v>
      </c>
      <c r="G123" s="607" t="s">
        <v>131</v>
      </c>
      <c r="H123" s="607" t="s">
        <v>132</v>
      </c>
      <c r="I123" s="618"/>
      <c r="J123" s="619" t="s">
        <v>15</v>
      </c>
      <c r="K123" s="620" t="s">
        <v>15</v>
      </c>
      <c r="L123" s="607"/>
      <c r="M123" s="607"/>
      <c r="N123" s="621"/>
      <c r="Q123" s="439">
        <f t="shared" si="65"/>
        <v>1065</v>
      </c>
      <c r="R123" s="596">
        <f t="shared" si="66"/>
        <v>45065</v>
      </c>
      <c r="S123" s="597">
        <f t="shared" si="67"/>
        <v>245.64</v>
      </c>
      <c r="T123" s="526">
        <f t="shared" si="68"/>
        <v>5338.6365900000001</v>
      </c>
      <c r="U123" s="598">
        <v>245.64</v>
      </c>
      <c r="V123" s="598">
        <v>5338.6365900000001</v>
      </c>
      <c r="X123" s="599">
        <v>4191.9797900000003</v>
      </c>
    </row>
    <row r="124" spans="1:24" ht="11.1" customHeight="1" x14ac:dyDescent="0.45">
      <c r="A124" s="610" t="s">
        <v>141</v>
      </c>
      <c r="B124" s="611"/>
      <c r="C124" s="618"/>
      <c r="D124" s="618"/>
      <c r="E124" s="607">
        <f>E119</f>
        <v>2025</v>
      </c>
      <c r="F124" s="607" t="str">
        <f>F119</f>
        <v>2026e</v>
      </c>
      <c r="G124" s="607" t="str">
        <f>G119</f>
        <v>2027e</v>
      </c>
      <c r="H124" s="607" t="str">
        <f>H119</f>
        <v>2028e</v>
      </c>
      <c r="I124" s="585"/>
      <c r="J124" s="622" t="s">
        <v>144</v>
      </c>
      <c r="K124" s="607" t="s">
        <v>145</v>
      </c>
      <c r="L124" s="607" t="s">
        <v>137</v>
      </c>
      <c r="M124" s="607" t="s">
        <v>35</v>
      </c>
      <c r="N124" s="621" t="s">
        <v>146</v>
      </c>
      <c r="Q124" s="439">
        <f t="shared" si="65"/>
        <v>1064</v>
      </c>
      <c r="R124" s="596">
        <f t="shared" si="66"/>
        <v>45066</v>
      </c>
      <c r="S124" s="597" t="e">
        <f t="shared" si="67"/>
        <v>#N/A</v>
      </c>
      <c r="T124" s="526" t="e">
        <f t="shared" si="68"/>
        <v>#N/A</v>
      </c>
      <c r="U124" s="598">
        <v>245.64</v>
      </c>
      <c r="V124" s="598">
        <v>0</v>
      </c>
      <c r="X124" s="599">
        <v>4191.9797900000003</v>
      </c>
    </row>
    <row r="125" spans="1:24" ht="11.1" customHeight="1" x14ac:dyDescent="0.45">
      <c r="A125" s="610" t="s">
        <v>143</v>
      </c>
      <c r="B125" s="611"/>
      <c r="C125" s="600">
        <v>0.41437855159579234</v>
      </c>
      <c r="D125" s="600">
        <v>0.34332553561402501</v>
      </c>
      <c r="E125" s="600">
        <v>0.41227176579066155</v>
      </c>
      <c r="F125" s="600">
        <v>0.34332553561402501</v>
      </c>
      <c r="G125" s="600">
        <v>0.33950998538070526</v>
      </c>
      <c r="H125" s="600">
        <v>0.34185344939362244</v>
      </c>
      <c r="I125" s="585"/>
      <c r="J125" s="623">
        <f>MEDIAN(B17:K17)</f>
        <v>0.41219090245815049</v>
      </c>
      <c r="K125" s="569">
        <f>MEDIAN(G17:K17)</f>
        <v>0.39645040660058173</v>
      </c>
      <c r="L125" s="569">
        <v>0.21385703132067158</v>
      </c>
      <c r="M125" s="569">
        <f>E22</f>
        <v>0.30766810445426018</v>
      </c>
      <c r="N125" s="624">
        <f>M22</f>
        <v>0.33234045014452107</v>
      </c>
      <c r="Q125" s="439">
        <f t="shared" si="65"/>
        <v>1063</v>
      </c>
      <c r="R125" s="596">
        <f t="shared" si="66"/>
        <v>45067</v>
      </c>
      <c r="S125" s="597" t="e">
        <f t="shared" si="67"/>
        <v>#N/A</v>
      </c>
      <c r="T125" s="526" t="e">
        <f t="shared" si="68"/>
        <v>#N/A</v>
      </c>
      <c r="U125" s="598">
        <v>245.64</v>
      </c>
      <c r="V125" s="598">
        <v>0</v>
      </c>
      <c r="X125" s="599">
        <v>4191.9797900000003</v>
      </c>
    </row>
    <row r="126" spans="1:24" ht="11.1" customHeight="1" thickBot="1" x14ac:dyDescent="0.5">
      <c r="A126" s="616" t="s">
        <v>339</v>
      </c>
      <c r="B126" s="585"/>
      <c r="C126" s="617">
        <f>B22</f>
        <v>0.41835892519132589</v>
      </c>
      <c r="D126" s="617">
        <f>C22</f>
        <v>0.30899298205262254</v>
      </c>
      <c r="E126" s="617">
        <f>K17</f>
        <v>0.41437855159579234</v>
      </c>
      <c r="F126" s="628">
        <f>L17</f>
        <v>0.34332553561402501</v>
      </c>
      <c r="G126" s="628">
        <f>M17</f>
        <v>0.33950998538070526</v>
      </c>
      <c r="H126" s="628">
        <f>N17</f>
        <v>0.34185344939362244</v>
      </c>
      <c r="I126" s="585"/>
      <c r="J126" s="732">
        <v>0.41219090245815049</v>
      </c>
      <c r="K126" s="731">
        <v>0.40497167312733068</v>
      </c>
      <c r="L126" s="733">
        <v>0.21385703132067158</v>
      </c>
      <c r="M126" s="733">
        <v>0.30766810445426018</v>
      </c>
      <c r="N126" s="734">
        <v>0.33235907812648152</v>
      </c>
      <c r="Q126" s="439">
        <f t="shared" si="65"/>
        <v>1062</v>
      </c>
      <c r="R126" s="596">
        <f t="shared" si="66"/>
        <v>45068</v>
      </c>
      <c r="S126" s="597">
        <f t="shared" si="67"/>
        <v>248.32</v>
      </c>
      <c r="T126" s="526">
        <f t="shared" si="68"/>
        <v>6888.0193499999996</v>
      </c>
      <c r="U126" s="598">
        <v>248.32</v>
      </c>
      <c r="V126" s="598">
        <v>6888.0193499999996</v>
      </c>
      <c r="X126" s="599">
        <v>4192.6306999999997</v>
      </c>
    </row>
    <row r="127" spans="1:24" ht="11.1" customHeight="1" x14ac:dyDescent="0.45">
      <c r="A127" s="585"/>
      <c r="B127" s="585"/>
      <c r="C127" s="585"/>
      <c r="D127" s="627">
        <f>IFERROR(IF(#REF!=0,0,D125/D124-1),0)</f>
        <v>0</v>
      </c>
      <c r="E127" s="585"/>
      <c r="F127" s="585"/>
      <c r="G127" s="585"/>
      <c r="H127" s="585"/>
      <c r="I127" s="585"/>
      <c r="J127" s="1184" t="s">
        <v>233</v>
      </c>
      <c r="K127" s="1185"/>
      <c r="L127" s="585"/>
      <c r="M127" s="628"/>
      <c r="N127" s="628"/>
      <c r="Q127" s="439">
        <f t="shared" si="65"/>
        <v>1061</v>
      </c>
      <c r="R127" s="596">
        <f t="shared" si="66"/>
        <v>45069</v>
      </c>
      <c r="S127" s="597">
        <f t="shared" si="67"/>
        <v>246.74</v>
      </c>
      <c r="T127" s="526">
        <f t="shared" si="68"/>
        <v>4379.1711299999997</v>
      </c>
      <c r="U127" s="598">
        <v>246.74</v>
      </c>
      <c r="V127" s="598">
        <v>4379.1711299999997</v>
      </c>
      <c r="X127" s="599">
        <v>4145.5751899999996</v>
      </c>
    </row>
    <row r="128" spans="1:24" ht="11.1" customHeight="1" x14ac:dyDescent="0.45">
      <c r="A128" s="585"/>
      <c r="B128" s="585"/>
      <c r="C128" s="585"/>
      <c r="D128" s="627">
        <f>IFERROR(IF(#REF!=0,0,D126/D125-1),0)</f>
        <v>0</v>
      </c>
      <c r="E128" s="585"/>
      <c r="F128" s="585"/>
      <c r="G128" s="585"/>
      <c r="H128" s="585"/>
      <c r="I128" s="585"/>
      <c r="J128" s="585"/>
      <c r="K128" s="585"/>
      <c r="L128" s="585"/>
      <c r="M128" s="629">
        <f>IFERROR(IF(M127=0,0,M127/M125-1),0)</f>
        <v>0</v>
      </c>
      <c r="N128" s="629">
        <f>IFERROR(IF(N127=0,0,N127/N125-1),0)</f>
        <v>0</v>
      </c>
      <c r="Q128" s="439">
        <f t="shared" si="65"/>
        <v>1060</v>
      </c>
      <c r="R128" s="596">
        <f t="shared" si="66"/>
        <v>45070</v>
      </c>
      <c r="S128" s="597">
        <f t="shared" si="67"/>
        <v>249.21</v>
      </c>
      <c r="T128" s="526">
        <f t="shared" si="68"/>
        <v>4417.08277</v>
      </c>
      <c r="U128" s="598">
        <v>249.21</v>
      </c>
      <c r="V128" s="598">
        <v>4417.08277</v>
      </c>
      <c r="X128" s="599">
        <v>4115.2385700000004</v>
      </c>
    </row>
    <row r="129" spans="1:24" ht="11.1" customHeight="1" x14ac:dyDescent="0.45">
      <c r="A129" s="610" t="s">
        <v>195</v>
      </c>
      <c r="B129" s="585"/>
      <c r="C129" s="585"/>
      <c r="D129" s="585"/>
      <c r="E129" s="585"/>
      <c r="F129" s="585"/>
      <c r="G129" s="585"/>
      <c r="H129" s="585"/>
      <c r="I129" s="585"/>
      <c r="J129" s="585"/>
      <c r="K129" s="1186" t="s">
        <v>196</v>
      </c>
      <c r="L129" s="1187"/>
      <c r="M129" s="1187"/>
      <c r="N129" s="1188"/>
      <c r="Q129" s="439">
        <f t="shared" si="65"/>
        <v>1059</v>
      </c>
      <c r="R129" s="596">
        <f t="shared" si="66"/>
        <v>45071</v>
      </c>
      <c r="S129" s="597">
        <f t="shared" si="67"/>
        <v>252.69</v>
      </c>
      <c r="T129" s="526">
        <f t="shared" si="68"/>
        <v>5653.03917</v>
      </c>
      <c r="U129" s="598">
        <v>252.69</v>
      </c>
      <c r="V129" s="598">
        <v>5653.03917</v>
      </c>
      <c r="X129" s="599">
        <v>4151.2798700000003</v>
      </c>
    </row>
    <row r="130" spans="1:24" ht="11.1" customHeight="1" x14ac:dyDescent="0.45">
      <c r="A130" s="620">
        <f t="shared" ref="A130:H130" si="79">B130-1</f>
        <v>2016</v>
      </c>
      <c r="B130" s="620">
        <f t="shared" si="79"/>
        <v>2017</v>
      </c>
      <c r="C130" s="620">
        <f t="shared" si="79"/>
        <v>2018</v>
      </c>
      <c r="D130" s="620">
        <f t="shared" si="79"/>
        <v>2019</v>
      </c>
      <c r="E130" s="620">
        <f t="shared" si="79"/>
        <v>2020</v>
      </c>
      <c r="F130" s="620">
        <f t="shared" si="79"/>
        <v>2021</v>
      </c>
      <c r="G130" s="620">
        <f t="shared" si="79"/>
        <v>2022</v>
      </c>
      <c r="H130" s="620">
        <f t="shared" si="79"/>
        <v>2023</v>
      </c>
      <c r="I130" s="620">
        <f>J130-1</f>
        <v>2024</v>
      </c>
      <c r="J130" s="630">
        <v>2025</v>
      </c>
      <c r="K130" s="619" t="s">
        <v>134</v>
      </c>
      <c r="L130" s="620" t="s">
        <v>0</v>
      </c>
      <c r="M130" s="620" t="s">
        <v>133</v>
      </c>
      <c r="N130" s="631" t="s">
        <v>102</v>
      </c>
      <c r="Q130" s="439">
        <f t="shared" si="65"/>
        <v>1058</v>
      </c>
      <c r="R130" s="596">
        <f t="shared" si="66"/>
        <v>45072</v>
      </c>
      <c r="S130" s="597">
        <f t="shared" si="67"/>
        <v>262.04000000000002</v>
      </c>
      <c r="T130" s="526">
        <f t="shared" si="68"/>
        <v>6752.4196700000002</v>
      </c>
      <c r="U130" s="598">
        <v>262.04000000000002</v>
      </c>
      <c r="V130" s="598">
        <v>6752.4196700000002</v>
      </c>
      <c r="X130" s="599">
        <v>4205.4525299999996</v>
      </c>
    </row>
    <row r="131" spans="1:24" ht="11.1" customHeight="1" x14ac:dyDescent="0.45">
      <c r="A131" s="569">
        <v>0.18516134223867386</v>
      </c>
      <c r="B131" s="569">
        <v>0.23065881304756719</v>
      </c>
      <c r="C131" s="569">
        <v>0.13041384016376992</v>
      </c>
      <c r="D131" s="569">
        <v>0.21827778927758229</v>
      </c>
      <c r="E131" s="569">
        <v>0.12347341679165008</v>
      </c>
      <c r="F131" s="569">
        <v>0.16927256004962249</v>
      </c>
      <c r="G131" s="569">
        <v>0.16745641484130533</v>
      </c>
      <c r="H131" s="569">
        <v>0.1781780068875532</v>
      </c>
      <c r="I131" s="569">
        <v>0.11967425771115595</v>
      </c>
      <c r="J131" s="632">
        <v>0.30589845813919975</v>
      </c>
      <c r="K131" s="623">
        <v>0.11192283623105596</v>
      </c>
      <c r="L131" s="569">
        <v>0.30589845813919975</v>
      </c>
      <c r="M131" s="600">
        <v>0.13784724202840681</v>
      </c>
      <c r="N131" s="624">
        <v>0.25</v>
      </c>
      <c r="Q131" s="439">
        <f t="shared" si="65"/>
        <v>1057</v>
      </c>
      <c r="R131" s="596">
        <f t="shared" si="66"/>
        <v>45073</v>
      </c>
      <c r="S131" s="597" t="e">
        <f t="shared" si="67"/>
        <v>#N/A</v>
      </c>
      <c r="T131" s="526" t="e">
        <f t="shared" si="68"/>
        <v>#N/A</v>
      </c>
      <c r="U131" s="598">
        <v>262.04000000000002</v>
      </c>
      <c r="V131" s="598">
        <v>0</v>
      </c>
      <c r="X131" s="599">
        <v>4205.4525299999996</v>
      </c>
    </row>
    <row r="132" spans="1:24" ht="11.1" customHeight="1" x14ac:dyDescent="0.45">
      <c r="A132" s="610" t="s">
        <v>186</v>
      </c>
      <c r="B132" s="585"/>
      <c r="C132" s="585"/>
      <c r="D132" s="585"/>
      <c r="E132" s="585"/>
      <c r="F132" s="585"/>
      <c r="G132" s="585"/>
      <c r="H132" s="585"/>
      <c r="I132" s="585"/>
      <c r="J132" s="633"/>
      <c r="K132" s="634" t="s">
        <v>25</v>
      </c>
      <c r="L132" s="635" t="s">
        <v>25</v>
      </c>
      <c r="M132" s="635" t="s">
        <v>150</v>
      </c>
      <c r="N132" s="636" t="s">
        <v>150</v>
      </c>
      <c r="Q132" s="439">
        <f t="shared" si="65"/>
        <v>1056</v>
      </c>
      <c r="R132" s="596">
        <f t="shared" si="66"/>
        <v>45074</v>
      </c>
      <c r="S132" s="597" t="e">
        <f t="shared" si="67"/>
        <v>#N/A</v>
      </c>
      <c r="T132" s="526" t="e">
        <f t="shared" si="68"/>
        <v>#N/A</v>
      </c>
      <c r="U132" s="598">
        <v>262.04000000000002</v>
      </c>
      <c r="V132" s="598">
        <v>0</v>
      </c>
      <c r="X132" s="599">
        <v>4205.4525299999996</v>
      </c>
    </row>
    <row r="133" spans="1:24" ht="11.1" customHeight="1" x14ac:dyDescent="0.45">
      <c r="A133" s="620" t="str">
        <f t="shared" ref="A133:J133" si="80">C18</f>
        <v>LTM+1</v>
      </c>
      <c r="B133" s="620" t="str">
        <f t="shared" si="80"/>
        <v>LTM+2</v>
      </c>
      <c r="C133" s="620" t="str">
        <f t="shared" si="80"/>
        <v>LTM+3</v>
      </c>
      <c r="D133" s="620" t="str">
        <f t="shared" si="80"/>
        <v>LTM+4</v>
      </c>
      <c r="E133" s="620" t="str">
        <f t="shared" si="80"/>
        <v>LTM+5</v>
      </c>
      <c r="F133" s="620" t="str">
        <f t="shared" si="80"/>
        <v>LTM+6</v>
      </c>
      <c r="G133" s="620" t="str">
        <f t="shared" si="80"/>
        <v>LTM+7</v>
      </c>
      <c r="H133" s="620" t="str">
        <f t="shared" si="80"/>
        <v>LTM+8</v>
      </c>
      <c r="I133" s="620" t="str">
        <f t="shared" si="80"/>
        <v>LTM+9</v>
      </c>
      <c r="J133" s="630" t="str">
        <f t="shared" si="80"/>
        <v>LTM+10</v>
      </c>
      <c r="K133" s="637" t="s">
        <v>15</v>
      </c>
      <c r="L133" s="638" t="s">
        <v>151</v>
      </c>
      <c r="M133" s="638" t="s">
        <v>15</v>
      </c>
      <c r="N133" s="639" t="s">
        <v>151</v>
      </c>
      <c r="Q133" s="439">
        <f t="shared" si="65"/>
        <v>1055</v>
      </c>
      <c r="R133" s="596">
        <f t="shared" si="66"/>
        <v>45075</v>
      </c>
      <c r="S133" s="597" t="e">
        <f t="shared" si="67"/>
        <v>#N/A</v>
      </c>
      <c r="T133" s="526" t="e">
        <f t="shared" si="68"/>
        <v>#N/A</v>
      </c>
      <c r="U133" s="598">
        <v>262.04000000000002</v>
      </c>
      <c r="V133" s="598">
        <v>0</v>
      </c>
      <c r="X133" s="599">
        <v>4205.4525299999996</v>
      </c>
    </row>
    <row r="134" spans="1:24" ht="11.1" customHeight="1" thickBot="1" x14ac:dyDescent="0.5">
      <c r="A134" s="569">
        <f t="shared" ref="A134:J134" si="81">C25</f>
        <v>0.13784724202840681</v>
      </c>
      <c r="B134" s="569">
        <f t="shared" si="81"/>
        <v>0.15030865958080605</v>
      </c>
      <c r="C134" s="569">
        <f t="shared" si="81"/>
        <v>0.16277007713320529</v>
      </c>
      <c r="D134" s="569">
        <f t="shared" si="81"/>
        <v>0.17523149468560453</v>
      </c>
      <c r="E134" s="569">
        <f t="shared" si="81"/>
        <v>0.18769291223800375</v>
      </c>
      <c r="F134" s="569">
        <f t="shared" si="81"/>
        <v>0.20015432979040301</v>
      </c>
      <c r="G134" s="569">
        <f t="shared" si="81"/>
        <v>0.21261574734280225</v>
      </c>
      <c r="H134" s="569">
        <f t="shared" si="81"/>
        <v>0.22507716489520146</v>
      </c>
      <c r="I134" s="569">
        <f t="shared" si="81"/>
        <v>0.23753858244760076</v>
      </c>
      <c r="J134" s="632">
        <f t="shared" si="81"/>
        <v>0.25</v>
      </c>
      <c r="K134" s="640">
        <f>MEDIAN(A131:J131)</f>
        <v>0.17372528346858784</v>
      </c>
      <c r="L134" s="625">
        <f>AVERAGE(A131:J131)</f>
        <v>0.18284648991480801</v>
      </c>
      <c r="M134" s="625">
        <f>MEDIAN(A134:J134)</f>
        <v>0.19392362101420338</v>
      </c>
      <c r="N134" s="626">
        <f>AVERAGE(A134:J134)</f>
        <v>0.19392362101420341</v>
      </c>
      <c r="Q134" s="439">
        <f t="shared" si="65"/>
        <v>1054</v>
      </c>
      <c r="R134" s="596">
        <f t="shared" si="66"/>
        <v>45076</v>
      </c>
      <c r="S134" s="597">
        <f t="shared" si="67"/>
        <v>262.52</v>
      </c>
      <c r="T134" s="526">
        <f t="shared" si="68"/>
        <v>6252.3023300000004</v>
      </c>
      <c r="U134" s="598">
        <v>262.52</v>
      </c>
      <c r="V134" s="598">
        <v>6252.3023300000004</v>
      </c>
      <c r="X134" s="599">
        <v>4205.5206900000003</v>
      </c>
    </row>
    <row r="135" spans="1:24" ht="11.1" customHeight="1" x14ac:dyDescent="0.45">
      <c r="A135" s="585"/>
      <c r="B135" s="585"/>
      <c r="C135" s="585"/>
      <c r="D135" s="585"/>
      <c r="E135" s="585"/>
      <c r="F135" s="585"/>
      <c r="G135" s="585"/>
      <c r="H135" s="585"/>
      <c r="I135" s="585"/>
      <c r="J135" s="585"/>
      <c r="K135" s="585"/>
      <c r="L135" s="585"/>
      <c r="M135" s="585"/>
      <c r="N135" s="585"/>
      <c r="Q135" s="439">
        <f t="shared" si="65"/>
        <v>1053</v>
      </c>
      <c r="R135" s="596">
        <f t="shared" si="66"/>
        <v>45077</v>
      </c>
      <c r="S135" s="597">
        <f t="shared" si="67"/>
        <v>264.72000000000003</v>
      </c>
      <c r="T135" s="526">
        <f t="shared" si="68"/>
        <v>6743.3952200000003</v>
      </c>
      <c r="U135" s="598">
        <v>264.72000000000003</v>
      </c>
      <c r="V135" s="598">
        <v>6743.3952200000003</v>
      </c>
      <c r="X135" s="599">
        <v>4179.82546</v>
      </c>
    </row>
    <row r="136" spans="1:24" ht="11.1" customHeight="1" x14ac:dyDescent="0.45">
      <c r="Q136" s="439">
        <f t="shared" si="65"/>
        <v>1052</v>
      </c>
      <c r="R136" s="596">
        <f t="shared" si="66"/>
        <v>45078</v>
      </c>
      <c r="S136" s="597">
        <f t="shared" si="67"/>
        <v>272.61</v>
      </c>
      <c r="T136" s="526">
        <f t="shared" si="68"/>
        <v>6981.40852</v>
      </c>
      <c r="U136" s="598">
        <v>272.61</v>
      </c>
      <c r="V136" s="598">
        <v>6981.40852</v>
      </c>
      <c r="X136" s="599">
        <v>4221.0202200000003</v>
      </c>
    </row>
    <row r="137" spans="1:24" ht="11.1" customHeight="1" x14ac:dyDescent="0.45">
      <c r="A137" s="592" t="s">
        <v>135</v>
      </c>
      <c r="B137" s="139"/>
      <c r="C137" s="139"/>
      <c r="D137" s="581"/>
      <c r="E137" s="641" t="s">
        <v>97</v>
      </c>
      <c r="F137" s="642" t="s">
        <v>157</v>
      </c>
      <c r="G137" s="642"/>
      <c r="H137" s="643"/>
      <c r="I137" s="139"/>
      <c r="J137" s="139"/>
      <c r="K137" s="581"/>
      <c r="L137" s="139"/>
      <c r="M137" s="139"/>
      <c r="N137" s="139"/>
      <c r="Q137" s="439">
        <f t="shared" si="65"/>
        <v>1051</v>
      </c>
      <c r="R137" s="596">
        <f t="shared" si="66"/>
        <v>45079</v>
      </c>
      <c r="S137" s="597" t="e">
        <f t="shared" si="67"/>
        <v>#N/A</v>
      </c>
      <c r="T137" s="526" t="e">
        <f t="shared" si="68"/>
        <v>#N/A</v>
      </c>
      <c r="U137" s="598">
        <v>272.61</v>
      </c>
      <c r="V137" s="598">
        <v>5293.2492899999997</v>
      </c>
      <c r="X137" s="599">
        <v>4282.3655699999999</v>
      </c>
    </row>
    <row r="138" spans="1:24" ht="11.1" customHeight="1" x14ac:dyDescent="0.45">
      <c r="A138" s="567" t="s">
        <v>153</v>
      </c>
      <c r="B138" s="585"/>
      <c r="C138" s="585"/>
      <c r="D138" s="569">
        <v>0.67186359599568923</v>
      </c>
      <c r="E138" s="585"/>
      <c r="F138" s="644" t="s">
        <v>197</v>
      </c>
      <c r="G138" s="644"/>
      <c r="H138" s="645"/>
      <c r="I138" s="585"/>
      <c r="J138" s="585"/>
      <c r="K138" s="585"/>
      <c r="L138" s="585"/>
      <c r="M138" s="585"/>
      <c r="N138" s="585"/>
      <c r="Q138" s="439">
        <f t="shared" si="65"/>
        <v>1050</v>
      </c>
      <c r="R138" s="596">
        <f t="shared" si="66"/>
        <v>45080</v>
      </c>
      <c r="S138" s="597" t="e">
        <f t="shared" si="67"/>
        <v>#N/A</v>
      </c>
      <c r="T138" s="526" t="e">
        <f t="shared" si="68"/>
        <v>#N/A</v>
      </c>
      <c r="U138" s="598">
        <v>272.61</v>
      </c>
      <c r="V138" s="598">
        <v>0</v>
      </c>
      <c r="X138" s="599">
        <v>4282.3655699999999</v>
      </c>
    </row>
    <row r="139" spans="1:24" ht="11.1" customHeight="1" x14ac:dyDescent="0.45">
      <c r="A139" s="567" t="s">
        <v>152</v>
      </c>
      <c r="B139" s="585"/>
      <c r="C139" s="585"/>
      <c r="D139" s="569">
        <v>0.35358588984580186</v>
      </c>
      <c r="E139" s="585"/>
      <c r="F139" s="644" t="s">
        <v>166</v>
      </c>
      <c r="G139" s="644"/>
      <c r="H139" s="645"/>
      <c r="I139" s="585"/>
      <c r="J139" s="585"/>
      <c r="K139" s="585"/>
      <c r="L139" s="585"/>
      <c r="M139" s="585"/>
      <c r="N139" s="585"/>
      <c r="Q139" s="439">
        <f t="shared" si="65"/>
        <v>1049</v>
      </c>
      <c r="R139" s="596">
        <f t="shared" si="66"/>
        <v>45081</v>
      </c>
      <c r="S139" s="597" t="e">
        <f t="shared" si="67"/>
        <v>#N/A</v>
      </c>
      <c r="T139" s="526" t="e">
        <f t="shared" si="68"/>
        <v>#N/A</v>
      </c>
      <c r="U139" s="598">
        <v>272.61</v>
      </c>
      <c r="V139" s="598">
        <v>0</v>
      </c>
      <c r="X139" s="599">
        <v>4282.3655699999999</v>
      </c>
    </row>
    <row r="140" spans="1:24" ht="11.1" customHeight="1" x14ac:dyDescent="0.45">
      <c r="A140" s="646" t="s">
        <v>154</v>
      </c>
      <c r="B140" s="647"/>
      <c r="C140" s="647"/>
      <c r="D140" s="648">
        <f>AVERAGE(C31:L31)</f>
        <v>0.45204316267561639</v>
      </c>
      <c r="E140" s="649">
        <v>0.45204316267561639</v>
      </c>
      <c r="F140" s="644" t="s">
        <v>167</v>
      </c>
      <c r="G140" s="644"/>
      <c r="H140" s="645"/>
      <c r="I140" s="585"/>
      <c r="J140" s="585"/>
      <c r="K140" s="585"/>
      <c r="L140" s="585"/>
      <c r="M140" s="585"/>
      <c r="N140" s="585"/>
      <c r="Q140" s="439">
        <f t="shared" si="65"/>
        <v>1048</v>
      </c>
      <c r="R140" s="596">
        <f t="shared" si="66"/>
        <v>45082</v>
      </c>
      <c r="S140" s="597">
        <f t="shared" si="67"/>
        <v>271.39</v>
      </c>
      <c r="T140" s="526">
        <f t="shared" si="68"/>
        <v>5629.4281199999996</v>
      </c>
      <c r="U140" s="598">
        <v>271.39</v>
      </c>
      <c r="V140" s="598">
        <v>5629.4281199999996</v>
      </c>
      <c r="X140" s="599">
        <v>4273.7941899999996</v>
      </c>
    </row>
    <row r="141" spans="1:24" ht="11.1" customHeight="1" x14ac:dyDescent="0.45">
      <c r="A141" s="650" t="s">
        <v>155</v>
      </c>
      <c r="B141" s="651"/>
      <c r="C141" s="651"/>
      <c r="D141" s="652">
        <f>N31</f>
        <v>0.36481591061643281</v>
      </c>
      <c r="E141" s="653">
        <v>0.36481591061643281</v>
      </c>
      <c r="F141" s="644" t="s">
        <v>198</v>
      </c>
      <c r="G141" s="644"/>
      <c r="H141" s="645"/>
      <c r="I141" s="585"/>
      <c r="J141" s="585"/>
      <c r="K141" s="585"/>
      <c r="L141" s="585"/>
      <c r="M141" s="585"/>
      <c r="N141" s="585"/>
      <c r="Q141" s="439">
        <f t="shared" si="65"/>
        <v>1047</v>
      </c>
      <c r="R141" s="596">
        <f t="shared" si="66"/>
        <v>45083</v>
      </c>
      <c r="S141" s="597">
        <f t="shared" si="67"/>
        <v>271.12</v>
      </c>
      <c r="T141" s="526">
        <f t="shared" si="68"/>
        <v>5264.8819899999999</v>
      </c>
      <c r="U141" s="598">
        <v>271.12</v>
      </c>
      <c r="V141" s="598">
        <v>5264.8819899999999</v>
      </c>
      <c r="X141" s="599">
        <v>4283.8483900000001</v>
      </c>
    </row>
    <row r="142" spans="1:24" ht="11.1" customHeight="1" x14ac:dyDescent="0.45">
      <c r="A142" s="567" t="s">
        <v>169</v>
      </c>
      <c r="B142" s="585"/>
      <c r="C142" s="585"/>
      <c r="D142" s="569">
        <f>IFERROR(-SUM(C28:L28)/SUM(C26:L26),0)</f>
        <v>0.37815701843839833</v>
      </c>
      <c r="E142" s="654">
        <v>0.37815701843839833</v>
      </c>
      <c r="F142" s="644" t="s">
        <v>168</v>
      </c>
      <c r="G142" s="644"/>
      <c r="H142" s="645"/>
      <c r="I142" s="585"/>
      <c r="J142" s="585"/>
      <c r="K142" s="585"/>
      <c r="L142" s="585"/>
      <c r="M142" s="585"/>
      <c r="N142" s="585"/>
      <c r="Q142" s="439">
        <f t="shared" si="65"/>
        <v>1046</v>
      </c>
      <c r="R142" s="596">
        <f t="shared" si="66"/>
        <v>45084</v>
      </c>
      <c r="S142" s="597">
        <f t="shared" si="67"/>
        <v>263.60000000000002</v>
      </c>
      <c r="T142" s="526">
        <f t="shared" si="68"/>
        <v>6896.7320799999998</v>
      </c>
      <c r="U142" s="598">
        <v>263.60000000000002</v>
      </c>
      <c r="V142" s="598">
        <v>6896.7320799999998</v>
      </c>
      <c r="X142" s="599">
        <v>4267.5184600000002</v>
      </c>
    </row>
    <row r="143" spans="1:24" ht="11.1" customHeight="1" x14ac:dyDescent="0.45">
      <c r="A143" s="567" t="s">
        <v>156</v>
      </c>
      <c r="B143" s="585"/>
      <c r="C143" s="585"/>
      <c r="D143" s="569">
        <f>M31</f>
        <v>0.26085842634393408</v>
      </c>
      <c r="E143" s="654">
        <v>0.26085842634393408</v>
      </c>
      <c r="F143" s="644" t="s">
        <v>158</v>
      </c>
      <c r="G143" s="644"/>
      <c r="H143" s="645"/>
      <c r="I143" s="585"/>
      <c r="J143" s="585"/>
      <c r="K143" s="585"/>
      <c r="L143" s="585"/>
      <c r="M143" s="585"/>
      <c r="N143" s="585"/>
      <c r="Q143" s="439">
        <f t="shared" si="65"/>
        <v>1045</v>
      </c>
      <c r="R143" s="596">
        <f t="shared" si="66"/>
        <v>45085</v>
      </c>
      <c r="S143" s="597">
        <f t="shared" si="67"/>
        <v>264.58</v>
      </c>
      <c r="T143" s="526">
        <f t="shared" si="68"/>
        <v>5529.5523999999996</v>
      </c>
      <c r="U143" s="598">
        <v>264.58</v>
      </c>
      <c r="V143" s="598">
        <v>5529.5523999999996</v>
      </c>
      <c r="X143" s="599">
        <v>4293.9277700000002</v>
      </c>
    </row>
    <row r="144" spans="1:24" ht="11.1" customHeight="1" x14ac:dyDescent="0.45">
      <c r="A144" s="139"/>
      <c r="B144" s="139"/>
      <c r="C144" s="139"/>
      <c r="D144" s="139"/>
      <c r="E144" s="139"/>
      <c r="F144" s="139"/>
      <c r="G144" s="139"/>
      <c r="H144" s="139"/>
      <c r="I144" s="139"/>
      <c r="J144" s="139"/>
      <c r="K144" s="139"/>
      <c r="L144" s="139"/>
      <c r="M144" s="139"/>
      <c r="N144" s="139"/>
      <c r="Q144" s="439">
        <f t="shared" si="65"/>
        <v>1044</v>
      </c>
      <c r="R144" s="596">
        <f t="shared" si="66"/>
        <v>45086</v>
      </c>
      <c r="S144" s="597">
        <f t="shared" si="67"/>
        <v>264.95</v>
      </c>
      <c r="T144" s="526">
        <f t="shared" si="68"/>
        <v>4490.8479200000002</v>
      </c>
      <c r="U144" s="598">
        <v>264.95</v>
      </c>
      <c r="V144" s="598">
        <v>4490.8479200000002</v>
      </c>
      <c r="X144" s="599">
        <v>4298.8573100000003</v>
      </c>
    </row>
    <row r="145" spans="1:24" ht="11.1" customHeight="1" x14ac:dyDescent="0.45">
      <c r="A145" s="592" t="s">
        <v>345</v>
      </c>
      <c r="B145" s="139"/>
      <c r="C145" s="139"/>
      <c r="D145" s="655" t="s">
        <v>173</v>
      </c>
      <c r="E145" s="139"/>
      <c r="F145" s="139"/>
      <c r="G145" s="139"/>
      <c r="H145" s="139"/>
      <c r="I145" s="139"/>
      <c r="J145" s="1011">
        <v>0</v>
      </c>
      <c r="K145" s="655">
        <f>IF(J145=0,0,E12)</f>
        <v>0</v>
      </c>
      <c r="L145" s="1012">
        <f>(SUM(C26:L26)-SUM(C23:L23))*-J145</f>
        <v>0</v>
      </c>
      <c r="M145" s="139"/>
      <c r="N145" s="139"/>
      <c r="Q145" s="439">
        <f t="shared" si="65"/>
        <v>1043</v>
      </c>
      <c r="R145" s="596">
        <f t="shared" si="66"/>
        <v>45087</v>
      </c>
      <c r="S145" s="597" t="e">
        <f t="shared" si="67"/>
        <v>#N/A</v>
      </c>
      <c r="T145" s="526" t="e">
        <f t="shared" si="68"/>
        <v>#N/A</v>
      </c>
      <c r="U145" s="598">
        <v>264.95</v>
      </c>
      <c r="V145" s="598">
        <v>0</v>
      </c>
      <c r="X145" s="599">
        <v>4298.8573100000003</v>
      </c>
    </row>
    <row r="146" spans="1:24" ht="11.1" customHeight="1" x14ac:dyDescent="0.45">
      <c r="A146" s="656"/>
      <c r="B146" s="139"/>
      <c r="C146" s="139"/>
      <c r="D146" s="655"/>
      <c r="E146" s="139"/>
      <c r="F146" s="139"/>
      <c r="G146" s="139"/>
      <c r="H146" s="139"/>
      <c r="I146" s="139"/>
      <c r="J146" s="656"/>
      <c r="K146" s="139"/>
      <c r="L146" s="139"/>
      <c r="M146" s="139"/>
      <c r="N146" s="139"/>
      <c r="Q146" s="439">
        <f t="shared" si="65"/>
        <v>1042</v>
      </c>
      <c r="R146" s="596">
        <f t="shared" si="66"/>
        <v>45088</v>
      </c>
      <c r="S146" s="597" t="e">
        <f t="shared" si="67"/>
        <v>#N/A</v>
      </c>
      <c r="T146" s="526" t="e">
        <f t="shared" si="68"/>
        <v>#N/A</v>
      </c>
      <c r="U146" s="598">
        <v>264.95</v>
      </c>
      <c r="V146" s="598">
        <v>0</v>
      </c>
      <c r="X146" s="599">
        <v>4298.8573100000003</v>
      </c>
    </row>
    <row r="147" spans="1:24" ht="11.1" customHeight="1" x14ac:dyDescent="0.45">
      <c r="A147" s="656" t="str">
        <f>IF($D$145="mit Hilfe der Kennziffer Umsatz/Kapital","mit Hilfe der Kennziffer Umsatz/Kapital","")</f>
        <v>mit Hilfe der Kennziffer Umsatz/Kapital</v>
      </c>
      <c r="B147" s="139"/>
      <c r="C147" s="139"/>
      <c r="D147" s="139"/>
      <c r="E147" s="139"/>
      <c r="F147" s="139"/>
      <c r="G147" s="139"/>
      <c r="H147" s="139"/>
      <c r="I147" s="139"/>
      <c r="J147" s="656" t="str">
        <f>IF($D$145="mit Hilfe von Wachstum und der Kennziffer ROCE","mit Hilfe von Wachstum und der Kennziffer ROCE","")</f>
        <v/>
      </c>
      <c r="K147" s="139"/>
      <c r="L147" s="139"/>
      <c r="M147" s="139"/>
      <c r="N147" s="139"/>
      <c r="Q147" s="439">
        <f t="shared" si="65"/>
        <v>1041</v>
      </c>
      <c r="R147" s="596">
        <f t="shared" si="66"/>
        <v>45089</v>
      </c>
      <c r="S147" s="597">
        <f t="shared" si="67"/>
        <v>271.05</v>
      </c>
      <c r="T147" s="526">
        <f t="shared" si="68"/>
        <v>4193.6048300000002</v>
      </c>
      <c r="U147" s="598">
        <v>271.05</v>
      </c>
      <c r="V147" s="598">
        <v>4193.6048300000002</v>
      </c>
      <c r="X147" s="599">
        <v>4338.93444</v>
      </c>
    </row>
    <row r="148" spans="1:24" ht="11.1" customHeight="1" x14ac:dyDescent="0.45">
      <c r="A148" s="657" t="str">
        <f>IF($A$147=$D$145,"Unternehmensumsatz steht in einem Verhältnis zum gebundenen Kapital.","")</f>
        <v>Unternehmensumsatz steht in einem Verhältnis zum gebundenen Kapital.</v>
      </c>
      <c r="B148" s="585"/>
      <c r="C148" s="585"/>
      <c r="D148" s="585"/>
      <c r="E148" s="585"/>
      <c r="F148" s="585"/>
      <c r="G148" s="585"/>
      <c r="H148" s="585"/>
      <c r="I148" s="139"/>
      <c r="J148" s="657" t="str">
        <f>IF($J$147=$D$145,"Erträge basieren auf Investitionsentscheidungen.","")</f>
        <v/>
      </c>
      <c r="K148" s="657"/>
      <c r="L148" s="657"/>
      <c r="M148" s="657"/>
      <c r="N148" s="657"/>
      <c r="Q148" s="439">
        <f t="shared" si="65"/>
        <v>1040</v>
      </c>
      <c r="R148" s="596">
        <f t="shared" si="66"/>
        <v>45090</v>
      </c>
      <c r="S148" s="597">
        <f t="shared" si="67"/>
        <v>271.32</v>
      </c>
      <c r="T148" s="526">
        <f t="shared" si="68"/>
        <v>4385.6229899999998</v>
      </c>
      <c r="U148" s="598">
        <v>271.32</v>
      </c>
      <c r="V148" s="598">
        <v>4385.6229899999998</v>
      </c>
      <c r="X148" s="599">
        <v>4369.0063899999996</v>
      </c>
    </row>
    <row r="149" spans="1:24" ht="11.1" customHeight="1" x14ac:dyDescent="0.45">
      <c r="A149" s="657" t="str">
        <f>IF($A$147=$D$145,"Das gebundene Kapital ermittelt sich aus einer Formel:","")</f>
        <v>Das gebundene Kapital ermittelt sich aus einer Formel:</v>
      </c>
      <c r="B149" s="585"/>
      <c r="C149" s="585"/>
      <c r="D149" s="585"/>
      <c r="E149" s="585"/>
      <c r="F149" s="585"/>
      <c r="G149" s="585"/>
      <c r="H149" s="585"/>
      <c r="I149" s="139"/>
      <c r="J149" s="657" t="str">
        <f>IF($J$147=$D$145,"EBIT-T und investiertes Kapital stehen in einem Verhältnis.","")</f>
        <v/>
      </c>
      <c r="K149" s="657"/>
      <c r="L149" s="657"/>
      <c r="M149" s="657"/>
      <c r="N149" s="657"/>
      <c r="Q149" s="439">
        <f t="shared" si="65"/>
        <v>1039</v>
      </c>
      <c r="R149" s="596">
        <f t="shared" si="66"/>
        <v>45091</v>
      </c>
      <c r="S149" s="597">
        <f t="shared" si="67"/>
        <v>273.35000000000002</v>
      </c>
      <c r="T149" s="526">
        <f t="shared" si="68"/>
        <v>5241.5042899999999</v>
      </c>
      <c r="U149" s="598">
        <v>273.35000000000002</v>
      </c>
      <c r="V149" s="598">
        <v>5241.5042899999999</v>
      </c>
      <c r="X149" s="599">
        <v>4372.5894399999997</v>
      </c>
    </row>
    <row r="150" spans="1:24" ht="11.1" customHeight="1" x14ac:dyDescent="0.45">
      <c r="A150" s="658" t="str">
        <f>IF($A$147=$D$145,"Gebundenes Kapital = Zinstragende Verbindlichkeiten + Eigenkapital - liquide Mittel - Goodwill.","")</f>
        <v>Gebundenes Kapital = Zinstragende Verbindlichkeiten + Eigenkapital - liquide Mittel - Goodwill.</v>
      </c>
      <c r="B150" s="585"/>
      <c r="C150" s="585"/>
      <c r="D150" s="585"/>
      <c r="E150" s="585"/>
      <c r="F150" s="585"/>
      <c r="G150" s="585"/>
      <c r="H150" s="585"/>
      <c r="I150" s="139"/>
      <c r="J150" s="657" t="str">
        <f>IF($J$147=$D$145,"Das Verhältnis wird in einer Formel als Rendite ausgedrückt:","")</f>
        <v/>
      </c>
      <c r="K150" s="657"/>
      <c r="L150" s="657"/>
      <c r="M150" s="657"/>
      <c r="N150" s="657"/>
      <c r="Q150" s="439">
        <f t="shared" si="65"/>
        <v>1038</v>
      </c>
      <c r="R150" s="596">
        <f t="shared" si="66"/>
        <v>45092</v>
      </c>
      <c r="S150" s="597">
        <f t="shared" si="67"/>
        <v>281.83</v>
      </c>
      <c r="T150" s="526">
        <f t="shared" si="68"/>
        <v>7320.0988200000002</v>
      </c>
      <c r="U150" s="598">
        <v>281.83</v>
      </c>
      <c r="V150" s="598">
        <v>7320.0988200000002</v>
      </c>
      <c r="X150" s="599">
        <v>4425.8442599999998</v>
      </c>
    </row>
    <row r="151" spans="1:24" ht="11.1" customHeight="1" x14ac:dyDescent="0.45">
      <c r="A151" s="657" t="str">
        <f>IF($A$147=$D$145,"Die Kennziffer drückt aus, wieviel Kapital bei vorgegebenem Umsatz investiert sein muss.","")</f>
        <v>Die Kennziffer drückt aus, wieviel Kapital bei vorgegebenem Umsatz investiert sein muss.</v>
      </c>
      <c r="B151" s="585"/>
      <c r="C151" s="585"/>
      <c r="D151" s="585"/>
      <c r="E151" s="585"/>
      <c r="F151" s="585"/>
      <c r="G151" s="585"/>
      <c r="H151" s="585"/>
      <c r="I151" s="139"/>
      <c r="J151" s="657" t="str">
        <f>IF($J$147=$D$145,"Rendite = EBIT-T / gebundenes Kapital = ROCE.","")</f>
        <v/>
      </c>
      <c r="K151" s="657"/>
      <c r="L151" s="657"/>
      <c r="M151" s="657"/>
      <c r="N151" s="657"/>
      <c r="Q151" s="439">
        <f t="shared" si="65"/>
        <v>1037</v>
      </c>
      <c r="R151" s="596">
        <f t="shared" si="66"/>
        <v>45093</v>
      </c>
      <c r="S151" s="597">
        <f t="shared" si="67"/>
        <v>281</v>
      </c>
      <c r="T151" s="526">
        <f t="shared" si="68"/>
        <v>12118.89241</v>
      </c>
      <c r="U151" s="598">
        <v>281</v>
      </c>
      <c r="V151" s="598">
        <v>12118.89241</v>
      </c>
      <c r="X151" s="599">
        <v>4409.5943600000001</v>
      </c>
    </row>
    <row r="152" spans="1:24" ht="11.1" customHeight="1" x14ac:dyDescent="0.45">
      <c r="A152" s="657" t="str">
        <f>IF($A$147=$D$145,"Da im DCF-Modell Umsatzprognosen vorliegen, kann das (implizit) gebundene Kapital berechnet werden.","")</f>
        <v>Da im DCF-Modell Umsatzprognosen vorliegen, kann das (implizit) gebundene Kapital berechnet werden.</v>
      </c>
      <c r="B152" s="585"/>
      <c r="C152" s="585"/>
      <c r="D152" s="585"/>
      <c r="E152" s="585"/>
      <c r="F152" s="585"/>
      <c r="G152" s="585"/>
      <c r="H152" s="585"/>
      <c r="I152" s="139"/>
      <c r="J152" s="657" t="str">
        <f>IF($J$147=$D$145,"ROCE steht für Return on Capital Employed.","")</f>
        <v/>
      </c>
      <c r="K152" s="657"/>
      <c r="L152" s="657"/>
      <c r="M152" s="657"/>
      <c r="N152" s="657"/>
      <c r="Q152" s="439">
        <f t="shared" si="65"/>
        <v>1036</v>
      </c>
      <c r="R152" s="596">
        <f t="shared" si="66"/>
        <v>45094</v>
      </c>
      <c r="S152" s="597" t="e">
        <f t="shared" si="67"/>
        <v>#N/A</v>
      </c>
      <c r="T152" s="526" t="e">
        <f t="shared" si="68"/>
        <v>#N/A</v>
      </c>
      <c r="U152" s="598">
        <v>281</v>
      </c>
      <c r="V152" s="598">
        <v>0</v>
      </c>
      <c r="X152" s="599">
        <v>4409.5943600000001</v>
      </c>
    </row>
    <row r="153" spans="1:24" ht="11.1" customHeight="1" x14ac:dyDescent="0.45">
      <c r="A153" s="657" t="str">
        <f>IF($A$147=$D$145,"Die Veränderung von einer Periode zur nächsten Periode ergibt die jährlichen Nettoinvestitionen.","")</f>
        <v>Die Veränderung von einer Periode zur nächsten Periode ergibt die jährlichen Nettoinvestitionen.</v>
      </c>
      <c r="B153" s="585"/>
      <c r="C153" s="585"/>
      <c r="D153" s="585"/>
      <c r="E153" s="585"/>
      <c r="F153" s="585"/>
      <c r="G153" s="585"/>
      <c r="H153" s="585"/>
      <c r="I153" s="139"/>
      <c r="J153" s="657" t="str">
        <f>IF($J$147=$D$145,"Liegt eine Meinung über ROCE vor, ist ausrechenbar,","")</f>
        <v/>
      </c>
      <c r="K153" s="657"/>
      <c r="L153" s="657"/>
      <c r="M153" s="657"/>
      <c r="N153" s="657"/>
      <c r="Q153" s="439">
        <f t="shared" si="65"/>
        <v>1035</v>
      </c>
      <c r="R153" s="596">
        <f t="shared" si="66"/>
        <v>45095</v>
      </c>
      <c r="S153" s="597" t="e">
        <f t="shared" si="67"/>
        <v>#N/A</v>
      </c>
      <c r="T153" s="526" t="e">
        <f t="shared" si="68"/>
        <v>#N/A</v>
      </c>
      <c r="U153" s="598">
        <v>281</v>
      </c>
      <c r="V153" s="598">
        <v>0</v>
      </c>
      <c r="X153" s="599">
        <v>4409.5943600000001</v>
      </c>
    </row>
    <row r="154" spans="1:24" ht="11.1" customHeight="1" x14ac:dyDescent="0.45">
      <c r="A154" s="657" t="str">
        <f>IF($A$147=$D$145,"Typischerweise liegt die Kennziffer Umsatz/Kapital zwischen","")</f>
        <v>Typischerweise liegt die Kennziffer Umsatz/Kapital zwischen</v>
      </c>
      <c r="B154" s="585"/>
      <c r="C154" s="585"/>
      <c r="D154" s="585"/>
      <c r="E154" s="585"/>
      <c r="F154" s="735">
        <v>0.5</v>
      </c>
      <c r="G154" s="635" t="str">
        <f>IF($A$147=$D$145,"und","")</f>
        <v>und</v>
      </c>
      <c r="H154" s="659">
        <v>5</v>
      </c>
      <c r="I154" s="139"/>
      <c r="J154" s="657" t="str">
        <f>IF($J$147=$D$145,"wieviel für gegebenes EBIT-T investiert werden muss.","")</f>
        <v/>
      </c>
      <c r="K154" s="657"/>
      <c r="L154" s="657"/>
      <c r="M154" s="657"/>
      <c r="N154" s="657"/>
      <c r="Q154" s="439">
        <f t="shared" si="65"/>
        <v>1034</v>
      </c>
      <c r="R154" s="596">
        <f t="shared" si="66"/>
        <v>45096</v>
      </c>
      <c r="S154" s="597" t="e">
        <f t="shared" si="67"/>
        <v>#N/A</v>
      </c>
      <c r="T154" s="526" t="e">
        <f t="shared" si="68"/>
        <v>#N/A</v>
      </c>
      <c r="U154" s="598">
        <v>281</v>
      </c>
      <c r="V154" s="598">
        <v>0</v>
      </c>
      <c r="X154" s="599">
        <v>4409.5943600000001</v>
      </c>
    </row>
    <row r="155" spans="1:24" ht="11.1" customHeight="1" x14ac:dyDescent="0.45">
      <c r="A155" s="657" t="str">
        <f>IF($A$147=$D$145,"Je niedriger die Kennziffer ausfällt, desto mehr ist bei gegebenem Umsatz zu investieren.","")</f>
        <v>Je niedriger die Kennziffer ausfällt, desto mehr ist bei gegebenem Umsatz zu investieren.</v>
      </c>
      <c r="B155" s="585"/>
      <c r="C155" s="585"/>
      <c r="D155" s="585"/>
      <c r="E155" s="585"/>
      <c r="F155" s="659"/>
      <c r="G155" s="635"/>
      <c r="H155" s="659"/>
      <c r="I155" s="139"/>
      <c r="J155" s="657" t="str">
        <f>IF($J$147=$D$145,"Je höher ROCE ausfällt, desto weniger ist zu investieren.","")</f>
        <v/>
      </c>
      <c r="K155" s="657"/>
      <c r="L155" s="657"/>
      <c r="M155" s="657"/>
      <c r="N155" s="657"/>
      <c r="Q155" s="439">
        <f t="shared" si="65"/>
        <v>1033</v>
      </c>
      <c r="R155" s="596">
        <f t="shared" si="66"/>
        <v>45097</v>
      </c>
      <c r="S155" s="597">
        <f t="shared" si="67"/>
        <v>284.33</v>
      </c>
      <c r="T155" s="526">
        <f t="shared" si="68"/>
        <v>5886.0828000000001</v>
      </c>
      <c r="U155" s="598">
        <v>284.33</v>
      </c>
      <c r="V155" s="598">
        <v>5886.0828000000001</v>
      </c>
      <c r="X155" s="599">
        <v>4388.7097599999997</v>
      </c>
    </row>
    <row r="156" spans="1:24" ht="11.1" customHeight="1" x14ac:dyDescent="0.45">
      <c r="A156" s="657" t="str">
        <f>IF($A$147=$D$145,"Beträgt die Kennziffer z.B. 3,0 (Umsatz/Kapital), so sind für EUR 100 Umsatz EUR 30 zu investieren.","")</f>
        <v>Beträgt die Kennziffer z.B. 3,0 (Umsatz/Kapital), so sind für EUR 100 Umsatz EUR 30 zu investieren.</v>
      </c>
      <c r="B156" s="585"/>
      <c r="C156" s="585"/>
      <c r="D156" s="585"/>
      <c r="E156" s="585"/>
      <c r="F156" s="659"/>
      <c r="G156" s="635"/>
      <c r="H156" s="659"/>
      <c r="I156" s="139"/>
      <c r="J156" s="657" t="str">
        <f>IF($J$147=$D$145,"Beträgt ROCE z.B. 20%, sind für einen Euro EBIT-T, 20 Cent investiert.","")</f>
        <v/>
      </c>
      <c r="K156" s="657"/>
      <c r="L156" s="657"/>
      <c r="M156" s="657"/>
      <c r="N156" s="657"/>
      <c r="Q156" s="439">
        <f t="shared" si="65"/>
        <v>1032</v>
      </c>
      <c r="R156" s="596">
        <f t="shared" si="66"/>
        <v>45098</v>
      </c>
      <c r="S156" s="597">
        <f t="shared" si="67"/>
        <v>281.64</v>
      </c>
      <c r="T156" s="526">
        <f t="shared" si="68"/>
        <v>5789.4397200000003</v>
      </c>
      <c r="U156" s="598">
        <v>281.64</v>
      </c>
      <c r="V156" s="598">
        <v>5789.4397200000003</v>
      </c>
      <c r="X156" s="599">
        <v>4365.6898300000003</v>
      </c>
    </row>
    <row r="157" spans="1:24" ht="11.1" customHeight="1" x14ac:dyDescent="0.45">
      <c r="A157" s="585"/>
      <c r="B157" s="585"/>
      <c r="C157" s="585"/>
      <c r="D157" s="585"/>
      <c r="E157" s="585"/>
      <c r="F157" s="585"/>
      <c r="G157" s="585"/>
      <c r="H157" s="585"/>
      <c r="I157" s="139"/>
      <c r="J157" s="585"/>
      <c r="K157" s="585"/>
      <c r="L157" s="585"/>
      <c r="M157" s="585"/>
      <c r="N157" s="585"/>
      <c r="Q157" s="439">
        <f t="shared" ref="Q157:Q220" si="82">Q158+1</f>
        <v>1031</v>
      </c>
      <c r="R157" s="596">
        <f t="shared" ref="R157:R220" si="83">R158-1</f>
        <v>45099</v>
      </c>
      <c r="S157" s="597">
        <f t="shared" ref="S157:S220" si="84">IF(U157=U156,#N/A,U157)</f>
        <v>284.88</v>
      </c>
      <c r="T157" s="526">
        <f t="shared" ref="T157:T220" si="85">IF(S157="#NV",#N/A,V157)</f>
        <v>5003.3648199999998</v>
      </c>
      <c r="U157" s="598">
        <v>284.88</v>
      </c>
      <c r="V157" s="598">
        <v>5003.3648199999998</v>
      </c>
      <c r="X157" s="599">
        <v>4381.89048</v>
      </c>
    </row>
    <row r="158" spans="1:24" ht="11.1" customHeight="1" x14ac:dyDescent="0.45">
      <c r="A158" s="660" t="str">
        <f>IF($A$147=$D$145,"Im vorliegenden Fall liegen für die Kennziffer Umsatz/Kapital folgende Benchmarks vor:","")</f>
        <v>Im vorliegenden Fall liegen für die Kennziffer Umsatz/Kapital folgende Benchmarks vor:</v>
      </c>
      <c r="B158" s="661"/>
      <c r="C158" s="661"/>
      <c r="D158" s="661"/>
      <c r="E158" s="661"/>
      <c r="F158" s="661"/>
      <c r="G158" s="661"/>
      <c r="H158" s="661"/>
      <c r="I158" s="643"/>
      <c r="J158" s="660" t="str">
        <f>IF($J$147=$D$145,"Im vorliegenden Fall liegen folgende Benchmarks vor:","")</f>
        <v/>
      </c>
      <c r="K158" s="660"/>
      <c r="L158" s="660"/>
      <c r="M158" s="660"/>
      <c r="N158" s="660"/>
      <c r="Q158" s="439">
        <f t="shared" si="82"/>
        <v>1030</v>
      </c>
      <c r="R158" s="596">
        <f t="shared" si="83"/>
        <v>45100</v>
      </c>
      <c r="S158" s="597">
        <f t="shared" si="84"/>
        <v>288.73</v>
      </c>
      <c r="T158" s="526">
        <f t="shared" si="85"/>
        <v>14751.80413</v>
      </c>
      <c r="U158" s="598">
        <v>288.73</v>
      </c>
      <c r="V158" s="598">
        <v>14751.80413</v>
      </c>
      <c r="X158" s="599">
        <v>4348.3306700000003</v>
      </c>
    </row>
    <row r="159" spans="1:24" ht="11.1" customHeight="1" x14ac:dyDescent="0.45">
      <c r="A159" s="585"/>
      <c r="B159" s="585"/>
      <c r="C159" s="585"/>
      <c r="D159" s="585"/>
      <c r="E159" s="585"/>
      <c r="F159" s="585"/>
      <c r="G159" s="585"/>
      <c r="H159" s="585"/>
      <c r="I159" s="139"/>
      <c r="J159" s="585"/>
      <c r="K159" s="585"/>
      <c r="L159" s="585"/>
      <c r="M159" s="585"/>
      <c r="N159" s="585"/>
      <c r="Q159" s="439">
        <f t="shared" si="82"/>
        <v>1029</v>
      </c>
      <c r="R159" s="596">
        <f t="shared" si="83"/>
        <v>45101</v>
      </c>
      <c r="S159" s="597" t="e">
        <f t="shared" si="84"/>
        <v>#N/A</v>
      </c>
      <c r="T159" s="526" t="e">
        <f t="shared" si="85"/>
        <v>#N/A</v>
      </c>
      <c r="U159" s="598">
        <v>288.73</v>
      </c>
      <c r="V159" s="598">
        <v>0</v>
      </c>
      <c r="X159" s="599">
        <v>4348.3306700000003</v>
      </c>
    </row>
    <row r="160" spans="1:24" ht="11.1" customHeight="1" x14ac:dyDescent="0.45">
      <c r="A160" s="610" t="str">
        <f>IF($A$147=$D$145,"Umsatz / gebundenes Kapital","")</f>
        <v>Umsatz / gebundenes Kapital</v>
      </c>
      <c r="B160" s="585"/>
      <c r="C160" s="585"/>
      <c r="D160" s="585"/>
      <c r="E160" s="585"/>
      <c r="F160" s="662"/>
      <c r="G160" s="585"/>
      <c r="H160" s="585"/>
      <c r="I160" s="139"/>
      <c r="J160" s="610" t="str">
        <f>IF($J$147=$D$145,"Wachstum EBIT-T (exkl. Sonst)","")</f>
        <v/>
      </c>
      <c r="K160" s="585"/>
      <c r="L160" s="585"/>
      <c r="M160" s="663" t="str">
        <f>IF($J$147=$D$145,"YCV","")</f>
        <v/>
      </c>
      <c r="N160" s="569"/>
      <c r="Q160" s="439">
        <f t="shared" si="82"/>
        <v>1028</v>
      </c>
      <c r="R160" s="596">
        <f t="shared" si="83"/>
        <v>45102</v>
      </c>
      <c r="S160" s="597" t="e">
        <f t="shared" si="84"/>
        <v>#N/A</v>
      </c>
      <c r="T160" s="526" t="e">
        <f t="shared" si="85"/>
        <v>#N/A</v>
      </c>
      <c r="U160" s="598">
        <v>288.73</v>
      </c>
      <c r="V160" s="598">
        <v>0</v>
      </c>
      <c r="X160" s="599">
        <v>4348.3306700000003</v>
      </c>
    </row>
    <row r="161" spans="1:24" ht="11.1" customHeight="1" x14ac:dyDescent="0.45">
      <c r="A161" s="567" t="str">
        <f>IF($A$147=$D$145,"Median 5 Jahre Historie","")</f>
        <v>Median 5 Jahre Historie</v>
      </c>
      <c r="B161" s="585"/>
      <c r="C161" s="585"/>
      <c r="D161" s="585"/>
      <c r="E161" s="585"/>
      <c r="F161" s="662"/>
      <c r="G161" s="664">
        <v>1.1561576441234866</v>
      </c>
      <c r="H161" s="585"/>
      <c r="I161" s="139"/>
      <c r="J161" s="567" t="str">
        <f>IF($J$147=$D$145,"Historie 5 Jahre","")</f>
        <v/>
      </c>
      <c r="K161" s="585"/>
      <c r="L161" s="585"/>
      <c r="M161" s="617"/>
      <c r="N161" s="600" t="s">
        <v>592</v>
      </c>
      <c r="Q161" s="439">
        <f t="shared" si="82"/>
        <v>1027</v>
      </c>
      <c r="R161" s="596">
        <f t="shared" si="83"/>
        <v>45103</v>
      </c>
      <c r="S161" s="597">
        <f t="shared" si="84"/>
        <v>278.47000000000003</v>
      </c>
      <c r="T161" s="526">
        <f t="shared" si="85"/>
        <v>6748.0663199999999</v>
      </c>
      <c r="U161" s="598">
        <v>278.47000000000003</v>
      </c>
      <c r="V161" s="598">
        <v>6748.0663199999999</v>
      </c>
      <c r="X161" s="599">
        <v>4328.82161</v>
      </c>
    </row>
    <row r="162" spans="1:24" ht="11.1" customHeight="1" x14ac:dyDescent="0.45">
      <c r="A162" s="567" t="str">
        <f>IF($A$147=$D$145,"Median 10 Jahre Historie","")</f>
        <v>Median 10 Jahre Historie</v>
      </c>
      <c r="B162" s="585"/>
      <c r="C162" s="585"/>
      <c r="D162" s="585"/>
      <c r="E162" s="585"/>
      <c r="F162" s="662"/>
      <c r="G162" s="664">
        <v>1.4696905677230758</v>
      </c>
      <c r="H162" s="585"/>
      <c r="I162" s="139"/>
      <c r="J162" s="567" t="str">
        <f>IF($J$147=$D$145,"Historie 10 Jahre","")</f>
        <v/>
      </c>
      <c r="K162" s="585"/>
      <c r="L162" s="600"/>
      <c r="M162" s="665"/>
      <c r="N162" s="600" t="s">
        <v>592</v>
      </c>
      <c r="Q162" s="439">
        <f t="shared" si="82"/>
        <v>1026</v>
      </c>
      <c r="R162" s="596">
        <f t="shared" si="83"/>
        <v>45104</v>
      </c>
      <c r="S162" s="597">
        <f t="shared" si="84"/>
        <v>287.05</v>
      </c>
      <c r="T162" s="526">
        <f t="shared" si="85"/>
        <v>7494.3760300000004</v>
      </c>
      <c r="U162" s="598">
        <v>287.05</v>
      </c>
      <c r="V162" s="598">
        <v>7494.3760300000004</v>
      </c>
      <c r="X162" s="599">
        <v>4378.4053199999998</v>
      </c>
    </row>
    <row r="163" spans="1:24" ht="11.1" customHeight="1" x14ac:dyDescent="0.45">
      <c r="A163" s="567" t="str">
        <f>IF($A$147=$D$145,"Mittelwert 10 Jahre Historie","")</f>
        <v>Mittelwert 10 Jahre Historie</v>
      </c>
      <c r="B163" s="585"/>
      <c r="C163" s="585"/>
      <c r="D163" s="585"/>
      <c r="E163" s="585"/>
      <c r="F163" s="662"/>
      <c r="G163" s="664">
        <v>1.1436057260339987</v>
      </c>
      <c r="H163" s="585"/>
      <c r="I163" s="139"/>
      <c r="J163" s="567" t="str">
        <f>IF($J$147=$D$145,"Planung 5 Jahre","")</f>
        <v/>
      </c>
      <c r="K163" s="585"/>
      <c r="L163" s="600"/>
      <c r="M163" s="617" t="s">
        <v>592</v>
      </c>
      <c r="N163" s="600" t="str">
        <f>IF($J$147=$D$145,(G21+G24)/(B21+B24)-1,"")</f>
        <v/>
      </c>
      <c r="O163" s="666"/>
      <c r="Q163" s="439">
        <f t="shared" si="82"/>
        <v>1025</v>
      </c>
      <c r="R163" s="596">
        <f t="shared" si="83"/>
        <v>45105</v>
      </c>
      <c r="S163" s="597">
        <f t="shared" si="84"/>
        <v>285.29000000000002</v>
      </c>
      <c r="T163" s="526">
        <f t="shared" si="85"/>
        <v>4770.6527599999999</v>
      </c>
      <c r="U163" s="598">
        <v>285.29000000000002</v>
      </c>
      <c r="V163" s="598">
        <v>4770.6527599999999</v>
      </c>
      <c r="X163" s="599">
        <v>4376.8637099999996</v>
      </c>
    </row>
    <row r="164" spans="1:24" ht="11.1" customHeight="1" x14ac:dyDescent="0.45">
      <c r="A164" s="567" t="str">
        <f>IF($A$147=$D$145,"Industrie","")</f>
        <v>Industrie</v>
      </c>
      <c r="B164" s="667" t="str">
        <f>IF($A$147=$D$145,E7,"")</f>
        <v>Interaktive Medien und Dienstleistungen</v>
      </c>
      <c r="C164" s="585"/>
      <c r="D164" s="585"/>
      <c r="E164" s="585"/>
      <c r="F164" s="662"/>
      <c r="G164" s="664">
        <v>2.6703324971858202</v>
      </c>
      <c r="H164" s="585"/>
      <c r="I164" s="139"/>
      <c r="J164" s="567" t="str">
        <f>IF($J$147=$D$145,"Planung 10 Jahres","")</f>
        <v/>
      </c>
      <c r="K164" s="667"/>
      <c r="L164" s="600"/>
      <c r="M164" s="617" t="s">
        <v>592</v>
      </c>
      <c r="N164" s="600" t="str">
        <f>IF($J$147=$D$145,(L21+L24)/(B21+B24)-1,"")</f>
        <v/>
      </c>
      <c r="O164" s="666"/>
      <c r="Q164" s="439">
        <f t="shared" si="82"/>
        <v>1024</v>
      </c>
      <c r="R164" s="596">
        <f t="shared" si="83"/>
        <v>45106</v>
      </c>
      <c r="S164" s="597">
        <f t="shared" si="84"/>
        <v>281.52999999999997</v>
      </c>
      <c r="T164" s="526">
        <f t="shared" si="85"/>
        <v>4334.34861</v>
      </c>
      <c r="U164" s="598">
        <v>281.52999999999997</v>
      </c>
      <c r="V164" s="598">
        <v>4334.34861</v>
      </c>
      <c r="X164" s="599">
        <v>4396.4434199999996</v>
      </c>
    </row>
    <row r="165" spans="1:24" ht="11.1" customHeight="1" x14ac:dyDescent="0.45">
      <c r="A165" s="567" t="str">
        <f>IF($A$147=$D$145,"Planung LTM+10","")</f>
        <v>Planung LTM+10</v>
      </c>
      <c r="B165" s="585"/>
      <c r="C165" s="585"/>
      <c r="D165" s="585"/>
      <c r="E165" s="585"/>
      <c r="F165" s="662"/>
      <c r="G165" s="664">
        <f>IF($A$147=$D$145,M67,"")</f>
        <v>0.99544364802987706</v>
      </c>
      <c r="H165" s="668">
        <v>0.99544364802987706</v>
      </c>
      <c r="I165" s="139"/>
      <c r="J165" s="585"/>
      <c r="K165" s="585"/>
      <c r="L165" s="585"/>
      <c r="M165" s="585"/>
      <c r="N165" s="585"/>
      <c r="O165" s="666"/>
      <c r="Q165" s="439">
        <f t="shared" si="82"/>
        <v>1023</v>
      </c>
      <c r="R165" s="596">
        <f t="shared" si="83"/>
        <v>45107</v>
      </c>
      <c r="S165" s="597">
        <f t="shared" si="84"/>
        <v>286.98</v>
      </c>
      <c r="T165" s="526">
        <f t="shared" si="85"/>
        <v>5652.0343700000003</v>
      </c>
      <c r="U165" s="598">
        <v>286.98</v>
      </c>
      <c r="V165" s="598">
        <v>5652.0343700000003</v>
      </c>
      <c r="X165" s="599">
        <v>4450.3813099999998</v>
      </c>
    </row>
    <row r="166" spans="1:24" ht="11.1" customHeight="1" x14ac:dyDescent="0.45">
      <c r="A166" s="585"/>
      <c r="B166" s="585"/>
      <c r="C166" s="585"/>
      <c r="D166" s="585"/>
      <c r="E166" s="585"/>
      <c r="F166" s="585"/>
      <c r="G166" s="585"/>
      <c r="H166" s="585"/>
      <c r="I166" s="139"/>
      <c r="J166" s="610" t="str">
        <f>IF($J$147=$D$145,"ROCE","")</f>
        <v/>
      </c>
      <c r="K166" s="585"/>
      <c r="L166" s="585"/>
      <c r="M166" s="585"/>
      <c r="N166" s="569"/>
      <c r="Q166" s="439">
        <f t="shared" si="82"/>
        <v>1022</v>
      </c>
      <c r="R166" s="596">
        <f t="shared" si="83"/>
        <v>45108</v>
      </c>
      <c r="S166" s="597" t="e">
        <f t="shared" si="84"/>
        <v>#N/A</v>
      </c>
      <c r="T166" s="526" t="e">
        <f t="shared" si="85"/>
        <v>#N/A</v>
      </c>
      <c r="U166" s="598">
        <v>286.98</v>
      </c>
      <c r="V166" s="598">
        <v>0</v>
      </c>
      <c r="X166" s="599">
        <v>4450.3813099999998</v>
      </c>
    </row>
    <row r="167" spans="1:24" ht="11.1" customHeight="1" x14ac:dyDescent="0.45">
      <c r="A167" s="610" t="str">
        <f>IF($A$147=$D$145,"Herleitung","")</f>
        <v>Herleitung</v>
      </c>
      <c r="B167" s="585"/>
      <c r="C167" s="585"/>
      <c r="D167" s="585"/>
      <c r="E167" s="585"/>
      <c r="F167" s="662"/>
      <c r="G167" s="585"/>
      <c r="H167" s="585"/>
      <c r="I167" s="139"/>
      <c r="J167" s="567" t="str">
        <f>IF($J$147=$D$145,"LTM","")</f>
        <v/>
      </c>
      <c r="K167" s="585"/>
      <c r="L167" s="585"/>
      <c r="M167" s="585"/>
      <c r="N167" s="569" t="s">
        <v>592</v>
      </c>
      <c r="O167" s="669"/>
      <c r="Q167" s="439">
        <f t="shared" si="82"/>
        <v>1021</v>
      </c>
      <c r="R167" s="596">
        <f t="shared" si="83"/>
        <v>45109</v>
      </c>
      <c r="S167" s="597" t="e">
        <f t="shared" si="84"/>
        <v>#N/A</v>
      </c>
      <c r="T167" s="526" t="e">
        <f t="shared" si="85"/>
        <v>#N/A</v>
      </c>
      <c r="U167" s="598">
        <v>286.98</v>
      </c>
      <c r="V167" s="598">
        <v>0</v>
      </c>
      <c r="X167" s="599">
        <v>4450.3813099999998</v>
      </c>
    </row>
    <row r="168" spans="1:24" ht="11.1" customHeight="1" x14ac:dyDescent="0.45">
      <c r="A168" s="657" t="str">
        <f>IF($A$147=$D$145,"Die Kennziffer Umsatz/Kapital kann in der Historie eines Unternehmens unterschiedlich hoch ausfallen.","")</f>
        <v>Die Kennziffer Umsatz/Kapital kann in der Historie eines Unternehmens unterschiedlich hoch ausfallen.</v>
      </c>
      <c r="B168" s="585"/>
      <c r="C168" s="585"/>
      <c r="D168" s="585"/>
      <c r="E168" s="585"/>
      <c r="F168" s="585"/>
      <c r="G168" s="585"/>
      <c r="H168" s="585"/>
      <c r="I168" s="139"/>
      <c r="J168" s="567" t="str">
        <f>IF($J$147=$D$145,"Median 5 Jahre","")</f>
        <v/>
      </c>
      <c r="K168" s="585"/>
      <c r="L168" s="585"/>
      <c r="M168" s="585"/>
      <c r="N168" s="569" t="s">
        <v>592</v>
      </c>
      <c r="O168" s="669"/>
      <c r="Q168" s="439">
        <f t="shared" si="82"/>
        <v>1020</v>
      </c>
      <c r="R168" s="596">
        <f t="shared" si="83"/>
        <v>45110</v>
      </c>
      <c r="S168" s="597">
        <f t="shared" si="84"/>
        <v>286.02</v>
      </c>
      <c r="T168" s="526">
        <f t="shared" si="85"/>
        <v>2462.2188999999998</v>
      </c>
      <c r="U168" s="598">
        <v>286.02</v>
      </c>
      <c r="V168" s="598">
        <v>2462.2188999999998</v>
      </c>
      <c r="X168" s="599">
        <v>4455.5938800000004</v>
      </c>
    </row>
    <row r="169" spans="1:24" ht="11.1" customHeight="1" x14ac:dyDescent="0.45">
      <c r="A169" s="657" t="str">
        <f>IF($A$147=$D$145,"Vor diesem Hintergrund erscheint der Median über einen Zeitraum von 10 Jahren zunächst geeignet.","")</f>
        <v>Vor diesem Hintergrund erscheint der Median über einen Zeitraum von 10 Jahren zunächst geeignet.</v>
      </c>
      <c r="B169" s="585"/>
      <c r="C169" s="585"/>
      <c r="D169" s="585"/>
      <c r="E169" s="585"/>
      <c r="F169" s="585"/>
      <c r="G169" s="585"/>
      <c r="H169" s="585"/>
      <c r="I169" s="139"/>
      <c r="J169" s="567" t="str">
        <f>IF($J$147=$D$145,"Median 10 Jahre","")</f>
        <v/>
      </c>
      <c r="K169" s="585"/>
      <c r="L169" s="585"/>
      <c r="M169" s="585"/>
      <c r="N169" s="569" t="s">
        <v>592</v>
      </c>
      <c r="O169" s="669"/>
      <c r="Q169" s="439">
        <f t="shared" si="82"/>
        <v>1019</v>
      </c>
      <c r="R169" s="596">
        <f t="shared" si="83"/>
        <v>45111</v>
      </c>
      <c r="S169" s="597" t="e">
        <f t="shared" si="84"/>
        <v>#N/A</v>
      </c>
      <c r="T169" s="526" t="e">
        <f t="shared" si="85"/>
        <v>#N/A</v>
      </c>
      <c r="U169" s="598">
        <v>286.02</v>
      </c>
      <c r="V169" s="598">
        <v>0</v>
      </c>
      <c r="X169" s="599">
        <v>4455.5938800000004</v>
      </c>
    </row>
    <row r="170" spans="1:24" ht="11.1" customHeight="1" x14ac:dyDescent="0.45">
      <c r="A170" s="657" t="str">
        <f>IF($A$147=$D$145,"Es ist bedeutsam, dass der Median 10 Jahre Historie vertrauensvoll (statistisch relevant) ausfällt.","")</f>
        <v>Es ist bedeutsam, dass der Median 10 Jahre Historie vertrauensvoll (statistisch relevant) ausfällt.</v>
      </c>
      <c r="B170" s="585"/>
      <c r="C170" s="585"/>
      <c r="D170" s="585"/>
      <c r="E170" s="585"/>
      <c r="F170" s="585"/>
      <c r="G170" s="585"/>
      <c r="H170" s="585"/>
      <c r="I170" s="139"/>
      <c r="J170" s="567" t="str">
        <f>IF($J$147=$D$145,"Mittelwert 10 Jahre","")</f>
        <v/>
      </c>
      <c r="K170" s="585"/>
      <c r="L170" s="585"/>
      <c r="M170" s="585"/>
      <c r="N170" s="569" t="s">
        <v>592</v>
      </c>
      <c r="O170" s="669"/>
      <c r="Q170" s="439">
        <f t="shared" si="82"/>
        <v>1018</v>
      </c>
      <c r="R170" s="596">
        <f t="shared" si="83"/>
        <v>45112</v>
      </c>
      <c r="S170" s="597">
        <f t="shared" si="84"/>
        <v>294.37</v>
      </c>
      <c r="T170" s="526">
        <f t="shared" si="85"/>
        <v>9968.9745800000001</v>
      </c>
      <c r="U170" s="598">
        <v>294.37</v>
      </c>
      <c r="V170" s="598">
        <v>9968.9745800000001</v>
      </c>
      <c r="X170" s="599">
        <v>4446.8247700000002</v>
      </c>
    </row>
    <row r="171" spans="1:24" ht="11.1" customHeight="1" x14ac:dyDescent="0.45">
      <c r="A171" s="657" t="str">
        <f>IF($A$147=$D$145,"Geprüft wird dies mit Hilfe der statistischen Standardabweichung und einer sogenannten Konfidenzzahl.","")</f>
        <v>Geprüft wird dies mit Hilfe der statistischen Standardabweichung und einer sogenannten Konfidenzzahl.</v>
      </c>
      <c r="B171" s="585"/>
      <c r="C171" s="585"/>
      <c r="D171" s="585"/>
      <c r="E171" s="585"/>
      <c r="F171" s="585"/>
      <c r="G171" s="585"/>
      <c r="H171" s="585"/>
      <c r="I171" s="139"/>
      <c r="J171" s="567" t="str">
        <f>IF($J$147=$D$145,"Industrie:","")</f>
        <v/>
      </c>
      <c r="K171" s="667" t="str">
        <f>IF($J$147=$D$145,E7,"")</f>
        <v/>
      </c>
      <c r="L171" s="585"/>
      <c r="M171" s="585"/>
      <c r="N171" s="569" t="s">
        <v>592</v>
      </c>
      <c r="O171" s="669"/>
      <c r="Q171" s="439">
        <f t="shared" si="82"/>
        <v>1017</v>
      </c>
      <c r="R171" s="596">
        <f t="shared" si="83"/>
        <v>45113</v>
      </c>
      <c r="S171" s="597">
        <f t="shared" si="84"/>
        <v>291.99</v>
      </c>
      <c r="T171" s="526">
        <f t="shared" si="85"/>
        <v>13937.800730000001</v>
      </c>
      <c r="U171" s="598">
        <v>291.99</v>
      </c>
      <c r="V171" s="598">
        <v>13937.800730000001</v>
      </c>
      <c r="X171" s="599">
        <v>4411.5907299999999</v>
      </c>
    </row>
    <row r="172" spans="1:24" ht="11.1" customHeight="1" x14ac:dyDescent="0.45">
      <c r="A172" s="657" t="str">
        <f>IF($A$147=$D$145,"Liegt die Konfidenz nahe des Mittelwertes, liegt ein hohes Maß an Vertrauen vor.","")</f>
        <v>Liegt die Konfidenz nahe des Mittelwertes, liegt ein hohes Maß an Vertrauen vor.</v>
      </c>
      <c r="B172" s="585"/>
      <c r="C172" s="585"/>
      <c r="D172" s="585"/>
      <c r="E172" s="585"/>
      <c r="F172" s="585"/>
      <c r="G172" s="585"/>
      <c r="H172" s="585"/>
      <c r="I172" s="139"/>
      <c r="J172" s="567" t="str">
        <f>IF($J$147=$D$145,"Zur Herleitung Nettoinvestitionen auserwählt","")</f>
        <v/>
      </c>
      <c r="K172" s="585"/>
      <c r="L172" s="585"/>
      <c r="M172" s="585"/>
      <c r="N172" s="569" t="s">
        <v>592</v>
      </c>
      <c r="O172" s="669"/>
      <c r="Q172" s="439">
        <f t="shared" si="82"/>
        <v>1016</v>
      </c>
      <c r="R172" s="596">
        <f t="shared" si="83"/>
        <v>45114</v>
      </c>
      <c r="S172" s="597">
        <f t="shared" si="84"/>
        <v>290.52999999999997</v>
      </c>
      <c r="T172" s="526">
        <f t="shared" si="85"/>
        <v>7433.4933199999996</v>
      </c>
      <c r="U172" s="598">
        <v>290.52999999999997</v>
      </c>
      <c r="V172" s="598">
        <v>7433.4933199999996</v>
      </c>
      <c r="X172" s="599">
        <v>4398.9526599999999</v>
      </c>
    </row>
    <row r="173" spans="1:24" ht="11.1" customHeight="1" x14ac:dyDescent="0.45">
      <c r="A173" s="657" t="str">
        <f>IF($A$147=$D$145,"Je höher das Verhältnis Konfidenz/Mittelwert, je mehr ist die Benchmark der Industrie einzukalkulieren.","")</f>
        <v>Je höher das Verhältnis Konfidenz/Mittelwert, je mehr ist die Benchmark der Industrie einzukalkulieren.</v>
      </c>
      <c r="B173" s="585"/>
      <c r="C173" s="585"/>
      <c r="D173" s="585"/>
      <c r="E173" s="585"/>
      <c r="F173" s="585"/>
      <c r="G173" s="585"/>
      <c r="H173" s="585"/>
      <c r="I173" s="139"/>
      <c r="J173" s="585"/>
      <c r="K173" s="585"/>
      <c r="L173" s="585"/>
      <c r="M173" s="585"/>
      <c r="N173" s="585"/>
      <c r="O173" s="669"/>
      <c r="Q173" s="439">
        <f t="shared" si="82"/>
        <v>1015</v>
      </c>
      <c r="R173" s="596">
        <f t="shared" si="83"/>
        <v>45115</v>
      </c>
      <c r="S173" s="597" t="e">
        <f t="shared" si="84"/>
        <v>#N/A</v>
      </c>
      <c r="T173" s="526" t="e">
        <f t="shared" si="85"/>
        <v>#N/A</v>
      </c>
      <c r="U173" s="598">
        <v>290.52999999999997</v>
      </c>
      <c r="V173" s="598">
        <v>0</v>
      </c>
      <c r="X173" s="599">
        <v>4398.9526599999999</v>
      </c>
    </row>
    <row r="174" spans="1:24" ht="11.1" customHeight="1" x14ac:dyDescent="0.45">
      <c r="A174" s="657" t="str">
        <f>IF($A$147=$D$145,"Wenn es keinen Median über 10 historische Jahre gibt oder dieser negativ ausfällt, oderr","")</f>
        <v>Wenn es keinen Median über 10 historische Jahre gibt oder dieser negativ ausfällt, oderr</v>
      </c>
      <c r="B174" s="585"/>
      <c r="C174" s="585"/>
      <c r="D174" s="585"/>
      <c r="E174" s="585"/>
      <c r="F174" s="585"/>
      <c r="G174" s="585"/>
      <c r="H174" s="585"/>
      <c r="I174" s="139"/>
      <c r="J174" s="670" t="str">
        <f>IF($J$147=$D$145,"Im vorliegenden Fall wurde wiefolgt geprüft","")</f>
        <v/>
      </c>
      <c r="K174" s="671"/>
      <c r="L174" s="671"/>
      <c r="M174" s="671"/>
      <c r="N174" s="672"/>
      <c r="Q174" s="439">
        <f t="shared" si="82"/>
        <v>1014</v>
      </c>
      <c r="R174" s="596">
        <f t="shared" si="83"/>
        <v>45116</v>
      </c>
      <c r="S174" s="597" t="e">
        <f t="shared" si="84"/>
        <v>#N/A</v>
      </c>
      <c r="T174" s="526" t="e">
        <f t="shared" si="85"/>
        <v>#N/A</v>
      </c>
      <c r="U174" s="598">
        <v>290.52999999999997</v>
      </c>
      <c r="V174" s="598">
        <v>0</v>
      </c>
      <c r="X174" s="599">
        <v>4398.9526599999999</v>
      </c>
    </row>
    <row r="175" spans="1:24" ht="11.1" customHeight="1" x14ac:dyDescent="0.45">
      <c r="A175" s="657" t="str">
        <f>IF($A$147=$D$145,"der Median über 5 historische Jahre negativ ausfällt, oder ein Maximalwert iHv.","")</f>
        <v>der Median über 5 historische Jahre negativ ausfällt, oder ein Maximalwert iHv.</v>
      </c>
      <c r="B175" s="585"/>
      <c r="C175" s="585"/>
      <c r="D175" s="585"/>
      <c r="E175" s="585"/>
      <c r="F175" s="585"/>
      <c r="G175" s="664">
        <v>5</v>
      </c>
      <c r="H175" s="585"/>
      <c r="I175" s="139"/>
      <c r="J175" s="673" t="str">
        <f>IF($J$147=$D$145,"Prüfung von zwei Voraussetzungen:","")</f>
        <v/>
      </c>
      <c r="K175" s="671"/>
      <c r="L175" s="671"/>
      <c r="M175" s="671"/>
      <c r="N175" s="671"/>
      <c r="Q175" s="439">
        <f t="shared" si="82"/>
        <v>1013</v>
      </c>
      <c r="R175" s="596">
        <f t="shared" si="83"/>
        <v>45117</v>
      </c>
      <c r="S175" s="597">
        <f t="shared" si="84"/>
        <v>294.10000000000002</v>
      </c>
      <c r="T175" s="526">
        <f t="shared" si="85"/>
        <v>10898.8478</v>
      </c>
      <c r="U175" s="598">
        <v>294.10000000000002</v>
      </c>
      <c r="V175" s="598">
        <v>10898.8478</v>
      </c>
      <c r="X175" s="599">
        <v>4409.5258000000003</v>
      </c>
    </row>
    <row r="176" spans="1:24" ht="11.1" customHeight="1" x14ac:dyDescent="0.45">
      <c r="A176" s="657" t="str">
        <f>IF($A$147=$D$145,"überschreitet, verbleibt die Industrie-Benchmark zur Orientierung","")</f>
        <v>überschreitet, verbleibt die Industrie-Benchmark zur Orientierung</v>
      </c>
      <c r="B176" s="585"/>
      <c r="C176" s="585"/>
      <c r="D176" s="585"/>
      <c r="E176" s="585"/>
      <c r="F176" s="585"/>
      <c r="G176" s="585"/>
      <c r="H176" s="585"/>
      <c r="I176" s="139"/>
      <c r="J176" s="674" t="str">
        <f>IF($J$147=$D$145,"a) Median 5 Jahre liegt sinnvoll vor","")</f>
        <v/>
      </c>
      <c r="K176" s="585"/>
      <c r="L176" s="585"/>
      <c r="M176" s="663"/>
      <c r="N176" s="674" t="s">
        <v>592</v>
      </c>
      <c r="Q176" s="439">
        <f t="shared" si="82"/>
        <v>1012</v>
      </c>
      <c r="R176" s="596">
        <f t="shared" si="83"/>
        <v>45118</v>
      </c>
      <c r="S176" s="597">
        <f t="shared" si="84"/>
        <v>298.29000000000002</v>
      </c>
      <c r="T176" s="526">
        <f t="shared" si="85"/>
        <v>8228.6034799999998</v>
      </c>
      <c r="U176" s="598">
        <v>298.29000000000002</v>
      </c>
      <c r="V176" s="598">
        <v>8228.6034799999998</v>
      </c>
      <c r="X176" s="599">
        <v>4439.2563300000002</v>
      </c>
    </row>
    <row r="177" spans="1:24" ht="11.1" customHeight="1" x14ac:dyDescent="0.45">
      <c r="A177" s="585"/>
      <c r="B177" s="585"/>
      <c r="C177" s="585"/>
      <c r="D177" s="585"/>
      <c r="E177" s="585"/>
      <c r="F177" s="585"/>
      <c r="G177" s="585"/>
      <c r="H177" s="585"/>
      <c r="I177" s="139"/>
      <c r="J177" s="674" t="str">
        <f>IF($J$147=$D$145,"b) Median 10 Jahre liegt sinnvoll vor","")</f>
        <v/>
      </c>
      <c r="K177" s="585"/>
      <c r="L177" s="585"/>
      <c r="M177" s="663"/>
      <c r="N177" s="674" t="str">
        <f>IF($J$147=$D$145,IF(N169&lt;0,"unerfülled","erfüllt"),"")</f>
        <v/>
      </c>
      <c r="Q177" s="439">
        <f t="shared" si="82"/>
        <v>1011</v>
      </c>
      <c r="R177" s="596">
        <f t="shared" si="83"/>
        <v>45119</v>
      </c>
      <c r="S177" s="597">
        <f t="shared" si="84"/>
        <v>309.33999999999997</v>
      </c>
      <c r="T177" s="526">
        <f t="shared" si="85"/>
        <v>11345.70247</v>
      </c>
      <c r="U177" s="598">
        <v>309.33999999999997</v>
      </c>
      <c r="V177" s="598">
        <v>11345.70247</v>
      </c>
      <c r="X177" s="599">
        <v>4472.1603299999997</v>
      </c>
    </row>
    <row r="178" spans="1:24" ht="11.1" customHeight="1" x14ac:dyDescent="0.45">
      <c r="A178" s="670" t="str">
        <f>IF($A$147=$D$145,"Im vorliegenden Fall wurde wiefolgt geprüft","")</f>
        <v>Im vorliegenden Fall wurde wiefolgt geprüft</v>
      </c>
      <c r="B178" s="671"/>
      <c r="C178" s="671"/>
      <c r="D178" s="671"/>
      <c r="E178" s="671"/>
      <c r="F178" s="671"/>
      <c r="G178" s="671"/>
      <c r="H178" s="671"/>
      <c r="I178" s="139"/>
      <c r="J178" s="673" t="str">
        <f>IF($J$147=$D$145,"Voraussetzungen a) und b) sind erfüllt::","")</f>
        <v/>
      </c>
      <c r="K178" s="585"/>
      <c r="L178" s="585"/>
      <c r="M178" s="585"/>
      <c r="N178" s="585"/>
      <c r="Q178" s="439">
        <f t="shared" si="82"/>
        <v>1010</v>
      </c>
      <c r="R178" s="596">
        <f t="shared" si="83"/>
        <v>45120</v>
      </c>
      <c r="S178" s="597">
        <f t="shared" si="84"/>
        <v>313.41000000000003</v>
      </c>
      <c r="T178" s="526">
        <f t="shared" si="85"/>
        <v>9490.3594400000002</v>
      </c>
      <c r="U178" s="598">
        <v>313.41000000000003</v>
      </c>
      <c r="V178" s="598">
        <v>9490.3594400000002</v>
      </c>
      <c r="X178" s="599">
        <v>4510.0418</v>
      </c>
    </row>
    <row r="179" spans="1:24" ht="11.1" customHeight="1" x14ac:dyDescent="0.45">
      <c r="A179" s="673" t="str">
        <f>IF($A$147=$D$145,"Prüfung von zwei Voraussetzungen:","")</f>
        <v>Prüfung von zwei Voraussetzungen:</v>
      </c>
      <c r="B179" s="671"/>
      <c r="C179" s="671"/>
      <c r="D179" s="671"/>
      <c r="E179" s="671"/>
      <c r="F179" s="671"/>
      <c r="G179" s="671"/>
      <c r="H179" s="671"/>
      <c r="I179" s="139"/>
      <c r="J179" s="674" t="str">
        <f>IF($J$147=$D$145,"Median 10 Jahre ist vertrauensvoll","")</f>
        <v/>
      </c>
      <c r="K179" s="585"/>
      <c r="L179" s="585"/>
      <c r="M179" s="585"/>
      <c r="N179" s="569" t="s">
        <v>592</v>
      </c>
      <c r="Q179" s="439">
        <f t="shared" si="82"/>
        <v>1009</v>
      </c>
      <c r="R179" s="596">
        <f t="shared" si="83"/>
        <v>45121</v>
      </c>
      <c r="S179" s="597">
        <f t="shared" si="84"/>
        <v>308.87</v>
      </c>
      <c r="T179" s="526">
        <f t="shared" si="85"/>
        <v>7120.7223400000003</v>
      </c>
      <c r="U179" s="598">
        <v>308.87</v>
      </c>
      <c r="V179" s="598">
        <v>7120.7223400000003</v>
      </c>
      <c r="X179" s="599">
        <v>4505.4203399999997</v>
      </c>
    </row>
    <row r="180" spans="1:24" ht="11.1" customHeight="1" x14ac:dyDescent="0.45">
      <c r="A180" s="674" t="str">
        <f>IF($A$147=$D$145,"a) Median 5 Jahre ist positiv und liegt unter einem Maximalwert in Höhe von","")</f>
        <v>a) Median 5 Jahre ist positiv und liegt unter einem Maximalwert in Höhe von</v>
      </c>
      <c r="B180" s="671"/>
      <c r="C180" s="671"/>
      <c r="D180" s="671"/>
      <c r="E180" s="671"/>
      <c r="F180" s="671"/>
      <c r="G180" s="675">
        <v>5</v>
      </c>
      <c r="H180" s="674" t="str">
        <f>IF($A$147=$D$145,IF(AND($G$161&gt;0,G161&lt;G180),"erfüllt","unerfüllt"),"")</f>
        <v>erfüllt</v>
      </c>
      <c r="I180" s="139"/>
      <c r="J180" s="674" t="str">
        <f>IF($J$147=$D$145,"a) Gewichtung von Median 10J und Industrie","")</f>
        <v/>
      </c>
      <c r="K180" s="585"/>
      <c r="L180" s="585"/>
      <c r="M180" s="585"/>
      <c r="N180" s="569" t="s">
        <v>592</v>
      </c>
      <c r="Q180" s="439">
        <f t="shared" si="82"/>
        <v>1008</v>
      </c>
      <c r="R180" s="596">
        <f t="shared" si="83"/>
        <v>45122</v>
      </c>
      <c r="S180" s="597" t="e">
        <f t="shared" si="84"/>
        <v>#N/A</v>
      </c>
      <c r="T180" s="526" t="e">
        <f t="shared" si="85"/>
        <v>#N/A</v>
      </c>
      <c r="U180" s="598">
        <v>308.87</v>
      </c>
      <c r="V180" s="598">
        <v>0</v>
      </c>
      <c r="X180" s="599">
        <v>4505.4203399999997</v>
      </c>
    </row>
    <row r="181" spans="1:24" ht="11.1" customHeight="1" x14ac:dyDescent="0.45">
      <c r="A181" s="674" t="str">
        <f>IF($A$147=$D$145,"b) Median 10 Historie liegt vor, ist positiv und liegt ebenfalls unter dem Maximalwert ","")</f>
        <v xml:space="preserve">b) Median 10 Historie liegt vor, ist positiv und liegt ebenfalls unter dem Maximalwert </v>
      </c>
      <c r="B181" s="671"/>
      <c r="C181" s="671"/>
      <c r="D181" s="671"/>
      <c r="E181" s="671"/>
      <c r="F181" s="675"/>
      <c r="G181" s="675">
        <v>5</v>
      </c>
      <c r="H181" s="674" t="str">
        <f>IF($A$147=$D$145,IF($G$162&gt;0,"erfüllt","unerfüllt"),"")</f>
        <v>erfüllt</v>
      </c>
      <c r="I181" s="139"/>
      <c r="J181" s="674" t="str">
        <f>IF($J$147=$D$145,"b) Industrie-Benchmark * 2 (Kappungsgrenze)","")</f>
        <v/>
      </c>
      <c r="K181" s="585"/>
      <c r="L181" s="585"/>
      <c r="M181" s="585"/>
      <c r="N181" s="569" t="str">
        <f>IF($J$147=$D$145,N171*2,"")</f>
        <v/>
      </c>
      <c r="Q181" s="439">
        <f t="shared" si="82"/>
        <v>1007</v>
      </c>
      <c r="R181" s="596">
        <f t="shared" si="83"/>
        <v>45123</v>
      </c>
      <c r="S181" s="597" t="e">
        <f t="shared" si="84"/>
        <v>#N/A</v>
      </c>
      <c r="T181" s="526" t="e">
        <f t="shared" si="85"/>
        <v>#N/A</v>
      </c>
      <c r="U181" s="598">
        <v>308.87</v>
      </c>
      <c r="V181" s="598">
        <v>0</v>
      </c>
      <c r="X181" s="599">
        <v>4505.4203399999997</v>
      </c>
    </row>
    <row r="182" spans="1:24" ht="11.1" customHeight="1" x14ac:dyDescent="0.45">
      <c r="A182" s="673" t="str">
        <f>IF($A$147=$D$145,"Voraussetzungen a) und b) sind erfüllt:","")</f>
        <v>Voraussetzungen a) und b) sind erfüllt:</v>
      </c>
      <c r="B182" s="671"/>
      <c r="C182" s="671"/>
      <c r="D182" s="671"/>
      <c r="E182" s="671"/>
      <c r="F182" s="675"/>
      <c r="G182" s="671"/>
      <c r="H182" s="671"/>
      <c r="I182" s="139"/>
      <c r="J182" s="674" t="str">
        <f>IF($J$147=$D$145,"Minimalwert aus a) und b)","")</f>
        <v/>
      </c>
      <c r="K182" s="585"/>
      <c r="L182" s="585"/>
      <c r="M182" s="585"/>
      <c r="N182" s="569">
        <f>MIN(N180:N181)</f>
        <v>0</v>
      </c>
      <c r="Q182" s="439">
        <f t="shared" si="82"/>
        <v>1006</v>
      </c>
      <c r="R182" s="596">
        <f t="shared" si="83"/>
        <v>45124</v>
      </c>
      <c r="S182" s="597">
        <f t="shared" si="84"/>
        <v>310.62</v>
      </c>
      <c r="T182" s="526">
        <f t="shared" si="85"/>
        <v>7865.8693999999996</v>
      </c>
      <c r="U182" s="598">
        <v>310.62</v>
      </c>
      <c r="V182" s="598">
        <v>7865.8693999999996</v>
      </c>
      <c r="X182" s="599">
        <v>4522.7930999999999</v>
      </c>
    </row>
    <row r="183" spans="1:24" ht="11.1" customHeight="1" x14ac:dyDescent="0.45">
      <c r="A183" s="674" t="str">
        <f>IF($A$147=$D$145,"und Median 10 Jahre Historie ist vertrauensvoll (Konfidenz / Mittelwert kleiner","")</f>
        <v>und Median 10 Jahre Historie ist vertrauensvoll (Konfidenz / Mittelwert kleiner</v>
      </c>
      <c r="B183" s="671"/>
      <c r="C183" s="671"/>
      <c r="D183" s="671"/>
      <c r="E183" s="671"/>
      <c r="F183" s="675"/>
      <c r="G183" s="676" t="str">
        <f>IF($A$147=$D$145,"0,2 ) hier:","")</f>
        <v>0,2 ) hier:</v>
      </c>
      <c r="H183" s="677">
        <v>0.20749330762216253</v>
      </c>
      <c r="I183" s="139"/>
      <c r="J183" s="674" t="str">
        <f>IF($J$147=$D$145,IF(N179="erfüllt","Bewertungsansatz:","Median 10 Jahre ist nicht vertrauensvoll"),"")</f>
        <v/>
      </c>
      <c r="K183" s="585"/>
      <c r="L183" s="585"/>
      <c r="M183" s="585"/>
      <c r="N183" s="569"/>
      <c r="O183" s="669">
        <v>0</v>
      </c>
      <c r="Q183" s="439">
        <f t="shared" si="82"/>
        <v>1005</v>
      </c>
      <c r="R183" s="596">
        <f t="shared" si="83"/>
        <v>45125</v>
      </c>
      <c r="S183" s="597">
        <f t="shared" si="84"/>
        <v>312.05</v>
      </c>
      <c r="T183" s="526">
        <f t="shared" si="85"/>
        <v>6479.5871900000002</v>
      </c>
      <c r="U183" s="598">
        <v>312.05</v>
      </c>
      <c r="V183" s="598">
        <v>6479.5871900000002</v>
      </c>
      <c r="X183" s="599">
        <v>4554.9769500000002</v>
      </c>
    </row>
    <row r="184" spans="1:24" ht="11.1" customHeight="1" x14ac:dyDescent="0.45">
      <c r="A184" s="674" t="str">
        <f>IF($A$147=$D$145,"werden Median 10 Jahre und Industrie-Benchmark gewichtet (Konfidenz/Mittelwert)","")</f>
        <v>werden Median 10 Jahre und Industrie-Benchmark gewichtet (Konfidenz/Mittelwert)</v>
      </c>
      <c r="B184" s="671"/>
      <c r="C184" s="671"/>
      <c r="D184" s="671"/>
      <c r="E184" s="671"/>
      <c r="F184" s="671"/>
      <c r="G184" s="671"/>
      <c r="H184" s="678">
        <v>1.709818953615625</v>
      </c>
      <c r="I184" s="139"/>
      <c r="J184" s="674" t="str">
        <f>IF($J$147=$D$145,IF(N179="erfüllt","Langfristig erscheint dies unplausibel","Gewichtung von Median 10J und Industrie"),"")</f>
        <v/>
      </c>
      <c r="K184" s="585"/>
      <c r="L184" s="585"/>
      <c r="M184" s="585"/>
      <c r="N184" s="569" t="s">
        <v>592</v>
      </c>
      <c r="O184" s="669">
        <f>O172*2</f>
        <v>0</v>
      </c>
      <c r="Q184" s="439">
        <f t="shared" si="82"/>
        <v>1004</v>
      </c>
      <c r="R184" s="596">
        <f t="shared" si="83"/>
        <v>45126</v>
      </c>
      <c r="S184" s="597">
        <f t="shared" si="84"/>
        <v>316.01</v>
      </c>
      <c r="T184" s="526">
        <f t="shared" si="85"/>
        <v>6877.5430500000002</v>
      </c>
      <c r="U184" s="598">
        <v>316.01</v>
      </c>
      <c r="V184" s="598">
        <v>6877.5430500000002</v>
      </c>
      <c r="X184" s="599">
        <v>4565.7167099999997</v>
      </c>
    </row>
    <row r="185" spans="1:24" ht="11.1" customHeight="1" x14ac:dyDescent="0.45">
      <c r="A185" s="674" t="str">
        <f>IF($A$147=$D$145,"Ist der Median 10 Jahre nicht vertrauensvoll, ist der kleinere Wert aus","")</f>
        <v>Ist der Median 10 Jahre nicht vertrauensvoll, ist der kleinere Wert aus</v>
      </c>
      <c r="B185" s="671"/>
      <c r="C185" s="671"/>
      <c r="D185" s="671"/>
      <c r="E185" s="671"/>
      <c r="F185" s="671"/>
      <c r="G185" s="671"/>
      <c r="H185" s="671"/>
      <c r="I185" s="139"/>
      <c r="J185" s="673" t="str">
        <f>IF($J$147=$D$145,IF(OR(N176="unerfüllt",N177="unerfüllt"),"Requirements a) and b) unerfüllt:","exorbitanten Überrenditen im Vergleich zur Industrie"),"")</f>
        <v/>
      </c>
      <c r="K185" s="585"/>
      <c r="L185" s="585"/>
      <c r="M185" s="585"/>
      <c r="N185" s="585"/>
      <c r="O185" s="669">
        <f>MIN(O183:O184)</f>
        <v>0</v>
      </c>
      <c r="Q185" s="439">
        <f t="shared" si="82"/>
        <v>1003</v>
      </c>
      <c r="R185" s="596">
        <f t="shared" si="83"/>
        <v>45127</v>
      </c>
      <c r="S185" s="597">
        <f t="shared" si="84"/>
        <v>302.52</v>
      </c>
      <c r="T185" s="526">
        <f t="shared" si="85"/>
        <v>7211.1317300000001</v>
      </c>
      <c r="U185" s="598">
        <v>302.52</v>
      </c>
      <c r="V185" s="598">
        <v>7211.1317300000001</v>
      </c>
      <c r="X185" s="599">
        <v>4534.8675499999999</v>
      </c>
    </row>
    <row r="186" spans="1:24" ht="11.1" customHeight="1" x14ac:dyDescent="0.45">
      <c r="A186" s="674" t="str">
        <f>IF($A$147=$D$145,"a) Median 5 Jahre","")</f>
        <v>a) Median 5 Jahre</v>
      </c>
      <c r="B186" s="671"/>
      <c r="C186" s="677">
        <f>G161</f>
        <v>1.1561576441234866</v>
      </c>
      <c r="D186" s="671" t="str">
        <f>IF($A$147=$D$145,"und","")</f>
        <v>und</v>
      </c>
      <c r="E186" s="671"/>
      <c r="F186" s="671"/>
      <c r="G186" s="677"/>
      <c r="H186" s="671"/>
      <c r="I186" s="139"/>
      <c r="J186" s="674" t="str">
        <f>IF($J$147=$D$145,IF(OR(N176="erfüllt",N177="erfüllt",N168&lt;0),"Wir nutzen eine Kappungsgrenze","Minimalwert aus 5 Jahren Median und 10 Jahren Median"),"")</f>
        <v/>
      </c>
      <c r="K186" s="585"/>
      <c r="L186" s="585"/>
      <c r="M186" s="585"/>
      <c r="N186" s="569">
        <f>IF(OR(N176="erfüllt",N177="erfüllt",N168&lt;0),0,MIN(N168:N169))</f>
        <v>0</v>
      </c>
      <c r="Q186" s="439">
        <f t="shared" si="82"/>
        <v>1002</v>
      </c>
      <c r="R186" s="596">
        <f t="shared" si="83"/>
        <v>45128</v>
      </c>
      <c r="S186" s="597">
        <f t="shared" si="84"/>
        <v>294.26</v>
      </c>
      <c r="T186" s="526">
        <f t="shared" si="85"/>
        <v>12399.898349999999</v>
      </c>
      <c r="U186" s="598">
        <v>294.26</v>
      </c>
      <c r="V186" s="598">
        <v>12399.898349999999</v>
      </c>
      <c r="X186" s="599">
        <v>4536.3385399999997</v>
      </c>
    </row>
    <row r="187" spans="1:24" ht="11.1" customHeight="1" x14ac:dyDescent="0.45">
      <c r="A187" s="674" t="str">
        <f>IF($A$147=$D$145,"b) Industrie-Benchmark","")</f>
        <v>b) Industrie-Benchmark</v>
      </c>
      <c r="B187" s="671"/>
      <c r="C187" s="677">
        <f>G164</f>
        <v>2.6703324971858202</v>
      </c>
      <c r="D187" s="671" t="str">
        <f>IF($A$147=$D$145,"zu übernehmen","")</f>
        <v>zu übernehmen</v>
      </c>
      <c r="E187" s="671"/>
      <c r="F187" s="671"/>
      <c r="G187" s="678">
        <f>MIN(C186:C187)</f>
        <v>1.1561576441234866</v>
      </c>
      <c r="H187" s="671"/>
      <c r="I187" s="139"/>
      <c r="J187" s="674">
        <f>IF($N$168&lt;0,"Der Median 5 Jahre ist negativ, daher Industriebenchmark:",0)</f>
        <v>0</v>
      </c>
      <c r="K187" s="585"/>
      <c r="L187" s="585"/>
      <c r="M187" s="585"/>
      <c r="N187" s="569">
        <f>IF($N$168&lt;0,$N$171,0)</f>
        <v>0</v>
      </c>
      <c r="O187" s="572"/>
      <c r="Q187" s="439">
        <f t="shared" si="82"/>
        <v>1001</v>
      </c>
      <c r="R187" s="596">
        <f t="shared" si="83"/>
        <v>45129</v>
      </c>
      <c r="S187" s="597" t="e">
        <f t="shared" si="84"/>
        <v>#N/A</v>
      </c>
      <c r="T187" s="526" t="e">
        <f t="shared" si="85"/>
        <v>#N/A</v>
      </c>
      <c r="U187" s="598">
        <v>294.26</v>
      </c>
      <c r="V187" s="598">
        <v>0</v>
      </c>
      <c r="X187" s="599">
        <v>4536.3385399999997</v>
      </c>
    </row>
    <row r="188" spans="1:24" ht="11.1" customHeight="1" x14ac:dyDescent="0.45">
      <c r="A188" s="585"/>
      <c r="B188" s="585"/>
      <c r="C188" s="585"/>
      <c r="D188" s="585"/>
      <c r="E188" s="585"/>
      <c r="F188" s="585"/>
      <c r="G188" s="585"/>
      <c r="H188" s="585"/>
      <c r="I188" s="139"/>
      <c r="J188" s="585"/>
      <c r="K188" s="585"/>
      <c r="L188" s="585"/>
      <c r="M188" s="585"/>
      <c r="N188" s="585"/>
      <c r="Q188" s="439">
        <f t="shared" si="82"/>
        <v>1000</v>
      </c>
      <c r="R188" s="596">
        <f t="shared" si="83"/>
        <v>45130</v>
      </c>
      <c r="S188" s="597" t="e">
        <f t="shared" si="84"/>
        <v>#N/A</v>
      </c>
      <c r="T188" s="526" t="e">
        <f t="shared" si="85"/>
        <v>#N/A</v>
      </c>
      <c r="U188" s="598">
        <v>294.26</v>
      </c>
      <c r="V188" s="598">
        <v>0</v>
      </c>
      <c r="X188" s="599">
        <v>4536.3385399999997</v>
      </c>
    </row>
    <row r="189" spans="1:24" ht="11.1" customHeight="1" x14ac:dyDescent="0.45">
      <c r="A189" s="670" t="str">
        <f>IF($A$147=$D$145,"Im vorliegenden Fall wurde berechnet","")</f>
        <v>Im vorliegenden Fall wurde berechnet</v>
      </c>
      <c r="B189" s="671"/>
      <c r="C189" s="671"/>
      <c r="D189" s="671"/>
      <c r="E189" s="671"/>
      <c r="F189" s="671"/>
      <c r="G189" s="679"/>
      <c r="H189" s="671"/>
      <c r="I189" s="139"/>
      <c r="J189" s="670">
        <f>IF($J$147=$D$145,"Im vorliegenden Fall wurde berechnet",0)</f>
        <v>0</v>
      </c>
      <c r="K189" s="585"/>
      <c r="L189" s="585"/>
      <c r="M189" s="585"/>
      <c r="N189" s="607">
        <f>IF($J$147=$D$145,"Mio.",0)</f>
        <v>0</v>
      </c>
      <c r="Q189" s="439">
        <f t="shared" si="82"/>
        <v>999</v>
      </c>
      <c r="R189" s="596">
        <f t="shared" si="83"/>
        <v>45131</v>
      </c>
      <c r="S189" s="597">
        <f t="shared" si="84"/>
        <v>291.61</v>
      </c>
      <c r="T189" s="526">
        <f t="shared" si="85"/>
        <v>7275.4959900000003</v>
      </c>
      <c r="U189" s="598">
        <v>291.61</v>
      </c>
      <c r="V189" s="598">
        <v>7275.4959900000003</v>
      </c>
      <c r="X189" s="599">
        <v>4554.6424399999996</v>
      </c>
    </row>
    <row r="190" spans="1:24" ht="11.1" customHeight="1" x14ac:dyDescent="0.45">
      <c r="A190" s="567" t="str">
        <f>IF($A$147=$D$145,"Das DCF-Modell prognostiziert eine Veränderung des Umsatzes über 10 Jahre um","")</f>
        <v>Das DCF-Modell prognostiziert eine Veränderung des Umsatzes über 10 Jahre um</v>
      </c>
      <c r="B190" s="585"/>
      <c r="C190" s="585"/>
      <c r="D190" s="585"/>
      <c r="E190" s="585"/>
      <c r="F190" s="585"/>
      <c r="G190" s="679">
        <f>IF($A$147=$D$145,L19/B19-1,0)</f>
        <v>1.7677833164053602</v>
      </c>
      <c r="H190" s="585"/>
      <c r="I190" s="139"/>
      <c r="J190" s="567">
        <f>IF($J$147=$D$145,"EBIT-T (LTM)",0)</f>
        <v>0</v>
      </c>
      <c r="K190" s="585"/>
      <c r="L190" s="585"/>
      <c r="M190" s="680">
        <v>0</v>
      </c>
      <c r="N190" s="681">
        <f>IF($J$147=$D$145,B21+B24,0)</f>
        <v>0</v>
      </c>
      <c r="Q190" s="439">
        <f t="shared" si="82"/>
        <v>998</v>
      </c>
      <c r="R190" s="596">
        <f t="shared" si="83"/>
        <v>45132</v>
      </c>
      <c r="S190" s="597">
        <f t="shared" si="84"/>
        <v>294.47000000000003</v>
      </c>
      <c r="T190" s="526">
        <f t="shared" si="85"/>
        <v>5767.3669200000004</v>
      </c>
      <c r="U190" s="598">
        <v>294.47000000000003</v>
      </c>
      <c r="V190" s="598">
        <v>5767.3669200000004</v>
      </c>
      <c r="X190" s="599">
        <v>4567.4637000000002</v>
      </c>
    </row>
    <row r="191" spans="1:24" ht="11.1" customHeight="1" x14ac:dyDescent="0.45">
      <c r="A191" s="567" t="str">
        <f>IF($A$147=$D$145,"Das für die Planung auserwählte Verhältnis Umsatz/Kapital (LTM+10) beträgt","")</f>
        <v>Das für die Planung auserwählte Verhältnis Umsatz/Kapital (LTM+10) beträgt</v>
      </c>
      <c r="B191" s="585"/>
      <c r="C191" s="585"/>
      <c r="D191" s="585"/>
      <c r="E191" s="585"/>
      <c r="F191" s="585"/>
      <c r="G191" s="664">
        <v>1.7188157329371556</v>
      </c>
      <c r="H191" s="585"/>
      <c r="I191" s="139"/>
      <c r="J191" s="567">
        <f>IF($J$147=$D$145,"EBIT-T (LTM+10)",0)</f>
        <v>0</v>
      </c>
      <c r="K191" s="585"/>
      <c r="L191" s="585"/>
      <c r="M191" s="680">
        <v>0</v>
      </c>
      <c r="N191" s="681">
        <f>IF($J$147=$D$145,L21+L24,0)</f>
        <v>0</v>
      </c>
      <c r="Q191" s="439">
        <f t="shared" si="82"/>
        <v>997</v>
      </c>
      <c r="R191" s="596">
        <f t="shared" si="83"/>
        <v>45133</v>
      </c>
      <c r="S191" s="597">
        <f t="shared" si="84"/>
        <v>298.57</v>
      </c>
      <c r="T191" s="526">
        <f t="shared" si="85"/>
        <v>14109.50159</v>
      </c>
      <c r="U191" s="598">
        <v>298.57</v>
      </c>
      <c r="V191" s="598">
        <v>14109.50159</v>
      </c>
      <c r="X191" s="599">
        <v>4566.7517200000002</v>
      </c>
    </row>
    <row r="192" spans="1:24" ht="11.1" customHeight="1" x14ac:dyDescent="0.45">
      <c r="A192" s="567" t="str">
        <f>IF($A$147=$D$145,"Für die Planungsperioden werden die Umsatzzuwächse durch die Kennziffer Umsatz/Kapital dividiert.","")</f>
        <v>Für die Planungsperioden werden die Umsatzzuwächse durch die Kennziffer Umsatz/Kapital dividiert.</v>
      </c>
      <c r="B192" s="585"/>
      <c r="C192" s="585"/>
      <c r="D192" s="585"/>
      <c r="E192" s="585"/>
      <c r="F192" s="585"/>
      <c r="G192" s="664"/>
      <c r="H192" s="585"/>
      <c r="I192" s="139"/>
      <c r="J192" s="567" t="str">
        <f>IF($J$147=$D$145,"Wachstum EBIT-T über 10 Planungsjahre in Mio.","")</f>
        <v/>
      </c>
      <c r="K192" s="585"/>
      <c r="L192" s="585"/>
      <c r="M192" s="585"/>
      <c r="N192" s="681">
        <f>IF($J$147=$D$145,N191-N190,0)</f>
        <v>0</v>
      </c>
      <c r="Q192" s="439">
        <f t="shared" si="82"/>
        <v>996</v>
      </c>
      <c r="R192" s="596">
        <f t="shared" si="83"/>
        <v>45134</v>
      </c>
      <c r="S192" s="597">
        <f t="shared" si="84"/>
        <v>311.70999999999998</v>
      </c>
      <c r="T192" s="526">
        <f t="shared" si="85"/>
        <v>20020.875520000001</v>
      </c>
      <c r="U192" s="598">
        <v>311.70999999999998</v>
      </c>
      <c r="V192" s="598">
        <v>20020.875520000001</v>
      </c>
      <c r="X192" s="599">
        <v>4537.4118600000002</v>
      </c>
    </row>
    <row r="193" spans="1:24" ht="11.1" customHeight="1" x14ac:dyDescent="0.45">
      <c r="A193" s="567" t="str">
        <f>IF($A$147=$D$145,IF($G$190&lt;&gt;0,"Für die nächsten 10 Jahre ergibt sich eine Gesamtsumme von " &amp;Datenquelle!K13,0),"")</f>
        <v>Für die nächsten 10 Jahre ergibt sich eine Gesamtsumme von USD</v>
      </c>
      <c r="B193" s="585"/>
      <c r="C193" s="585"/>
      <c r="D193" s="585"/>
      <c r="E193" s="585"/>
      <c r="F193" s="607"/>
      <c r="G193" s="681">
        <f>IF(G190&lt;&gt;A1951,(M19-C19)/G191*-1,0)</f>
        <v>-191640.9865382812</v>
      </c>
      <c r="H193" s="585" t="str">
        <f>IF(G190&gt;0,"Mio.",0)</f>
        <v>Mio.</v>
      </c>
      <c r="I193" s="682"/>
      <c r="J193" s="567">
        <f>IF($J$147=$D$145,"Wachstumsrate über 10 Planungsjahre in %",0)</f>
        <v>0</v>
      </c>
      <c r="K193" s="585"/>
      <c r="L193" s="585"/>
      <c r="M193" s="585"/>
      <c r="N193" s="600">
        <f>IF($J$147=$D$145,N191/N190-1,0)</f>
        <v>0</v>
      </c>
      <c r="Q193" s="439">
        <f t="shared" si="82"/>
        <v>995</v>
      </c>
      <c r="R193" s="596">
        <f t="shared" si="83"/>
        <v>45135</v>
      </c>
      <c r="S193" s="597">
        <f t="shared" si="84"/>
        <v>325.48</v>
      </c>
      <c r="T193" s="526">
        <f t="shared" si="85"/>
        <v>12765.413479999999</v>
      </c>
      <c r="U193" s="598">
        <v>325.48</v>
      </c>
      <c r="V193" s="598">
        <v>12765.413479999999</v>
      </c>
      <c r="X193" s="599">
        <v>4582.2313299999996</v>
      </c>
    </row>
    <row r="194" spans="1:24" ht="11.1" customHeight="1" x14ac:dyDescent="0.45">
      <c r="A194" s="567" t="str">
        <f>IF(OR(D145=J147,G190=0),0,"Die Reinvestitionsquote beträgt damit")</f>
        <v>Die Reinvestitionsquote beträgt damit</v>
      </c>
      <c r="B194" s="585"/>
      <c r="C194" s="585"/>
      <c r="D194" s="585"/>
      <c r="E194" s="585"/>
      <c r="F194" s="569">
        <f>-G193/(SUM($C$21:$L$21)+SUM($C$24:$L$24))</f>
        <v>0.18586184809450951</v>
      </c>
      <c r="G194" s="679"/>
      <c r="H194" s="671"/>
      <c r="I194" s="139"/>
      <c r="J194" s="657" t="str">
        <f>IF($J$147=$D$145,"Ausgewähltes ROCE","")</f>
        <v/>
      </c>
      <c r="K194" s="585"/>
      <c r="L194" s="585"/>
      <c r="M194" s="585"/>
      <c r="N194" s="600">
        <v>0</v>
      </c>
      <c r="Q194" s="439">
        <f t="shared" si="82"/>
        <v>994</v>
      </c>
      <c r="R194" s="596">
        <f t="shared" si="83"/>
        <v>45136</v>
      </c>
      <c r="S194" s="597" t="e">
        <f t="shared" si="84"/>
        <v>#N/A</v>
      </c>
      <c r="T194" s="526" t="e">
        <f t="shared" si="85"/>
        <v>#N/A</v>
      </c>
      <c r="U194" s="598">
        <v>325.48</v>
      </c>
      <c r="V194" s="598">
        <v>0</v>
      </c>
      <c r="X194" s="599">
        <v>4582.2313299999996</v>
      </c>
    </row>
    <row r="195" spans="1:24" ht="11.1" customHeight="1" x14ac:dyDescent="0.45">
      <c r="A195" s="567" t="str">
        <f>IF(OR(D145=J147,G190=0),0,IF($G$190&lt;&gt;0,"Nach Würdigung der Schätzungen und Plausibilität werden final übernommen " &amp;Datenquelle!K13,0))</f>
        <v>Nach Würdigung der Schätzungen und Plausibilität werden final übernommen USD</v>
      </c>
      <c r="B195" s="585"/>
      <c r="C195" s="585"/>
      <c r="D195" s="585"/>
      <c r="E195" s="585"/>
      <c r="F195" s="607"/>
      <c r="G195" s="681">
        <f>IF($A$147=$D$145,M216,0)</f>
        <v>-390703.32356746425</v>
      </c>
      <c r="H195" s="585" t="str">
        <f>H193</f>
        <v>Mio.</v>
      </c>
      <c r="I195" s="682"/>
      <c r="J195" s="657">
        <f>IF($J$147=$D$145,"Sicherheitsabschlag/Abschreibungssatz",0)</f>
        <v>0</v>
      </c>
      <c r="K195" s="585"/>
      <c r="L195" s="585"/>
      <c r="M195" s="585"/>
      <c r="N195" s="600">
        <v>0</v>
      </c>
      <c r="Q195" s="439">
        <f t="shared" si="82"/>
        <v>993</v>
      </c>
      <c r="R195" s="596">
        <f t="shared" si="83"/>
        <v>45137</v>
      </c>
      <c r="S195" s="597" t="e">
        <f t="shared" si="84"/>
        <v>#N/A</v>
      </c>
      <c r="T195" s="526" t="e">
        <f t="shared" si="85"/>
        <v>#N/A</v>
      </c>
      <c r="U195" s="598">
        <v>325.48</v>
      </c>
      <c r="V195" s="598">
        <v>0</v>
      </c>
      <c r="X195" s="599">
        <v>4582.2313299999996</v>
      </c>
    </row>
    <row r="196" spans="1:24" ht="11.1" customHeight="1" x14ac:dyDescent="0.45">
      <c r="A196" s="567" t="str">
        <f>IF(OR(D145=J147,G190=0),0,"Die Reinvestitionsquote beträgt somit")</f>
        <v>Die Reinvestitionsquote beträgt somit</v>
      </c>
      <c r="B196" s="585"/>
      <c r="C196" s="585"/>
      <c r="D196" s="585"/>
      <c r="E196" s="585"/>
      <c r="F196" s="569">
        <f>-G195/(SUM(C26:L26)-SUM(C23:L23))</f>
        <v>0.37892124793675341</v>
      </c>
      <c r="G196" s="679"/>
      <c r="H196" s="671"/>
      <c r="I196" s="139"/>
      <c r="J196" s="657">
        <f>IF($J$147=$D$145,"Nettoinvestitionen = Wachstum EBIT-T / ROCE *(1-Afa)",0)</f>
        <v>0</v>
      </c>
      <c r="K196" s="585"/>
      <c r="L196" s="585"/>
      <c r="M196" s="585"/>
      <c r="N196" s="684"/>
      <c r="Q196" s="439">
        <f t="shared" si="82"/>
        <v>992</v>
      </c>
      <c r="R196" s="596">
        <f t="shared" si="83"/>
        <v>45138</v>
      </c>
      <c r="S196" s="597">
        <f t="shared" si="84"/>
        <v>318.60000000000002</v>
      </c>
      <c r="T196" s="526">
        <f t="shared" si="85"/>
        <v>8219.7535200000002</v>
      </c>
      <c r="U196" s="598">
        <v>318.60000000000002</v>
      </c>
      <c r="V196" s="598">
        <v>8219.7535200000002</v>
      </c>
      <c r="X196" s="599">
        <v>4588.9611400000003</v>
      </c>
    </row>
    <row r="197" spans="1:24" ht="11.1" customHeight="1" x14ac:dyDescent="0.45">
      <c r="A197" s="567" t="str">
        <f>IF(OR(D145=J147,G190=0),0,IF(G190&lt;&gt;0,"Das gebundene Kapital würde Ende LTM+10 demnach "&amp;Datenquelle!K13,0))</f>
        <v>Das gebundene Kapital würde Ende LTM+10 demnach USD</v>
      </c>
      <c r="B197" s="585"/>
      <c r="C197" s="585"/>
      <c r="D197" s="585"/>
      <c r="E197" s="585"/>
      <c r="F197" s="719">
        <f>IF(G190&lt;&gt;0,M66,0)</f>
        <v>558776.32356746425</v>
      </c>
      <c r="G197" s="585" t="str">
        <f>IF(G190&gt;0,"Mio. betragen.",0)</f>
        <v>Mio. betragen.</v>
      </c>
      <c r="H197" s="585"/>
      <c r="I197" s="139"/>
      <c r="J197" s="657">
        <f>IF($J$147=$D$145,"Resultierende Nettoinvestitionen",0)</f>
        <v>0</v>
      </c>
      <c r="K197" s="585"/>
      <c r="L197" s="585"/>
      <c r="M197" s="585"/>
      <c r="N197" s="681">
        <f>IF($J$147=$D$145,N192/-N194*(1-N195),0)</f>
        <v>0</v>
      </c>
      <c r="Q197" s="439">
        <f t="shared" si="82"/>
        <v>991</v>
      </c>
      <c r="R197" s="596">
        <f t="shared" si="83"/>
        <v>45139</v>
      </c>
      <c r="S197" s="597">
        <f t="shared" si="84"/>
        <v>322.70999999999998</v>
      </c>
      <c r="T197" s="526">
        <f t="shared" si="85"/>
        <v>7386.7899500000003</v>
      </c>
      <c r="U197" s="598">
        <v>322.70999999999998</v>
      </c>
      <c r="V197" s="598">
        <v>7386.7899500000003</v>
      </c>
      <c r="X197" s="599">
        <v>4576.7291500000001</v>
      </c>
    </row>
    <row r="198" spans="1:24" ht="11.1" customHeight="1" x14ac:dyDescent="0.45">
      <c r="A198" s="715" t="str">
        <f>IF(OR(D145=J147,G190=0),0,"Das aktuell bei YCV gebundene Kapital Ende LTM +10 beträgt "&amp;Datenquelle!K13)</f>
        <v>Das aktuell bei YCV gebundene Kapital Ende LTM +10 beträgt USD</v>
      </c>
      <c r="B198" s="585"/>
      <c r="C198" s="585"/>
      <c r="D198" s="585"/>
      <c r="E198" s="683"/>
      <c r="F198" s="720">
        <v>558776.32356746425</v>
      </c>
      <c r="G198" s="665" t="str">
        <f>IF($A$147=$D$145,"Mio. gem. YCV",0)</f>
        <v>Mio. gem. YCV</v>
      </c>
      <c r="H198" s="585"/>
      <c r="I198" s="139"/>
      <c r="J198" s="657">
        <f>IF($J$147=$D$145,"Probe: ROCE = Wachstum EBIT-T / Nettoinvest.",0)</f>
        <v>0</v>
      </c>
      <c r="K198" s="585"/>
      <c r="L198" s="585"/>
      <c r="M198" s="585"/>
      <c r="N198" s="600">
        <f>IF($J$147=$D$145,-N192*(1-N195)/N197,0)</f>
        <v>0</v>
      </c>
      <c r="Q198" s="439">
        <f t="shared" si="82"/>
        <v>990</v>
      </c>
      <c r="R198" s="596">
        <f t="shared" si="83"/>
        <v>45140</v>
      </c>
      <c r="S198" s="597">
        <f t="shared" si="84"/>
        <v>314.31</v>
      </c>
      <c r="T198" s="526">
        <f t="shared" si="85"/>
        <v>6431.1264600000004</v>
      </c>
      <c r="U198" s="598">
        <v>314.31</v>
      </c>
      <c r="V198" s="598">
        <v>6431.1264600000004</v>
      </c>
      <c r="X198" s="599">
        <v>4513.3938600000001</v>
      </c>
    </row>
    <row r="199" spans="1:24" ht="11.1" customHeight="1" x14ac:dyDescent="0.45">
      <c r="A199" s="657" t="str">
        <f>IF($A$147=$D$145,"Final eingestellte Nettoinvestitionen in Mio. "&amp;Datenquelle!K13,"")</f>
        <v>Final eingestellte Nettoinvestitionen in Mio. USD</v>
      </c>
      <c r="B199" s="585"/>
      <c r="C199" s="585"/>
      <c r="D199" s="585"/>
      <c r="E199" s="683"/>
      <c r="F199" s="719">
        <f>IF($A$147=$D$145,M216,0)</f>
        <v>-390703.32356746425</v>
      </c>
      <c r="G199" s="679"/>
      <c r="H199" s="671"/>
      <c r="I199" s="139"/>
      <c r="J199" s="657" t="str">
        <f>IF($J$147=$D$145,"Final eingestellte Nettoinvestitionen in Mio. "&amp;Datenquelle!K13,"")</f>
        <v/>
      </c>
      <c r="K199" s="585"/>
      <c r="L199" s="585"/>
      <c r="M199" s="585"/>
      <c r="N199" s="681">
        <f>IF($J$147=$D$145,M216,0)</f>
        <v>0</v>
      </c>
      <c r="Q199" s="439">
        <f t="shared" si="82"/>
        <v>989</v>
      </c>
      <c r="R199" s="596">
        <f t="shared" si="83"/>
        <v>45141</v>
      </c>
      <c r="S199" s="597">
        <f t="shared" si="84"/>
        <v>313.19</v>
      </c>
      <c r="T199" s="526">
        <f t="shared" si="85"/>
        <v>4765.3180199999997</v>
      </c>
      <c r="U199" s="598">
        <v>313.19</v>
      </c>
      <c r="V199" s="598">
        <v>4765.3180199999997</v>
      </c>
      <c r="X199" s="599">
        <v>4501.8856699999997</v>
      </c>
    </row>
    <row r="200" spans="1:24" ht="11.1" customHeight="1" x14ac:dyDescent="0.45">
      <c r="A200" s="139"/>
      <c r="B200" s="139"/>
      <c r="C200" s="139"/>
      <c r="D200" s="139"/>
      <c r="E200" s="139"/>
      <c r="F200" s="139"/>
      <c r="G200" s="139"/>
      <c r="H200" s="139"/>
      <c r="I200" s="139"/>
      <c r="J200" s="139"/>
      <c r="K200" s="139"/>
      <c r="L200" s="139"/>
      <c r="M200" s="139"/>
      <c r="N200" s="139"/>
      <c r="Q200" s="439">
        <f t="shared" si="82"/>
        <v>988</v>
      </c>
      <c r="R200" s="596">
        <f t="shared" si="83"/>
        <v>45142</v>
      </c>
      <c r="S200" s="597">
        <f t="shared" si="84"/>
        <v>310.73</v>
      </c>
      <c r="T200" s="526">
        <f t="shared" si="85"/>
        <v>5472.8135400000001</v>
      </c>
      <c r="U200" s="598">
        <v>310.73</v>
      </c>
      <c r="V200" s="598">
        <v>5472.8135400000001</v>
      </c>
      <c r="X200" s="599">
        <v>4478.0338400000001</v>
      </c>
    </row>
    <row r="201" spans="1:24" ht="11.1" customHeight="1" x14ac:dyDescent="0.45">
      <c r="A201" s="592" t="s">
        <v>180</v>
      </c>
      <c r="B201" s="139"/>
      <c r="C201" s="139"/>
      <c r="D201" s="139"/>
      <c r="E201" s="139"/>
      <c r="F201" s="139"/>
      <c r="G201" s="655"/>
      <c r="H201" s="139"/>
      <c r="I201" s="139"/>
      <c r="J201" s="139"/>
      <c r="K201" s="139"/>
      <c r="L201" s="139"/>
      <c r="M201" s="139"/>
      <c r="N201" s="139"/>
      <c r="Q201" s="439">
        <f t="shared" si="82"/>
        <v>987</v>
      </c>
      <c r="R201" s="596">
        <f t="shared" si="83"/>
        <v>45143</v>
      </c>
      <c r="S201" s="597" t="e">
        <f t="shared" si="84"/>
        <v>#N/A</v>
      </c>
      <c r="T201" s="526" t="e">
        <f t="shared" si="85"/>
        <v>#N/A</v>
      </c>
      <c r="U201" s="598">
        <v>310.73</v>
      </c>
      <c r="V201" s="598">
        <v>0</v>
      </c>
      <c r="X201" s="599">
        <v>4478.0338400000001</v>
      </c>
    </row>
    <row r="202" spans="1:24" ht="11.1" customHeight="1" x14ac:dyDescent="0.45">
      <c r="A202" s="140" t="s">
        <v>181</v>
      </c>
      <c r="B202" s="139"/>
      <c r="C202" s="139"/>
      <c r="D202" s="139"/>
      <c r="E202" s="139"/>
      <c r="F202" s="139"/>
      <c r="G202" s="139"/>
      <c r="H202" s="139"/>
      <c r="I202" s="139"/>
      <c r="J202" s="139"/>
      <c r="K202" s="139"/>
      <c r="L202" s="139"/>
      <c r="M202" s="139"/>
      <c r="N202" s="139"/>
      <c r="Q202" s="439">
        <f t="shared" si="82"/>
        <v>986</v>
      </c>
      <c r="R202" s="596">
        <f t="shared" si="83"/>
        <v>45144</v>
      </c>
      <c r="S202" s="597" t="e">
        <f t="shared" si="84"/>
        <v>#N/A</v>
      </c>
      <c r="T202" s="526" t="e">
        <f t="shared" si="85"/>
        <v>#N/A</v>
      </c>
      <c r="U202" s="598">
        <v>310.73</v>
      </c>
      <c r="V202" s="598">
        <v>0</v>
      </c>
      <c r="X202" s="599">
        <v>4478.0338400000001</v>
      </c>
    </row>
    <row r="203" spans="1:24" ht="11.1" customHeight="1" x14ac:dyDescent="0.45">
      <c r="A203" s="685"/>
      <c r="B203" s="139"/>
      <c r="C203" s="139"/>
      <c r="D203" s="139"/>
      <c r="E203" s="139"/>
      <c r="F203" s="686"/>
      <c r="G203" s="139"/>
      <c r="H203" s="139"/>
      <c r="I203" s="139"/>
      <c r="J203" s="139"/>
      <c r="K203" s="139"/>
      <c r="L203" s="139"/>
      <c r="M203" s="139"/>
      <c r="N203" s="139"/>
      <c r="Q203" s="439">
        <f t="shared" si="82"/>
        <v>985</v>
      </c>
      <c r="R203" s="596">
        <f t="shared" si="83"/>
        <v>45145</v>
      </c>
      <c r="S203" s="597">
        <f t="shared" si="84"/>
        <v>316.56</v>
      </c>
      <c r="T203" s="526">
        <f t="shared" si="85"/>
        <v>5139.8277099999996</v>
      </c>
      <c r="U203" s="598">
        <v>316.56</v>
      </c>
      <c r="V203" s="598">
        <v>5139.8277099999996</v>
      </c>
      <c r="X203" s="599">
        <v>4518.4433600000002</v>
      </c>
    </row>
    <row r="204" spans="1:24" ht="11.1" customHeight="1" x14ac:dyDescent="0.45">
      <c r="A204" s="585"/>
      <c r="B204" s="585"/>
      <c r="C204" s="585"/>
      <c r="D204" s="585"/>
      <c r="E204" s="585"/>
      <c r="F204" s="585"/>
      <c r="G204" s="585"/>
      <c r="H204" s="585"/>
      <c r="I204" s="585"/>
      <c r="J204" s="585"/>
      <c r="K204" s="585"/>
      <c r="L204" s="585"/>
      <c r="M204" s="585"/>
      <c r="N204" s="585"/>
      <c r="Q204" s="439">
        <f t="shared" si="82"/>
        <v>984</v>
      </c>
      <c r="R204" s="596">
        <f t="shared" si="83"/>
        <v>45146</v>
      </c>
      <c r="S204" s="597">
        <f t="shared" si="84"/>
        <v>312.64</v>
      </c>
      <c r="T204" s="526">
        <f t="shared" si="85"/>
        <v>4746.9794400000001</v>
      </c>
      <c r="U204" s="598">
        <v>312.64</v>
      </c>
      <c r="V204" s="598">
        <v>4746.9794400000001</v>
      </c>
      <c r="X204" s="599">
        <v>4499.3772600000002</v>
      </c>
    </row>
    <row r="205" spans="1:24" ht="11.1" customHeight="1" x14ac:dyDescent="0.45">
      <c r="A205" s="567" t="s">
        <v>209</v>
      </c>
      <c r="B205" s="585"/>
      <c r="C205" s="585"/>
      <c r="D205" s="585"/>
      <c r="E205" s="585"/>
      <c r="F205" s="585"/>
      <c r="G205" s="600">
        <f>F39</f>
        <v>4.3200000000000002E-2</v>
      </c>
      <c r="H205" s="585"/>
      <c r="I205" s="600"/>
      <c r="J205" s="585"/>
      <c r="K205" s="585"/>
      <c r="L205" s="585"/>
      <c r="M205" s="585"/>
      <c r="N205" s="600">
        <f>N36</f>
        <v>4.3200000000000002E-2</v>
      </c>
      <c r="Q205" s="439">
        <f t="shared" si="82"/>
        <v>983</v>
      </c>
      <c r="R205" s="596">
        <f t="shared" si="83"/>
        <v>45147</v>
      </c>
      <c r="S205" s="597">
        <f t="shared" si="84"/>
        <v>305.20999999999998</v>
      </c>
      <c r="T205" s="526">
        <f t="shared" si="85"/>
        <v>6090.70453</v>
      </c>
      <c r="U205" s="598">
        <v>305.20999999999998</v>
      </c>
      <c r="V205" s="598">
        <v>6090.70453</v>
      </c>
      <c r="X205" s="599">
        <v>4467.7140900000004</v>
      </c>
    </row>
    <row r="206" spans="1:24" ht="11.1" customHeight="1" x14ac:dyDescent="0.45">
      <c r="A206" s="567" t="s">
        <v>237</v>
      </c>
      <c r="B206" s="585"/>
      <c r="C206" s="585"/>
      <c r="D206" s="585"/>
      <c r="E206" s="585"/>
      <c r="F206" s="585"/>
      <c r="G206" s="600">
        <f>IF(MIN(MAX(L32,N206),M87*2)=N206,MIN(MAX(L32,N206),M87*2),N206)</f>
        <v>0.1659060773509328</v>
      </c>
      <c r="H206" s="585"/>
      <c r="I206" s="600"/>
      <c r="J206" s="585"/>
      <c r="K206" s="585"/>
      <c r="L206" s="585"/>
      <c r="M206" s="600"/>
      <c r="N206" s="600">
        <f>-$N$207/$N$208*$N$205</f>
        <v>0.16590607735093277</v>
      </c>
      <c r="Q206" s="439">
        <f t="shared" si="82"/>
        <v>982</v>
      </c>
      <c r="R206" s="596">
        <f t="shared" si="83"/>
        <v>45148</v>
      </c>
      <c r="S206" s="597">
        <f t="shared" si="84"/>
        <v>305.74</v>
      </c>
      <c r="T206" s="526">
        <f t="shared" si="85"/>
        <v>4390.0891700000002</v>
      </c>
      <c r="U206" s="598">
        <v>305.74</v>
      </c>
      <c r="V206" s="598">
        <v>4390.0891700000002</v>
      </c>
      <c r="X206" s="599">
        <v>4468.8347700000004</v>
      </c>
    </row>
    <row r="207" spans="1:24" ht="11.1" customHeight="1" x14ac:dyDescent="0.45">
      <c r="A207" s="567" t="s">
        <v>182</v>
      </c>
      <c r="B207" s="585"/>
      <c r="C207" s="585"/>
      <c r="D207" s="585"/>
      <c r="E207" s="585"/>
      <c r="F207" s="585"/>
      <c r="G207" s="487">
        <f>M26</f>
        <v>144828.53991035855</v>
      </c>
      <c r="H207" s="663" t="s">
        <v>97</v>
      </c>
      <c r="I207" s="487"/>
      <c r="J207" s="585"/>
      <c r="K207" s="585"/>
      <c r="L207" s="585"/>
      <c r="M207" s="585"/>
      <c r="N207" s="487">
        <f>M26</f>
        <v>144828.53991035855</v>
      </c>
      <c r="Q207" s="439">
        <f t="shared" si="82"/>
        <v>981</v>
      </c>
      <c r="R207" s="596">
        <f t="shared" si="83"/>
        <v>45149</v>
      </c>
      <c r="S207" s="597">
        <f t="shared" si="84"/>
        <v>301.64</v>
      </c>
      <c r="T207" s="526">
        <f t="shared" si="85"/>
        <v>4236.9108500000002</v>
      </c>
      <c r="U207" s="598">
        <v>301.64</v>
      </c>
      <c r="V207" s="598">
        <v>4236.9108500000002</v>
      </c>
      <c r="X207" s="599">
        <v>4464.0545599999996</v>
      </c>
    </row>
    <row r="208" spans="1:24" ht="11.1" customHeight="1" x14ac:dyDescent="0.45">
      <c r="A208" s="610" t="s">
        <v>183</v>
      </c>
      <c r="B208" s="661"/>
      <c r="C208" s="661"/>
      <c r="D208" s="661"/>
      <c r="E208" s="661"/>
      <c r="F208" s="661"/>
      <c r="G208" s="687">
        <f>MAX(-G205/G206*G207,G207*-G210)</f>
        <v>-37711.656040744267</v>
      </c>
      <c r="H208" s="688">
        <v>-37711.656040744274</v>
      </c>
      <c r="I208" s="687"/>
      <c r="J208" s="585"/>
      <c r="K208" s="585"/>
      <c r="L208" s="585"/>
      <c r="M208" s="585"/>
      <c r="N208" s="687">
        <f>M28</f>
        <v>-37711.656040744267</v>
      </c>
      <c r="Q208" s="439">
        <f t="shared" si="82"/>
        <v>980</v>
      </c>
      <c r="R208" s="596">
        <f t="shared" si="83"/>
        <v>45150</v>
      </c>
      <c r="S208" s="597" t="e">
        <f t="shared" si="84"/>
        <v>#N/A</v>
      </c>
      <c r="T208" s="526" t="e">
        <f t="shared" si="85"/>
        <v>#N/A</v>
      </c>
      <c r="U208" s="598">
        <v>301.64</v>
      </c>
      <c r="V208" s="598">
        <v>0</v>
      </c>
      <c r="X208" s="599">
        <v>4464.0545599999996</v>
      </c>
    </row>
    <row r="209" spans="1:24" ht="11.1" customHeight="1" x14ac:dyDescent="0.45">
      <c r="A209" s="567" t="s">
        <v>184</v>
      </c>
      <c r="B209" s="585"/>
      <c r="C209" s="585"/>
      <c r="D209" s="585"/>
      <c r="E209" s="585"/>
      <c r="F209" s="585"/>
      <c r="G209" s="600">
        <f>-G208/G207</f>
        <v>0.26038829131389329</v>
      </c>
      <c r="H209" s="585"/>
      <c r="I209" s="600"/>
      <c r="J209" s="600"/>
      <c r="K209" s="585"/>
      <c r="L209" s="585"/>
      <c r="M209" s="585"/>
      <c r="N209" s="600">
        <f>-N208/N207</f>
        <v>0.26038829131389329</v>
      </c>
      <c r="Q209" s="439">
        <f t="shared" si="82"/>
        <v>979</v>
      </c>
      <c r="R209" s="596">
        <f t="shared" si="83"/>
        <v>45151</v>
      </c>
      <c r="S209" s="597" t="e">
        <f t="shared" si="84"/>
        <v>#N/A</v>
      </c>
      <c r="T209" s="526" t="e">
        <f t="shared" si="85"/>
        <v>#N/A</v>
      </c>
      <c r="U209" s="598">
        <v>301.64</v>
      </c>
      <c r="V209" s="598">
        <v>0</v>
      </c>
      <c r="X209" s="599">
        <v>4464.0545599999996</v>
      </c>
    </row>
    <row r="210" spans="1:24" ht="11.1" customHeight="1" x14ac:dyDescent="0.45">
      <c r="A210" s="567" t="s">
        <v>185</v>
      </c>
      <c r="B210" s="585"/>
      <c r="C210" s="585"/>
      <c r="D210" s="585"/>
      <c r="E210" s="585"/>
      <c r="F210" s="585"/>
      <c r="G210" s="689">
        <v>0.6</v>
      </c>
      <c r="H210" s="585"/>
      <c r="I210" s="689"/>
      <c r="J210" s="585"/>
      <c r="K210" s="585"/>
      <c r="L210" s="585"/>
      <c r="M210" s="585"/>
      <c r="N210" s="689">
        <v>0.6</v>
      </c>
      <c r="Q210" s="439">
        <f t="shared" si="82"/>
        <v>978</v>
      </c>
      <c r="R210" s="596">
        <f t="shared" si="83"/>
        <v>45152</v>
      </c>
      <c r="S210" s="597">
        <f t="shared" si="84"/>
        <v>306.19</v>
      </c>
      <c r="T210" s="526">
        <f t="shared" si="85"/>
        <v>4789.3997900000004</v>
      </c>
      <c r="U210" s="598">
        <v>306.19</v>
      </c>
      <c r="V210" s="598">
        <v>4789.3997900000004</v>
      </c>
      <c r="X210" s="599">
        <v>4489.7183299999997</v>
      </c>
    </row>
    <row r="211" spans="1:24" ht="11.1" customHeight="1" x14ac:dyDescent="0.45">
      <c r="A211" s="585"/>
      <c r="B211" s="585"/>
      <c r="C211" s="585"/>
      <c r="D211" s="585"/>
      <c r="E211" s="585"/>
      <c r="F211" s="585"/>
      <c r="G211" s="585"/>
      <c r="H211" s="585"/>
      <c r="I211" s="687"/>
      <c r="J211" s="585"/>
      <c r="K211" s="585"/>
      <c r="L211" s="585"/>
      <c r="M211" s="585"/>
      <c r="N211" s="585"/>
      <c r="Q211" s="439">
        <f t="shared" si="82"/>
        <v>977</v>
      </c>
      <c r="R211" s="596">
        <f t="shared" si="83"/>
        <v>45153</v>
      </c>
      <c r="S211" s="597">
        <f t="shared" si="84"/>
        <v>301.95</v>
      </c>
      <c r="T211" s="526">
        <f t="shared" si="85"/>
        <v>3509.7499499999999</v>
      </c>
      <c r="U211" s="598">
        <v>301.95</v>
      </c>
      <c r="V211" s="598">
        <v>3509.7499499999999</v>
      </c>
      <c r="X211" s="599">
        <v>4437.85905</v>
      </c>
    </row>
    <row r="212" spans="1:24" ht="11.1" customHeight="1" x14ac:dyDescent="0.45">
      <c r="Q212" s="439">
        <f t="shared" si="82"/>
        <v>976</v>
      </c>
      <c r="R212" s="596">
        <f t="shared" si="83"/>
        <v>45154</v>
      </c>
      <c r="S212" s="597">
        <f t="shared" si="84"/>
        <v>294.29000000000002</v>
      </c>
      <c r="T212" s="526">
        <f t="shared" si="85"/>
        <v>5458.4147000000003</v>
      </c>
      <c r="U212" s="598">
        <v>294.29000000000002</v>
      </c>
      <c r="V212" s="598">
        <v>5458.4147000000003</v>
      </c>
      <c r="X212" s="599">
        <v>4404.3334699999996</v>
      </c>
    </row>
    <row r="213" spans="1:24" ht="11.1" customHeight="1" x14ac:dyDescent="0.45">
      <c r="C213" s="1211" t="str">
        <f>IF(AND(C215=C248,D215,D248,E215=E248,F215=F248,G215=G248),"Net Capex Consensus wird berücksichtigt für LTM+1 bis LTM+5","")</f>
        <v>Net Capex Consensus wird berücksichtigt für LTM+1 bis LTM+5</v>
      </c>
      <c r="D213" s="1211"/>
      <c r="E213" s="1211"/>
      <c r="F213" s="1211"/>
      <c r="G213" s="1211"/>
      <c r="I213" s="441"/>
      <c r="Q213" s="439">
        <f t="shared" si="82"/>
        <v>975</v>
      </c>
      <c r="R213" s="596">
        <f t="shared" si="83"/>
        <v>45155</v>
      </c>
      <c r="S213" s="597">
        <f t="shared" si="84"/>
        <v>285.08999999999997</v>
      </c>
      <c r="T213" s="526">
        <f t="shared" si="85"/>
        <v>6827.9308700000001</v>
      </c>
      <c r="U213" s="598">
        <v>285.08999999999997</v>
      </c>
      <c r="V213" s="598">
        <v>6827.9308700000001</v>
      </c>
      <c r="X213" s="599">
        <v>4370.36006</v>
      </c>
    </row>
    <row r="214" spans="1:24" ht="11.1" customHeight="1" x14ac:dyDescent="0.45">
      <c r="A214" s="429" t="s">
        <v>179</v>
      </c>
      <c r="B214" s="432"/>
      <c r="C214" s="432" t="s">
        <v>33</v>
      </c>
      <c r="D214" s="432" t="s">
        <v>34</v>
      </c>
      <c r="E214" s="432" t="s">
        <v>35</v>
      </c>
      <c r="F214" s="432" t="s">
        <v>36</v>
      </c>
      <c r="G214" s="432" t="s">
        <v>37</v>
      </c>
      <c r="H214" s="432" t="s">
        <v>38</v>
      </c>
      <c r="I214" s="432" t="s">
        <v>39</v>
      </c>
      <c r="J214" s="432" t="s">
        <v>40</v>
      </c>
      <c r="K214" s="432" t="s">
        <v>41</v>
      </c>
      <c r="L214" s="432" t="s">
        <v>42</v>
      </c>
      <c r="M214" s="432" t="s">
        <v>78</v>
      </c>
      <c r="Q214" s="439">
        <f t="shared" si="82"/>
        <v>974</v>
      </c>
      <c r="R214" s="596">
        <f t="shared" si="83"/>
        <v>45156</v>
      </c>
      <c r="S214" s="597">
        <f t="shared" si="84"/>
        <v>283.25</v>
      </c>
      <c r="T214" s="526">
        <f t="shared" si="85"/>
        <v>10012.29976</v>
      </c>
      <c r="U214" s="598">
        <v>283.25</v>
      </c>
      <c r="V214" s="598">
        <v>10012.29976</v>
      </c>
      <c r="X214" s="599">
        <v>4369.7115000000003</v>
      </c>
    </row>
    <row r="215" spans="1:24" ht="11.1" customHeight="1" x14ac:dyDescent="0.45">
      <c r="A215" s="690" t="s">
        <v>175</v>
      </c>
      <c r="B215" s="647"/>
      <c r="C215" s="1007">
        <v>-62961.024085475881</v>
      </c>
      <c r="D215" s="1007">
        <v>-69471.685815684832</v>
      </c>
      <c r="E215" s="1007">
        <v>-63454.550622434559</v>
      </c>
      <c r="F215" s="1007">
        <v>-50855.290879811721</v>
      </c>
      <c r="G215" s="1007">
        <v>-50172.532614824369</v>
      </c>
      <c r="H215" s="1007">
        <v>-23017.272680241913</v>
      </c>
      <c r="I215" s="1007">
        <v>-25190.305249044988</v>
      </c>
      <c r="J215" s="1007">
        <v>-18199.466271712517</v>
      </c>
      <c r="K215" s="1007">
        <v>-13401.133197060248</v>
      </c>
      <c r="L215" s="1007">
        <v>-13980.06215117327</v>
      </c>
      <c r="M215" s="487">
        <f>SUM(C215:L215)</f>
        <v>-390703.32356746425</v>
      </c>
      <c r="Q215" s="439">
        <f t="shared" si="82"/>
        <v>973</v>
      </c>
      <c r="R215" s="596">
        <f t="shared" si="83"/>
        <v>45157</v>
      </c>
      <c r="S215" s="597" t="e">
        <f t="shared" si="84"/>
        <v>#N/A</v>
      </c>
      <c r="T215" s="526" t="e">
        <f t="shared" si="85"/>
        <v>#N/A</v>
      </c>
      <c r="U215" s="598">
        <v>283.25</v>
      </c>
      <c r="V215" s="598">
        <v>0</v>
      </c>
      <c r="X215" s="599">
        <v>4369.7115000000003</v>
      </c>
    </row>
    <row r="216" spans="1:24" ht="11.1" customHeight="1" x14ac:dyDescent="0.45">
      <c r="A216" s="584" t="s">
        <v>68</v>
      </c>
      <c r="B216" s="487"/>
      <c r="C216" s="487">
        <f>C28</f>
        <v>-62961.024085475881</v>
      </c>
      <c r="D216" s="487">
        <f t="shared" ref="D216:L216" si="86">D28</f>
        <v>-69471.685815684832</v>
      </c>
      <c r="E216" s="487">
        <f t="shared" si="86"/>
        <v>-63454.550622434559</v>
      </c>
      <c r="F216" s="487">
        <f t="shared" si="86"/>
        <v>-50855.290879811721</v>
      </c>
      <c r="G216" s="487">
        <f t="shared" si="86"/>
        <v>-50172.532614824369</v>
      </c>
      <c r="H216" s="487">
        <f t="shared" si="86"/>
        <v>-23017.272680241913</v>
      </c>
      <c r="I216" s="487">
        <f t="shared" si="86"/>
        <v>-25190.305249044988</v>
      </c>
      <c r="J216" s="487">
        <f t="shared" si="86"/>
        <v>-18199.466271712517</v>
      </c>
      <c r="K216" s="487">
        <f t="shared" si="86"/>
        <v>-13401.133197060248</v>
      </c>
      <c r="L216" s="487">
        <f t="shared" si="86"/>
        <v>-13980.06215117327</v>
      </c>
      <c r="M216" s="487">
        <f>SUM(C216:L216)</f>
        <v>-390703.32356746425</v>
      </c>
      <c r="Q216" s="439">
        <f t="shared" si="82"/>
        <v>972</v>
      </c>
      <c r="R216" s="596">
        <f t="shared" si="83"/>
        <v>45158</v>
      </c>
      <c r="S216" s="597" t="e">
        <f t="shared" si="84"/>
        <v>#N/A</v>
      </c>
      <c r="T216" s="526" t="e">
        <f t="shared" si="85"/>
        <v>#N/A</v>
      </c>
      <c r="U216" s="598">
        <v>283.25</v>
      </c>
      <c r="V216" s="598">
        <v>0</v>
      </c>
      <c r="X216" s="599">
        <v>4369.7115000000003</v>
      </c>
    </row>
    <row r="217" spans="1:24" ht="11.1" customHeight="1" x14ac:dyDescent="0.45">
      <c r="A217" s="691" t="s">
        <v>69</v>
      </c>
      <c r="B217" s="692"/>
      <c r="C217" s="693">
        <f>IFERROR((D$19-C$19)/-C216,0)</f>
        <v>0.52668195096352566</v>
      </c>
      <c r="D217" s="693">
        <f t="shared" ref="D217:L217" si="87">IFERROR((E$19-D$19)/-D216,0)</f>
        <v>0.46851987262798339</v>
      </c>
      <c r="E217" s="693">
        <f t="shared" si="87"/>
        <v>0.52479693673346506</v>
      </c>
      <c r="F217" s="693">
        <f t="shared" si="87"/>
        <v>0.6495130859724394</v>
      </c>
      <c r="G217" s="693">
        <f t="shared" si="87"/>
        <v>0.72050598318358194</v>
      </c>
      <c r="H217" s="693">
        <f t="shared" si="87"/>
        <v>1.7188157329371556</v>
      </c>
      <c r="I217" s="693">
        <f t="shared" si="87"/>
        <v>1.7188157329371556</v>
      </c>
      <c r="J217" s="693">
        <f t="shared" si="87"/>
        <v>1.7188157329371558</v>
      </c>
      <c r="K217" s="693">
        <f t="shared" si="87"/>
        <v>1.7188157329371556</v>
      </c>
      <c r="L217" s="693">
        <f t="shared" si="87"/>
        <v>1.7188157329371556</v>
      </c>
      <c r="M217" s="693">
        <f>IFERROR((M19-C19)/-M216,0)</f>
        <v>0.84308354413247621</v>
      </c>
      <c r="Q217" s="439">
        <f t="shared" si="82"/>
        <v>971</v>
      </c>
      <c r="R217" s="596">
        <f t="shared" si="83"/>
        <v>45159</v>
      </c>
      <c r="S217" s="597">
        <f t="shared" si="84"/>
        <v>289.89999999999998</v>
      </c>
      <c r="T217" s="526">
        <f t="shared" si="85"/>
        <v>5850.6095999999998</v>
      </c>
      <c r="U217" s="598">
        <v>289.89999999999998</v>
      </c>
      <c r="V217" s="598">
        <v>5850.6095999999998</v>
      </c>
      <c r="X217" s="599">
        <v>4399.7691000000004</v>
      </c>
    </row>
    <row r="218" spans="1:24" ht="11.1" customHeight="1" x14ac:dyDescent="0.45">
      <c r="A218" s="690" t="s">
        <v>176</v>
      </c>
      <c r="B218" s="647"/>
      <c r="C218" s="487">
        <v>-19292.606161647462</v>
      </c>
      <c r="D218" s="487">
        <v>-18936.797450646798</v>
      </c>
      <c r="E218" s="487">
        <v>-19374.243061847636</v>
      </c>
      <c r="F218" s="487">
        <v>-19217.404335093008</v>
      </c>
      <c r="G218" s="487">
        <v>-21031.695979813379</v>
      </c>
      <c r="H218" s="487">
        <v>-23017.272680241913</v>
      </c>
      <c r="I218" s="487">
        <v>-25190.305249044988</v>
      </c>
      <c r="J218" s="487">
        <v>-18199.466271712517</v>
      </c>
      <c r="K218" s="487">
        <v>-13401.133197060248</v>
      </c>
      <c r="L218" s="487">
        <v>-13980.06215117327</v>
      </c>
      <c r="M218" s="487">
        <f>SUM(C218:L218)</f>
        <v>-191640.98653828123</v>
      </c>
      <c r="Q218" s="439">
        <f t="shared" si="82"/>
        <v>970</v>
      </c>
      <c r="R218" s="596">
        <f t="shared" si="83"/>
        <v>45160</v>
      </c>
      <c r="S218" s="597">
        <f t="shared" si="84"/>
        <v>287.60000000000002</v>
      </c>
      <c r="T218" s="526">
        <f t="shared" si="85"/>
        <v>3738.7749800000001</v>
      </c>
      <c r="U218" s="598">
        <v>287.60000000000002</v>
      </c>
      <c r="V218" s="598">
        <v>3738.7749800000001</v>
      </c>
      <c r="X218" s="599">
        <v>4387.5487000000003</v>
      </c>
    </row>
    <row r="219" spans="1:24" ht="11.1" customHeight="1" x14ac:dyDescent="0.45">
      <c r="A219" s="584" t="s">
        <v>68</v>
      </c>
      <c r="B219" s="487"/>
      <c r="C219" s="487">
        <f t="shared" ref="C219:E219" si="88">IFERROR(((D19-C19)/$G$191*-1),0)</f>
        <v>-19292.606161647462</v>
      </c>
      <c r="D219" s="487">
        <f t="shared" si="88"/>
        <v>-18936.797450646798</v>
      </c>
      <c r="E219" s="487">
        <f t="shared" si="88"/>
        <v>-19374.243061847636</v>
      </c>
      <c r="F219" s="487">
        <f>IFERROR(((G19-F19)/$G$191*-1),0)</f>
        <v>-19217.404335093008</v>
      </c>
      <c r="G219" s="487">
        <f t="shared" ref="G219:L219" si="89">IFERROR(((H19-G19)/$G$191*-1),0)</f>
        <v>-21031.695979813379</v>
      </c>
      <c r="H219" s="487">
        <f t="shared" si="89"/>
        <v>-23017.272680241913</v>
      </c>
      <c r="I219" s="487">
        <f t="shared" si="89"/>
        <v>-25190.305249044988</v>
      </c>
      <c r="J219" s="487">
        <f t="shared" si="89"/>
        <v>-18199.466271712517</v>
      </c>
      <c r="K219" s="487">
        <f t="shared" si="89"/>
        <v>-13401.133197060248</v>
      </c>
      <c r="L219" s="487">
        <f t="shared" si="89"/>
        <v>-13980.06215117327</v>
      </c>
      <c r="M219" s="487">
        <f>SUM(C219:L219)</f>
        <v>-191640.98653828123</v>
      </c>
      <c r="Q219" s="439">
        <f t="shared" si="82"/>
        <v>969</v>
      </c>
      <c r="R219" s="596">
        <f t="shared" si="83"/>
        <v>45161</v>
      </c>
      <c r="S219" s="597">
        <f t="shared" si="84"/>
        <v>294.24</v>
      </c>
      <c r="T219" s="526">
        <f t="shared" si="85"/>
        <v>5380.7671700000001</v>
      </c>
      <c r="U219" s="598">
        <v>294.24</v>
      </c>
      <c r="V219" s="598">
        <v>5380.7671700000001</v>
      </c>
      <c r="X219" s="599">
        <v>4436.0117399999999</v>
      </c>
    </row>
    <row r="220" spans="1:24" ht="11.1" customHeight="1" x14ac:dyDescent="0.45">
      <c r="A220" s="691" t="s">
        <v>69</v>
      </c>
      <c r="B220" s="692"/>
      <c r="C220" s="693">
        <f>IFERROR((D$19-C$19)/-C219,0)</f>
        <v>1.7188157329371558</v>
      </c>
      <c r="D220" s="693">
        <f t="shared" ref="D220:L220" si="90">IFERROR((E$19-D$19)/-D219,0)</f>
        <v>1.7188157329371556</v>
      </c>
      <c r="E220" s="693">
        <f t="shared" si="90"/>
        <v>1.7188157329371556</v>
      </c>
      <c r="F220" s="693">
        <f t="shared" si="90"/>
        <v>1.7188157329371558</v>
      </c>
      <c r="G220" s="693">
        <f t="shared" si="90"/>
        <v>1.7188157329371556</v>
      </c>
      <c r="H220" s="693">
        <f t="shared" si="90"/>
        <v>1.7188157329371556</v>
      </c>
      <c r="I220" s="693">
        <f t="shared" si="90"/>
        <v>1.7188157329371556</v>
      </c>
      <c r="J220" s="693">
        <f t="shared" si="90"/>
        <v>1.7188157329371558</v>
      </c>
      <c r="K220" s="693">
        <f t="shared" si="90"/>
        <v>1.7188157329371556</v>
      </c>
      <c r="L220" s="693">
        <f t="shared" si="90"/>
        <v>1.7188157329371556</v>
      </c>
      <c r="M220" s="693"/>
      <c r="Q220" s="439">
        <f t="shared" si="82"/>
        <v>968</v>
      </c>
      <c r="R220" s="596">
        <f t="shared" si="83"/>
        <v>45162</v>
      </c>
      <c r="S220" s="597">
        <f t="shared" si="84"/>
        <v>286.75</v>
      </c>
      <c r="T220" s="526">
        <f t="shared" si="85"/>
        <v>5264.9829099999997</v>
      </c>
      <c r="U220" s="598">
        <v>286.75</v>
      </c>
      <c r="V220" s="598">
        <v>5264.9829099999997</v>
      </c>
      <c r="X220" s="599">
        <v>4376.31495</v>
      </c>
    </row>
    <row r="221" spans="1:24" ht="11.1" customHeight="1" x14ac:dyDescent="0.45">
      <c r="A221" s="690" t="s">
        <v>177</v>
      </c>
      <c r="B221" s="647"/>
      <c r="C221" s="487">
        <v>-16489.999704204194</v>
      </c>
      <c r="D221" s="487">
        <v>-16185.878763259572</v>
      </c>
      <c r="E221" s="487">
        <v>-16559.777340718079</v>
      </c>
      <c r="F221" s="487">
        <v>-16425.722328340704</v>
      </c>
      <c r="G221" s="487">
        <v>-17976.454688401704</v>
      </c>
      <c r="H221" s="487">
        <v>-19673.589794379801</v>
      </c>
      <c r="I221" s="487">
        <v>-21530.949350499453</v>
      </c>
      <c r="J221" s="487">
        <v>-15555.658521336149</v>
      </c>
      <c r="K221" s="487">
        <v>-11454.371721682097</v>
      </c>
      <c r="L221" s="487">
        <v>-11949.200580058781</v>
      </c>
      <c r="M221" s="487">
        <v>-163801.60279288056</v>
      </c>
      <c r="Q221" s="439">
        <f t="shared" ref="Q221:Q284" si="91">Q222+1</f>
        <v>967</v>
      </c>
      <c r="R221" s="596">
        <f t="shared" ref="R221:R284" si="92">R222-1</f>
        <v>45163</v>
      </c>
      <c r="S221" s="597">
        <f t="shared" ref="S221:S284" si="93">IF(U221=U220,#N/A,U221)</f>
        <v>285.5</v>
      </c>
      <c r="T221" s="526">
        <f t="shared" ref="T221:T284" si="94">IF(S221="#NV",#N/A,V221)</f>
        <v>6766.7619800000002</v>
      </c>
      <c r="U221" s="598">
        <v>285.5</v>
      </c>
      <c r="V221" s="598">
        <v>6766.7619800000002</v>
      </c>
      <c r="X221" s="599">
        <v>4405.7057299999997</v>
      </c>
    </row>
    <row r="222" spans="1:24" ht="11.1" customHeight="1" x14ac:dyDescent="0.45">
      <c r="A222" s="584" t="s">
        <v>68</v>
      </c>
      <c r="B222" s="487"/>
      <c r="C222" s="487">
        <f>$N$197*(D19-C19)/($M$19-$C$19)</f>
        <v>0</v>
      </c>
      <c r="D222" s="487">
        <f t="shared" ref="D222:L222" si="95">$N$197*(E19-D19)/($M$19-$C$19)</f>
        <v>0</v>
      </c>
      <c r="E222" s="487">
        <f t="shared" si="95"/>
        <v>0</v>
      </c>
      <c r="F222" s="487">
        <f t="shared" si="95"/>
        <v>0</v>
      </c>
      <c r="G222" s="487">
        <f t="shared" si="95"/>
        <v>0</v>
      </c>
      <c r="H222" s="487">
        <f t="shared" si="95"/>
        <v>0</v>
      </c>
      <c r="I222" s="487">
        <f t="shared" si="95"/>
        <v>0</v>
      </c>
      <c r="J222" s="487">
        <f t="shared" si="95"/>
        <v>0</v>
      </c>
      <c r="K222" s="487">
        <f t="shared" si="95"/>
        <v>0</v>
      </c>
      <c r="L222" s="487">
        <f t="shared" si="95"/>
        <v>0</v>
      </c>
      <c r="M222" s="487">
        <f>SUM(C222:L222)</f>
        <v>0</v>
      </c>
      <c r="Q222" s="439">
        <f t="shared" si="91"/>
        <v>966</v>
      </c>
      <c r="R222" s="596">
        <f t="shared" si="92"/>
        <v>45164</v>
      </c>
      <c r="S222" s="597" t="e">
        <f t="shared" si="93"/>
        <v>#N/A</v>
      </c>
      <c r="T222" s="526" t="e">
        <f t="shared" si="94"/>
        <v>#N/A</v>
      </c>
      <c r="U222" s="598">
        <v>285.5</v>
      </c>
      <c r="V222" s="598">
        <v>0</v>
      </c>
      <c r="X222" s="599">
        <v>4405.7057299999997</v>
      </c>
    </row>
    <row r="223" spans="1:24" ht="11.1" customHeight="1" x14ac:dyDescent="0.45">
      <c r="A223" s="691" t="s">
        <v>69</v>
      </c>
      <c r="B223" s="692"/>
      <c r="C223" s="693">
        <f>IFERROR((D$19-C$19)/-C222,0)</f>
        <v>0</v>
      </c>
      <c r="D223" s="693">
        <f t="shared" ref="D223:L223" si="96">IFERROR((E$19-D$19)/-D222,0)</f>
        <v>0</v>
      </c>
      <c r="E223" s="693">
        <f t="shared" si="96"/>
        <v>0</v>
      </c>
      <c r="F223" s="693">
        <f t="shared" si="96"/>
        <v>0</v>
      </c>
      <c r="G223" s="693">
        <f t="shared" si="96"/>
        <v>0</v>
      </c>
      <c r="H223" s="693">
        <f t="shared" si="96"/>
        <v>0</v>
      </c>
      <c r="I223" s="693">
        <f t="shared" si="96"/>
        <v>0</v>
      </c>
      <c r="J223" s="693">
        <f t="shared" si="96"/>
        <v>0</v>
      </c>
      <c r="K223" s="693">
        <f t="shared" si="96"/>
        <v>0</v>
      </c>
      <c r="L223" s="693">
        <f t="shared" si="96"/>
        <v>0</v>
      </c>
      <c r="M223" s="693"/>
      <c r="Q223" s="439">
        <f t="shared" si="91"/>
        <v>965</v>
      </c>
      <c r="R223" s="596">
        <f t="shared" si="92"/>
        <v>45165</v>
      </c>
      <c r="S223" s="597" t="e">
        <f t="shared" si="93"/>
        <v>#N/A</v>
      </c>
      <c r="T223" s="526" t="e">
        <f t="shared" si="94"/>
        <v>#N/A</v>
      </c>
      <c r="U223" s="598">
        <v>285.5</v>
      </c>
      <c r="V223" s="598">
        <v>0</v>
      </c>
      <c r="X223" s="599">
        <v>4405.7057299999997</v>
      </c>
    </row>
    <row r="224" spans="1:24" ht="11.1" customHeight="1" x14ac:dyDescent="0.45">
      <c r="A224" s="690" t="s">
        <v>178</v>
      </c>
      <c r="B224" s="647"/>
      <c r="C224" s="647"/>
      <c r="D224" s="647"/>
      <c r="E224" s="647"/>
      <c r="F224" s="688"/>
      <c r="G224" s="688"/>
      <c r="H224" s="688"/>
      <c r="I224" s="688"/>
      <c r="J224" s="688"/>
      <c r="K224" s="688"/>
      <c r="L224" s="688"/>
      <c r="M224" s="647"/>
      <c r="Q224" s="439">
        <f t="shared" si="91"/>
        <v>964</v>
      </c>
      <c r="R224" s="596">
        <f t="shared" si="92"/>
        <v>45166</v>
      </c>
      <c r="S224" s="597">
        <f t="shared" si="93"/>
        <v>290.26</v>
      </c>
      <c r="T224" s="526">
        <f t="shared" si="94"/>
        <v>4133.0948600000002</v>
      </c>
      <c r="U224" s="598">
        <v>290.26</v>
      </c>
      <c r="V224" s="598">
        <v>4133.0948600000002</v>
      </c>
      <c r="X224" s="599">
        <v>4433.3056500000002</v>
      </c>
    </row>
    <row r="225" spans="1:24" ht="11.1" customHeight="1" x14ac:dyDescent="0.45">
      <c r="A225" s="584" t="s">
        <v>68</v>
      </c>
      <c r="B225" s="487"/>
      <c r="C225" s="487">
        <f>$N$197*C19/SUM($C$19:$L$19)</f>
        <v>0</v>
      </c>
      <c r="D225" s="487">
        <f t="shared" ref="D225:L225" si="97">$N$197*D19/SUM($C$19:$L$19)</f>
        <v>0</v>
      </c>
      <c r="E225" s="487">
        <f t="shared" si="97"/>
        <v>0</v>
      </c>
      <c r="F225" s="487">
        <f t="shared" si="97"/>
        <v>0</v>
      </c>
      <c r="G225" s="487">
        <f t="shared" si="97"/>
        <v>0</v>
      </c>
      <c r="H225" s="487">
        <f t="shared" si="97"/>
        <v>0</v>
      </c>
      <c r="I225" s="487">
        <f t="shared" si="97"/>
        <v>0</v>
      </c>
      <c r="J225" s="487">
        <f t="shared" si="97"/>
        <v>0</v>
      </c>
      <c r="K225" s="487">
        <f t="shared" si="97"/>
        <v>0</v>
      </c>
      <c r="L225" s="487">
        <f t="shared" si="97"/>
        <v>0</v>
      </c>
      <c r="M225" s="487">
        <f>SUM(C225:L225)</f>
        <v>0</v>
      </c>
      <c r="Q225" s="439">
        <f t="shared" si="91"/>
        <v>963</v>
      </c>
      <c r="R225" s="596">
        <f t="shared" si="92"/>
        <v>45167</v>
      </c>
      <c r="S225" s="597">
        <f t="shared" si="93"/>
        <v>297.99</v>
      </c>
      <c r="T225" s="526">
        <f t="shared" si="94"/>
        <v>6211.4591099999998</v>
      </c>
      <c r="U225" s="598">
        <v>297.99</v>
      </c>
      <c r="V225" s="598">
        <v>6211.4591099999998</v>
      </c>
      <c r="X225" s="599">
        <v>4497.6316699999998</v>
      </c>
    </row>
    <row r="226" spans="1:24" ht="11.1" customHeight="1" x14ac:dyDescent="0.45">
      <c r="A226" s="691" t="s">
        <v>69</v>
      </c>
      <c r="B226" s="692"/>
      <c r="C226" s="693">
        <f>IFERROR((D$19-C$19)/-C225,0)</f>
        <v>0</v>
      </c>
      <c r="D226" s="693">
        <f t="shared" ref="D226:L226" si="98">IFERROR((E$19-D$19)/-D225,0)</f>
        <v>0</v>
      </c>
      <c r="E226" s="693">
        <f t="shared" si="98"/>
        <v>0</v>
      </c>
      <c r="F226" s="693">
        <f t="shared" si="98"/>
        <v>0</v>
      </c>
      <c r="G226" s="693">
        <f t="shared" si="98"/>
        <v>0</v>
      </c>
      <c r="H226" s="693">
        <f t="shared" si="98"/>
        <v>0</v>
      </c>
      <c r="I226" s="693">
        <f t="shared" si="98"/>
        <v>0</v>
      </c>
      <c r="J226" s="693">
        <f t="shared" si="98"/>
        <v>0</v>
      </c>
      <c r="K226" s="693">
        <f t="shared" si="98"/>
        <v>0</v>
      </c>
      <c r="L226" s="693">
        <f t="shared" si="98"/>
        <v>0</v>
      </c>
      <c r="M226" s="693"/>
      <c r="Q226" s="439">
        <f t="shared" si="91"/>
        <v>962</v>
      </c>
      <c r="R226" s="596">
        <f t="shared" si="92"/>
        <v>45168</v>
      </c>
      <c r="S226" s="597">
        <f t="shared" si="93"/>
        <v>295.10000000000002</v>
      </c>
      <c r="T226" s="526">
        <f t="shared" si="94"/>
        <v>5228.29378</v>
      </c>
      <c r="U226" s="598">
        <v>295.10000000000002</v>
      </c>
      <c r="V226" s="598">
        <v>5228.29378</v>
      </c>
      <c r="X226" s="599">
        <v>4514.8652599999996</v>
      </c>
    </row>
    <row r="227" spans="1:24" ht="11.1" customHeight="1" x14ac:dyDescent="0.45">
      <c r="A227" s="429" t="s">
        <v>341</v>
      </c>
      <c r="B227" s="432"/>
      <c r="C227" s="432" t="s">
        <v>33</v>
      </c>
      <c r="D227" s="432" t="s">
        <v>34</v>
      </c>
      <c r="E227" s="432" t="s">
        <v>35</v>
      </c>
      <c r="F227" s="432" t="s">
        <v>36</v>
      </c>
      <c r="G227" s="432" t="s">
        <v>37</v>
      </c>
      <c r="H227" s="432" t="s">
        <v>38</v>
      </c>
      <c r="I227" s="432" t="s">
        <v>39</v>
      </c>
      <c r="J227" s="432" t="s">
        <v>40</v>
      </c>
      <c r="K227" s="432" t="s">
        <v>41</v>
      </c>
      <c r="L227" s="432" t="s">
        <v>42</v>
      </c>
      <c r="M227" s="432" t="s">
        <v>340</v>
      </c>
      <c r="Q227" s="439">
        <f t="shared" si="91"/>
        <v>961</v>
      </c>
      <c r="R227" s="596">
        <f t="shared" si="92"/>
        <v>45169</v>
      </c>
      <c r="S227" s="597">
        <f t="shared" si="93"/>
        <v>295.89</v>
      </c>
      <c r="T227" s="526">
        <f t="shared" si="94"/>
        <v>5098.1447600000001</v>
      </c>
      <c r="U227" s="598">
        <v>295.89</v>
      </c>
      <c r="V227" s="598">
        <v>5098.1447600000001</v>
      </c>
      <c r="X227" s="599">
        <v>4507.6617900000001</v>
      </c>
    </row>
    <row r="228" spans="1:24" ht="11.1" customHeight="1" x14ac:dyDescent="0.45">
      <c r="A228" s="690" t="s">
        <v>342</v>
      </c>
      <c r="B228" s="647"/>
      <c r="C228" s="647"/>
      <c r="D228" s="647"/>
      <c r="E228" s="1008">
        <v>0.35358588984580186</v>
      </c>
      <c r="F228" s="688"/>
      <c r="G228" s="1009" t="str">
        <f>IF(M230=$M$215,"sinnvoll","nicht sinnvoll im vorliegenden Fall")</f>
        <v>nicht sinnvoll im vorliegenden Fall</v>
      </c>
      <c r="H228" s="688"/>
      <c r="I228" s="688"/>
      <c r="J228" s="688"/>
      <c r="K228" s="688"/>
      <c r="L228" s="688"/>
      <c r="M228" s="647"/>
      <c r="Q228" s="439">
        <f t="shared" si="91"/>
        <v>960</v>
      </c>
      <c r="R228" s="596">
        <f t="shared" si="92"/>
        <v>45170</v>
      </c>
      <c r="S228" s="597">
        <f t="shared" si="93"/>
        <v>296.38</v>
      </c>
      <c r="T228" s="526">
        <f t="shared" si="94"/>
        <v>3806.18813</v>
      </c>
      <c r="U228" s="598">
        <v>296.38</v>
      </c>
      <c r="V228" s="598">
        <v>3806.18813</v>
      </c>
      <c r="X228" s="599">
        <v>4515.7673999999997</v>
      </c>
    </row>
    <row r="229" spans="1:24" ht="11.1" customHeight="1" x14ac:dyDescent="0.45">
      <c r="A229" s="584" t="str">
        <f>A$216</f>
        <v>Nettoinvestitionen</v>
      </c>
      <c r="B229" s="487"/>
      <c r="C229" s="487">
        <f>$M229*(D$19-C$19)/($M$19-$C$19)</f>
        <v>-36702.493744934567</v>
      </c>
      <c r="D229" s="487">
        <f t="shared" ref="D229:L229" si="99">$M229*(E$19-D$19)/($M$19-$C$19)</f>
        <v>-36025.598830868694</v>
      </c>
      <c r="E229" s="487">
        <f t="shared" si="99"/>
        <v>-36857.800798520162</v>
      </c>
      <c r="F229" s="487">
        <f t="shared" si="99"/>
        <v>-36559.428855432532</v>
      </c>
      <c r="G229" s="487">
        <f t="shared" si="99"/>
        <v>-40010.959829729371</v>
      </c>
      <c r="H229" s="487">
        <f t="shared" si="99"/>
        <v>-43788.345622864901</v>
      </c>
      <c r="I229" s="487">
        <f t="shared" si="99"/>
        <v>-47922.349789838649</v>
      </c>
      <c r="J229" s="487">
        <f t="shared" si="99"/>
        <v>-34622.890831957797</v>
      </c>
      <c r="K229" s="487">
        <f t="shared" si="99"/>
        <v>-25494.482353447755</v>
      </c>
      <c r="L229" s="487">
        <f t="shared" si="99"/>
        <v>-26595.843991116737</v>
      </c>
      <c r="M229" s="487">
        <f>(SUM($C$26:$L$26)-SUM($C$23:$L$23))*-$E228</f>
        <v>-364580.19464871113</v>
      </c>
      <c r="Q229" s="439">
        <f t="shared" si="91"/>
        <v>959</v>
      </c>
      <c r="R229" s="596">
        <f t="shared" si="92"/>
        <v>45171</v>
      </c>
      <c r="S229" s="597" t="e">
        <f t="shared" si="93"/>
        <v>#N/A</v>
      </c>
      <c r="T229" s="526" t="e">
        <f t="shared" si="94"/>
        <v>#N/A</v>
      </c>
      <c r="U229" s="598">
        <v>296.38</v>
      </c>
      <c r="V229" s="598">
        <v>0</v>
      </c>
      <c r="X229" s="599">
        <v>4515.7673999999997</v>
      </c>
    </row>
    <row r="230" spans="1:24" ht="11.1" customHeight="1" x14ac:dyDescent="0.45">
      <c r="A230" s="584" t="str">
        <f>A$216</f>
        <v>Nettoinvestitionen</v>
      </c>
      <c r="B230" s="487"/>
      <c r="C230" s="487">
        <v>-36702.493744934582</v>
      </c>
      <c r="D230" s="487">
        <v>-36025.598830868708</v>
      </c>
      <c r="E230" s="487">
        <v>-36857.800798520169</v>
      </c>
      <c r="F230" s="487">
        <v>-36559.428855432539</v>
      </c>
      <c r="G230" s="487">
        <v>-40010.959829729392</v>
      </c>
      <c r="H230" s="487">
        <v>-43788.345622864916</v>
      </c>
      <c r="I230" s="487">
        <v>-47922.349789838663</v>
      </c>
      <c r="J230" s="487">
        <v>-34622.890831957804</v>
      </c>
      <c r="K230" s="487">
        <v>-25494.482353447765</v>
      </c>
      <c r="L230" s="487">
        <v>-26595.843991116748</v>
      </c>
      <c r="M230" s="487">
        <f>SUM(C230:L230)</f>
        <v>-364580.19464871124</v>
      </c>
      <c r="Q230" s="439">
        <f t="shared" si="91"/>
        <v>958</v>
      </c>
      <c r="R230" s="596">
        <f t="shared" si="92"/>
        <v>45172</v>
      </c>
      <c r="S230" s="597" t="e">
        <f t="shared" si="93"/>
        <v>#N/A</v>
      </c>
      <c r="T230" s="526" t="e">
        <f t="shared" si="94"/>
        <v>#N/A</v>
      </c>
      <c r="U230" s="598">
        <v>296.38</v>
      </c>
      <c r="V230" s="598">
        <v>0</v>
      </c>
      <c r="X230" s="599">
        <v>4515.7673999999997</v>
      </c>
    </row>
    <row r="231" spans="1:24" ht="11.1" customHeight="1" x14ac:dyDescent="0.45">
      <c r="A231" s="691" t="str">
        <f>A$217</f>
        <v>Umsatzzuwachs/Reinvest</v>
      </c>
      <c r="B231" s="692"/>
      <c r="C231" s="693">
        <f t="shared" ref="C231:L231" si="100">IFERROR((D$19-C$19)/-C230,0)</f>
        <v>0.90349269535878707</v>
      </c>
      <c r="D231" s="693">
        <f t="shared" si="100"/>
        <v>0.90349269535878707</v>
      </c>
      <c r="E231" s="693">
        <f t="shared" si="100"/>
        <v>0.90349269535878718</v>
      </c>
      <c r="F231" s="693">
        <f t="shared" si="100"/>
        <v>0.90349269535878707</v>
      </c>
      <c r="G231" s="693">
        <f t="shared" si="100"/>
        <v>0.90349269535878707</v>
      </c>
      <c r="H231" s="693">
        <f t="shared" si="100"/>
        <v>0.90349269535878718</v>
      </c>
      <c r="I231" s="693">
        <f t="shared" si="100"/>
        <v>0.90349269535878718</v>
      </c>
      <c r="J231" s="693">
        <f t="shared" si="100"/>
        <v>0.90349269535878718</v>
      </c>
      <c r="K231" s="693">
        <f t="shared" si="100"/>
        <v>0.90349269535878718</v>
      </c>
      <c r="L231" s="693">
        <f t="shared" si="100"/>
        <v>0.90349269535878718</v>
      </c>
      <c r="M231" s="693"/>
      <c r="Q231" s="439">
        <f t="shared" si="91"/>
        <v>957</v>
      </c>
      <c r="R231" s="596">
        <f t="shared" si="92"/>
        <v>45173</v>
      </c>
      <c r="S231" s="597" t="e">
        <f t="shared" si="93"/>
        <v>#N/A</v>
      </c>
      <c r="T231" s="526" t="e">
        <f t="shared" si="94"/>
        <v>#N/A</v>
      </c>
      <c r="U231" s="598">
        <v>296.38</v>
      </c>
      <c r="V231" s="598">
        <v>0</v>
      </c>
      <c r="X231" s="599">
        <v>4515.7673999999997</v>
      </c>
    </row>
    <row r="232" spans="1:24" ht="11.1" customHeight="1" x14ac:dyDescent="0.45">
      <c r="A232" s="690" t="s">
        <v>343</v>
      </c>
      <c r="B232" s="647"/>
      <c r="C232" s="647"/>
      <c r="D232" s="647"/>
      <c r="E232" s="647"/>
      <c r="F232" s="1008">
        <v>0.67186359599568923</v>
      </c>
      <c r="G232" s="1009" t="str">
        <f>IF(M234=$M$215,"sinnvoll","nicht sinnvoll im vorliegenden Fall")</f>
        <v>nicht sinnvoll im vorliegenden Fall</v>
      </c>
      <c r="H232" s="688"/>
      <c r="I232" s="688"/>
      <c r="J232" s="688"/>
      <c r="K232" s="688"/>
      <c r="L232" s="688"/>
      <c r="M232" s="647"/>
      <c r="Q232" s="439">
        <f t="shared" si="91"/>
        <v>956</v>
      </c>
      <c r="R232" s="596">
        <f t="shared" si="92"/>
        <v>45174</v>
      </c>
      <c r="S232" s="597">
        <f t="shared" si="93"/>
        <v>300.14999999999998</v>
      </c>
      <c r="T232" s="526">
        <f t="shared" si="94"/>
        <v>4489.0401000000002</v>
      </c>
      <c r="U232" s="598">
        <v>300.14999999999998</v>
      </c>
      <c r="V232" s="598">
        <v>4489.0401000000002</v>
      </c>
      <c r="X232" s="599">
        <v>4496.8272800000004</v>
      </c>
    </row>
    <row r="233" spans="1:24" ht="11.1" customHeight="1" x14ac:dyDescent="0.45">
      <c r="A233" s="584" t="str">
        <f>A$216</f>
        <v>Nettoinvestitionen</v>
      </c>
      <c r="B233" s="487"/>
      <c r="C233" s="487">
        <f t="shared" ref="C233:L233" si="101">$M233*(D$19-C$19)/($M$19-$C$19)</f>
        <v>-69739.970224023375</v>
      </c>
      <c r="D233" s="487">
        <f t="shared" si="101"/>
        <v>-68453.773392826799</v>
      </c>
      <c r="E233" s="487">
        <f t="shared" si="101"/>
        <v>-70035.075765568065</v>
      </c>
      <c r="F233" s="487">
        <f t="shared" si="101"/>
        <v>-69468.126539413992</v>
      </c>
      <c r="G233" s="487">
        <f t="shared" si="101"/>
        <v>-76026.527422132698</v>
      </c>
      <c r="H233" s="487">
        <f t="shared" si="101"/>
        <v>-83204.098912742324</v>
      </c>
      <c r="I233" s="487">
        <f t="shared" si="101"/>
        <v>-91059.296151227725</v>
      </c>
      <c r="J233" s="487">
        <f t="shared" si="101"/>
        <v>-65788.428232443883</v>
      </c>
      <c r="K233" s="487">
        <f t="shared" si="101"/>
        <v>-48443.150826821446</v>
      </c>
      <c r="L233" s="487">
        <f t="shared" si="101"/>
        <v>-50535.894942540202</v>
      </c>
      <c r="M233" s="487">
        <f>(SUM($C$26:$L$26)-SUM($C$23:$L$23))*-$F232</f>
        <v>-692754.34240974043</v>
      </c>
      <c r="Q233" s="439">
        <f t="shared" si="91"/>
        <v>955</v>
      </c>
      <c r="R233" s="596">
        <f t="shared" si="92"/>
        <v>45175</v>
      </c>
      <c r="S233" s="597">
        <f t="shared" si="93"/>
        <v>299.17</v>
      </c>
      <c r="T233" s="526">
        <f t="shared" si="94"/>
        <v>4612.63058</v>
      </c>
      <c r="U233" s="598">
        <v>299.17</v>
      </c>
      <c r="V233" s="598">
        <v>4612.63058</v>
      </c>
      <c r="X233" s="599">
        <v>4465.4847600000003</v>
      </c>
    </row>
    <row r="234" spans="1:24" ht="11.1" customHeight="1" x14ac:dyDescent="0.45">
      <c r="A234" s="584" t="str">
        <f>A$216</f>
        <v>Nettoinvestitionen</v>
      </c>
      <c r="B234" s="487"/>
      <c r="C234" s="487">
        <v>-69739.970224023389</v>
      </c>
      <c r="D234" s="487">
        <v>-68453.773392826828</v>
      </c>
      <c r="E234" s="487">
        <v>-70035.075765568094</v>
      </c>
      <c r="F234" s="487">
        <v>-69468.126539414021</v>
      </c>
      <c r="G234" s="487">
        <v>-76026.527422132727</v>
      </c>
      <c r="H234" s="487">
        <v>-83204.098912742353</v>
      </c>
      <c r="I234" s="487">
        <v>-91059.296151227754</v>
      </c>
      <c r="J234" s="487">
        <v>-65788.428232443897</v>
      </c>
      <c r="K234" s="487">
        <v>-48443.150826821453</v>
      </c>
      <c r="L234" s="487">
        <v>-50535.894942540217</v>
      </c>
      <c r="M234" s="487">
        <f>SUM(C234:L234)</f>
        <v>-692754.34240974067</v>
      </c>
      <c r="Q234" s="439">
        <f t="shared" si="91"/>
        <v>954</v>
      </c>
      <c r="R234" s="596">
        <f t="shared" si="92"/>
        <v>45176</v>
      </c>
      <c r="S234" s="597">
        <f t="shared" si="93"/>
        <v>298.67</v>
      </c>
      <c r="T234" s="526">
        <f t="shared" si="94"/>
        <v>10079.735280000001</v>
      </c>
      <c r="U234" s="598">
        <v>298.67</v>
      </c>
      <c r="V234" s="598">
        <v>10079.735280000001</v>
      </c>
      <c r="X234" s="599">
        <v>4451.1379800000004</v>
      </c>
    </row>
    <row r="235" spans="1:24" ht="11.1" customHeight="1" x14ac:dyDescent="0.45">
      <c r="A235" s="691" t="str">
        <f>A$217</f>
        <v>Umsatzzuwachs/Reinvest</v>
      </c>
      <c r="B235" s="692"/>
      <c r="C235" s="693">
        <f t="shared" ref="C235:L235" si="102">IFERROR((D$19-C$19)/-C234,0)</f>
        <v>0.4754867960723213</v>
      </c>
      <c r="D235" s="693">
        <f t="shared" si="102"/>
        <v>0.47548679607232119</v>
      </c>
      <c r="E235" s="693">
        <f t="shared" si="102"/>
        <v>0.4754867960723213</v>
      </c>
      <c r="F235" s="693">
        <f t="shared" si="102"/>
        <v>0.47548679607232125</v>
      </c>
      <c r="G235" s="693">
        <f t="shared" si="102"/>
        <v>0.47548679607232125</v>
      </c>
      <c r="H235" s="693">
        <f t="shared" si="102"/>
        <v>0.4754867960723213</v>
      </c>
      <c r="I235" s="693">
        <f t="shared" si="102"/>
        <v>0.47548679607232125</v>
      </c>
      <c r="J235" s="693">
        <f t="shared" si="102"/>
        <v>0.4754867960723213</v>
      </c>
      <c r="K235" s="693">
        <f t="shared" si="102"/>
        <v>0.4754867960723213</v>
      </c>
      <c r="L235" s="693">
        <f t="shared" si="102"/>
        <v>0.4754867960723213</v>
      </c>
      <c r="M235" s="693"/>
      <c r="Q235" s="439">
        <f t="shared" si="91"/>
        <v>953</v>
      </c>
      <c r="R235" s="596">
        <f t="shared" si="92"/>
        <v>45177</v>
      </c>
      <c r="S235" s="597">
        <f t="shared" si="93"/>
        <v>297.89</v>
      </c>
      <c r="T235" s="526">
        <f t="shared" si="94"/>
        <v>5234.5835500000003</v>
      </c>
      <c r="U235" s="598">
        <v>297.89</v>
      </c>
      <c r="V235" s="598">
        <v>5234.5835500000003</v>
      </c>
      <c r="X235" s="599">
        <v>4457.4893099999999</v>
      </c>
    </row>
    <row r="236" spans="1:24" ht="11.1" customHeight="1" x14ac:dyDescent="0.45">
      <c r="A236" s="690" t="s">
        <v>344</v>
      </c>
      <c r="B236" s="647"/>
      <c r="C236" s="647"/>
      <c r="D236" s="647"/>
      <c r="E236" s="647"/>
      <c r="F236" s="1008">
        <v>0.69259770091895412</v>
      </c>
      <c r="G236" s="1009" t="str">
        <f>IF(M238=$M$215,"sinnvoll","nicht sinnvoll im vorliegenden Fall")</f>
        <v>nicht sinnvoll im vorliegenden Fall</v>
      </c>
      <c r="H236" s="688"/>
      <c r="I236" s="688"/>
      <c r="J236" s="688"/>
      <c r="K236" s="688"/>
      <c r="L236" s="688"/>
      <c r="M236" s="647"/>
      <c r="Q236" s="439">
        <f t="shared" si="91"/>
        <v>952</v>
      </c>
      <c r="R236" s="596">
        <f t="shared" si="92"/>
        <v>45178</v>
      </c>
      <c r="S236" s="597" t="e">
        <f t="shared" si="93"/>
        <v>#N/A</v>
      </c>
      <c r="T236" s="526" t="e">
        <f t="shared" si="94"/>
        <v>#N/A</v>
      </c>
      <c r="U236" s="598">
        <v>297.89</v>
      </c>
      <c r="V236" s="598">
        <v>0</v>
      </c>
      <c r="X236" s="599">
        <v>4457.4893099999999</v>
      </c>
    </row>
    <row r="237" spans="1:24" ht="11.1" customHeight="1" x14ac:dyDescent="0.45">
      <c r="A237" s="584" t="str">
        <f>A$216</f>
        <v>Nettoinvestitionen</v>
      </c>
      <c r="B237" s="487"/>
      <c r="C237" s="487">
        <f t="shared" ref="C237:L237" si="103">$M237*(D$19-C$19)/($M$19-$C$19)</f>
        <v>-71892.186639064181</v>
      </c>
      <c r="D237" s="487">
        <f t="shared" si="103"/>
        <v>-70566.297018722689</v>
      </c>
      <c r="E237" s="487">
        <f t="shared" si="103"/>
        <v>-72196.399310833367</v>
      </c>
      <c r="F237" s="487">
        <f t="shared" si="103"/>
        <v>-71611.953698788901</v>
      </c>
      <c r="G237" s="487">
        <f t="shared" si="103"/>
        <v>-78372.750682206592</v>
      </c>
      <c r="H237" s="487">
        <f t="shared" si="103"/>
        <v>-85771.826241897361</v>
      </c>
      <c r="I237" s="487">
        <f t="shared" si="103"/>
        <v>-93869.439477776279</v>
      </c>
      <c r="J237" s="487">
        <f t="shared" si="103"/>
        <v>-67818.697742264034</v>
      </c>
      <c r="K237" s="487">
        <f t="shared" si="103"/>
        <v>-49938.134895080599</v>
      </c>
      <c r="L237" s="487">
        <f t="shared" si="103"/>
        <v>-52095.462322548155</v>
      </c>
      <c r="M237" s="487">
        <f>(SUM($C$26:$L$26)-SUM($C$23:$L$23))*-$F236</f>
        <v>-714133.14802918211</v>
      </c>
      <c r="Q237" s="439">
        <f t="shared" si="91"/>
        <v>951</v>
      </c>
      <c r="R237" s="596">
        <f t="shared" si="92"/>
        <v>45179</v>
      </c>
      <c r="S237" s="597" t="e">
        <f t="shared" si="93"/>
        <v>#N/A</v>
      </c>
      <c r="T237" s="526" t="e">
        <f t="shared" si="94"/>
        <v>#N/A</v>
      </c>
      <c r="U237" s="598">
        <v>297.89</v>
      </c>
      <c r="V237" s="598">
        <v>0</v>
      </c>
      <c r="X237" s="599">
        <v>4457.4893099999999</v>
      </c>
    </row>
    <row r="238" spans="1:24" ht="11.1" customHeight="1" x14ac:dyDescent="0.45">
      <c r="A238" s="584" t="str">
        <f>A$216</f>
        <v>Nettoinvestitionen</v>
      </c>
      <c r="B238" s="487"/>
      <c r="C238" s="487">
        <v>-71892.186639064195</v>
      </c>
      <c r="D238" s="487">
        <v>-70566.297018722718</v>
      </c>
      <c r="E238" s="487">
        <v>-72196.399310833396</v>
      </c>
      <c r="F238" s="487">
        <v>-71611.95369878893</v>
      </c>
      <c r="G238" s="487">
        <v>-78372.750682206606</v>
      </c>
      <c r="H238" s="487">
        <v>-85771.82624189739</v>
      </c>
      <c r="I238" s="487">
        <v>-93869.439477776323</v>
      </c>
      <c r="J238" s="487">
        <v>-67818.697742264048</v>
      </c>
      <c r="K238" s="487">
        <v>-49938.134895080613</v>
      </c>
      <c r="L238" s="487">
        <v>-52095.46232254817</v>
      </c>
      <c r="M238" s="487">
        <f>SUM(C238:L238)</f>
        <v>-714133.14802918222</v>
      </c>
      <c r="Q238" s="439">
        <f t="shared" si="91"/>
        <v>950</v>
      </c>
      <c r="R238" s="596">
        <f t="shared" si="92"/>
        <v>45180</v>
      </c>
      <c r="S238" s="597">
        <f t="shared" si="93"/>
        <v>307.56</v>
      </c>
      <c r="T238" s="526">
        <f t="shared" si="94"/>
        <v>5994.1383400000004</v>
      </c>
      <c r="U238" s="598">
        <v>307.56</v>
      </c>
      <c r="V238" s="598">
        <v>5994.1383400000004</v>
      </c>
      <c r="X238" s="599">
        <v>4487.4638599999998</v>
      </c>
    </row>
    <row r="239" spans="1:24" ht="11.1" customHeight="1" x14ac:dyDescent="0.45">
      <c r="A239" s="691" t="str">
        <f>A$217</f>
        <v>Umsatzzuwachs/Reinvest</v>
      </c>
      <c r="B239" s="692"/>
      <c r="C239" s="693">
        <f t="shared" ref="C239:L239" si="104">IFERROR((D$19-C$19)/-C238,0)</f>
        <v>0.46125227997977625</v>
      </c>
      <c r="D239" s="693">
        <f t="shared" si="104"/>
        <v>0.46125227997977619</v>
      </c>
      <c r="E239" s="693">
        <f t="shared" si="104"/>
        <v>0.46125227997977619</v>
      </c>
      <c r="F239" s="693">
        <f t="shared" si="104"/>
        <v>0.46125227997977619</v>
      </c>
      <c r="G239" s="693">
        <f t="shared" si="104"/>
        <v>0.4612522799797763</v>
      </c>
      <c r="H239" s="693">
        <f t="shared" si="104"/>
        <v>0.46125227997977619</v>
      </c>
      <c r="I239" s="693">
        <f t="shared" si="104"/>
        <v>0.46125227997977619</v>
      </c>
      <c r="J239" s="693">
        <f t="shared" si="104"/>
        <v>0.46125227997977625</v>
      </c>
      <c r="K239" s="693">
        <f t="shared" si="104"/>
        <v>0.46125227997977625</v>
      </c>
      <c r="L239" s="693">
        <f t="shared" si="104"/>
        <v>0.46125227997977625</v>
      </c>
      <c r="M239" s="693"/>
      <c r="Q239" s="439">
        <f t="shared" si="91"/>
        <v>949</v>
      </c>
      <c r="R239" s="596">
        <f t="shared" si="92"/>
        <v>45181</v>
      </c>
      <c r="S239" s="597">
        <f t="shared" si="93"/>
        <v>301.66000000000003</v>
      </c>
      <c r="T239" s="526">
        <f t="shared" si="94"/>
        <v>4066.49746</v>
      </c>
      <c r="U239" s="598">
        <v>301.66000000000003</v>
      </c>
      <c r="V239" s="598">
        <v>4066.49746</v>
      </c>
      <c r="X239" s="599">
        <v>4461.9049199999999</v>
      </c>
    </row>
    <row r="240" spans="1:24" ht="11.1" customHeight="1" x14ac:dyDescent="0.45">
      <c r="Q240" s="439">
        <f t="shared" si="91"/>
        <v>948</v>
      </c>
      <c r="R240" s="596">
        <f t="shared" si="92"/>
        <v>45182</v>
      </c>
      <c r="S240" s="597">
        <f t="shared" si="93"/>
        <v>305.06</v>
      </c>
      <c r="T240" s="526">
        <f t="shared" si="94"/>
        <v>4030.1217299999998</v>
      </c>
      <c r="U240" s="598">
        <v>305.06</v>
      </c>
      <c r="V240" s="598">
        <v>4030.1217299999998</v>
      </c>
      <c r="X240" s="599">
        <v>4467.44193</v>
      </c>
    </row>
    <row r="241" spans="1:24" ht="11.1" customHeight="1" x14ac:dyDescent="0.45">
      <c r="Q241" s="439">
        <f t="shared" si="91"/>
        <v>947</v>
      </c>
      <c r="R241" s="596">
        <f t="shared" si="92"/>
        <v>45183</v>
      </c>
      <c r="S241" s="597">
        <f t="shared" si="93"/>
        <v>311.72000000000003</v>
      </c>
      <c r="T241" s="526">
        <f t="shared" si="94"/>
        <v>6029.6317600000002</v>
      </c>
      <c r="U241" s="598">
        <v>311.72000000000003</v>
      </c>
      <c r="V241" s="598">
        <v>6029.6317600000002</v>
      </c>
      <c r="X241" s="599">
        <v>4505.0962799999998</v>
      </c>
    </row>
    <row r="242" spans="1:24" ht="11.1" customHeight="1" x14ac:dyDescent="0.45">
      <c r="A242" s="657" t="s">
        <v>188</v>
      </c>
      <c r="B242" s="671"/>
      <c r="C242" s="671"/>
      <c r="D242" s="671"/>
      <c r="E242" s="671"/>
      <c r="F242" s="671"/>
      <c r="G242" s="679"/>
      <c r="H242" s="671"/>
      <c r="I242" s="585"/>
      <c r="J242" s="585"/>
      <c r="K242" s="585"/>
      <c r="L242" s="585"/>
      <c r="M242" s="585"/>
      <c r="Q242" s="439">
        <f t="shared" si="91"/>
        <v>946</v>
      </c>
      <c r="R242" s="596">
        <f t="shared" si="92"/>
        <v>45184</v>
      </c>
      <c r="S242" s="597">
        <f t="shared" si="93"/>
        <v>300.31</v>
      </c>
      <c r="T242" s="526">
        <f t="shared" si="94"/>
        <v>8448.0626499999998</v>
      </c>
      <c r="U242" s="598">
        <v>300.31</v>
      </c>
      <c r="V242" s="598">
        <v>8448.0626499999998</v>
      </c>
      <c r="X242" s="599">
        <v>4450.31628</v>
      </c>
    </row>
    <row r="243" spans="1:24" ht="11.1" customHeight="1" x14ac:dyDescent="0.45">
      <c r="A243" s="657" t="s">
        <v>174</v>
      </c>
      <c r="B243" s="585"/>
      <c r="C243" s="585"/>
      <c r="D243" s="585"/>
      <c r="E243" s="585"/>
      <c r="F243" s="585"/>
      <c r="G243" s="585"/>
      <c r="H243" s="585"/>
      <c r="I243" s="585"/>
      <c r="J243" s="585"/>
      <c r="K243" s="585"/>
      <c r="L243" s="585"/>
      <c r="M243" s="585"/>
      <c r="Q243" s="439">
        <f t="shared" si="91"/>
        <v>945</v>
      </c>
      <c r="R243" s="596">
        <f t="shared" si="92"/>
        <v>45185</v>
      </c>
      <c r="S243" s="597" t="e">
        <f t="shared" si="93"/>
        <v>#N/A</v>
      </c>
      <c r="T243" s="526" t="e">
        <f t="shared" si="94"/>
        <v>#N/A</v>
      </c>
      <c r="U243" s="598">
        <v>300.31</v>
      </c>
      <c r="V243" s="598">
        <v>0</v>
      </c>
      <c r="X243" s="599">
        <v>4450.31628</v>
      </c>
    </row>
    <row r="244" spans="1:24" ht="11.1" customHeight="1" x14ac:dyDescent="0.45">
      <c r="A244" s="657" t="s">
        <v>189</v>
      </c>
      <c r="B244" s="585"/>
      <c r="C244" s="585"/>
      <c r="D244" s="585"/>
      <c r="E244" s="585"/>
      <c r="F244" s="585"/>
      <c r="G244" s="585"/>
      <c r="H244" s="585"/>
      <c r="I244" s="585"/>
      <c r="J244" s="585"/>
      <c r="K244" s="585"/>
      <c r="L244" s="585"/>
      <c r="M244" s="585"/>
      <c r="Q244" s="439">
        <f t="shared" si="91"/>
        <v>944</v>
      </c>
      <c r="R244" s="596">
        <f t="shared" si="92"/>
        <v>45186</v>
      </c>
      <c r="S244" s="597" t="e">
        <f t="shared" si="93"/>
        <v>#N/A</v>
      </c>
      <c r="T244" s="526" t="e">
        <f t="shared" si="94"/>
        <v>#N/A</v>
      </c>
      <c r="U244" s="598">
        <v>300.31</v>
      </c>
      <c r="V244" s="598">
        <v>0</v>
      </c>
      <c r="X244" s="599">
        <v>4450.31628</v>
      </c>
    </row>
    <row r="245" spans="1:24" ht="11.1" customHeight="1" x14ac:dyDescent="0.45">
      <c r="A245" s="585"/>
      <c r="B245" s="585"/>
      <c r="C245" s="585"/>
      <c r="D245" s="585"/>
      <c r="E245" s="585"/>
      <c r="F245" s="585"/>
      <c r="G245" s="585"/>
      <c r="H245" s="585"/>
      <c r="I245" s="585"/>
      <c r="J245" s="585"/>
      <c r="K245" s="585"/>
      <c r="L245" s="585"/>
      <c r="M245" s="585"/>
      <c r="Q245" s="439">
        <f t="shared" si="91"/>
        <v>943</v>
      </c>
      <c r="R245" s="596">
        <f t="shared" si="92"/>
        <v>45187</v>
      </c>
      <c r="S245" s="597">
        <f t="shared" si="93"/>
        <v>302.55</v>
      </c>
      <c r="T245" s="526">
        <f t="shared" si="94"/>
        <v>4306.5445</v>
      </c>
      <c r="U245" s="598">
        <v>302.55</v>
      </c>
      <c r="V245" s="598">
        <v>4306.5445</v>
      </c>
      <c r="X245" s="599">
        <v>4453.5338000000002</v>
      </c>
    </row>
    <row r="246" spans="1:24" ht="11.1" customHeight="1" x14ac:dyDescent="0.45">
      <c r="A246" s="585"/>
      <c r="B246" s="585"/>
      <c r="C246" s="592" t="s">
        <v>136</v>
      </c>
      <c r="D246" s="139"/>
      <c r="E246" s="139"/>
      <c r="F246" s="139"/>
      <c r="G246" s="139"/>
      <c r="H246" s="671"/>
      <c r="I246" s="585"/>
      <c r="J246" s="585"/>
      <c r="K246" s="585"/>
      <c r="L246" s="585"/>
      <c r="M246" s="585"/>
      <c r="Q246" s="439">
        <f t="shared" si="91"/>
        <v>942</v>
      </c>
      <c r="R246" s="596">
        <f t="shared" si="92"/>
        <v>45188</v>
      </c>
      <c r="S246" s="597">
        <f t="shared" si="93"/>
        <v>305.07</v>
      </c>
      <c r="T246" s="526">
        <f t="shared" si="94"/>
        <v>4860.2587000000003</v>
      </c>
      <c r="U246" s="598">
        <v>305.07</v>
      </c>
      <c r="V246" s="598">
        <v>4860.2587000000003</v>
      </c>
      <c r="X246" s="599">
        <v>4443.9475000000002</v>
      </c>
    </row>
    <row r="247" spans="1:24" ht="11.1" customHeight="1" x14ac:dyDescent="0.45">
      <c r="A247" s="585"/>
      <c r="B247" s="585"/>
      <c r="C247" s="183" t="s">
        <v>33</v>
      </c>
      <c r="D247" s="183" t="s">
        <v>34</v>
      </c>
      <c r="E247" s="183" t="s">
        <v>35</v>
      </c>
      <c r="F247" s="183" t="s">
        <v>36</v>
      </c>
      <c r="G247" s="183" t="s">
        <v>37</v>
      </c>
      <c r="H247" s="671"/>
      <c r="I247" s="585"/>
      <c r="J247" s="585"/>
      <c r="K247" s="585"/>
      <c r="L247" s="585"/>
      <c r="M247" s="585"/>
      <c r="Q247" s="439">
        <f t="shared" si="91"/>
        <v>941</v>
      </c>
      <c r="R247" s="596">
        <f t="shared" si="92"/>
        <v>45189</v>
      </c>
      <c r="S247" s="597">
        <f t="shared" si="93"/>
        <v>299.67</v>
      </c>
      <c r="T247" s="526">
        <f t="shared" si="94"/>
        <v>5807.4592599999996</v>
      </c>
      <c r="U247" s="598">
        <v>299.67</v>
      </c>
      <c r="V247" s="598">
        <v>5807.4592599999996</v>
      </c>
      <c r="X247" s="599">
        <v>4402.2035400000004</v>
      </c>
    </row>
    <row r="248" spans="1:24" ht="11.1" customHeight="1" x14ac:dyDescent="0.45">
      <c r="A248" s="585"/>
      <c r="B248" s="585"/>
      <c r="C248" s="694">
        <v>-62961.024085475881</v>
      </c>
      <c r="D248" s="694">
        <v>-69471.685815684832</v>
      </c>
      <c r="E248" s="694">
        <v>-63454.550622434559</v>
      </c>
      <c r="F248" s="694">
        <v>-50855.290879811721</v>
      </c>
      <c r="G248" s="694">
        <v>-50172.532614824369</v>
      </c>
      <c r="H248" s="671"/>
      <c r="I248" s="585"/>
      <c r="J248" s="585"/>
      <c r="K248" s="585"/>
      <c r="L248" s="585"/>
      <c r="M248" s="585"/>
      <c r="Q248" s="439">
        <f t="shared" si="91"/>
        <v>940</v>
      </c>
      <c r="R248" s="596">
        <f t="shared" si="92"/>
        <v>45190</v>
      </c>
      <c r="S248" s="597">
        <f t="shared" si="93"/>
        <v>295.73</v>
      </c>
      <c r="T248" s="526">
        <f t="shared" si="94"/>
        <v>6304.8399900000004</v>
      </c>
      <c r="U248" s="598">
        <v>295.73</v>
      </c>
      <c r="V248" s="598">
        <v>6304.8399900000004</v>
      </c>
      <c r="X248" s="599">
        <v>4330.0048500000003</v>
      </c>
    </row>
    <row r="249" spans="1:24" ht="11.1" customHeight="1" x14ac:dyDescent="0.45">
      <c r="A249" s="585"/>
      <c r="B249" s="585"/>
      <c r="C249" s="1010" t="str">
        <f>IF(C215=C248,"berücksichtigt",0)</f>
        <v>berücksichtigt</v>
      </c>
      <c r="D249" s="1010" t="str">
        <f>IF(D215=D248,"berücksichtigt",0)</f>
        <v>berücksichtigt</v>
      </c>
      <c r="E249" s="1010" t="str">
        <f>IF(E215=E248,"berücksichtigt",0)</f>
        <v>berücksichtigt</v>
      </c>
      <c r="F249" s="1010" t="str">
        <f>IF(F215=F248,"berücksichtigt",0)</f>
        <v>berücksichtigt</v>
      </c>
      <c r="G249" s="1010" t="str">
        <f>IF(G215=G248,"berücksichtigt",0)</f>
        <v>berücksichtigt</v>
      </c>
      <c r="H249" s="585"/>
      <c r="I249" s="585"/>
      <c r="J249" s="585"/>
      <c r="K249" s="585"/>
      <c r="L249" s="585"/>
      <c r="M249" s="585"/>
      <c r="Q249" s="439">
        <f t="shared" si="91"/>
        <v>939</v>
      </c>
      <c r="R249" s="596">
        <f t="shared" si="92"/>
        <v>45191</v>
      </c>
      <c r="S249" s="597">
        <f t="shared" si="93"/>
        <v>299.08</v>
      </c>
      <c r="T249" s="526">
        <f t="shared" si="94"/>
        <v>7587.5375800000002</v>
      </c>
      <c r="U249" s="598">
        <v>299.08</v>
      </c>
      <c r="V249" s="598">
        <v>7587.5375800000002</v>
      </c>
      <c r="X249" s="599">
        <v>4320.0571300000001</v>
      </c>
    </row>
    <row r="250" spans="1:24" ht="11.1" customHeight="1" x14ac:dyDescent="0.45">
      <c r="Q250" s="439">
        <f t="shared" si="91"/>
        <v>938</v>
      </c>
      <c r="R250" s="596">
        <f t="shared" si="92"/>
        <v>45192</v>
      </c>
      <c r="S250" s="597" t="e">
        <f t="shared" si="93"/>
        <v>#N/A</v>
      </c>
      <c r="T250" s="526" t="e">
        <f t="shared" si="94"/>
        <v>#N/A</v>
      </c>
      <c r="U250" s="598">
        <v>299.08</v>
      </c>
      <c r="V250" s="598">
        <v>0</v>
      </c>
      <c r="X250" s="599">
        <v>4320.0571300000001</v>
      </c>
    </row>
    <row r="251" spans="1:24" ht="11.1" customHeight="1" x14ac:dyDescent="0.45">
      <c r="Q251" s="439">
        <f t="shared" si="91"/>
        <v>937</v>
      </c>
      <c r="R251" s="596">
        <f t="shared" si="92"/>
        <v>45193</v>
      </c>
      <c r="S251" s="597" t="e">
        <f t="shared" si="93"/>
        <v>#N/A</v>
      </c>
      <c r="T251" s="526" t="e">
        <f t="shared" si="94"/>
        <v>#N/A</v>
      </c>
      <c r="U251" s="598">
        <v>299.08</v>
      </c>
      <c r="V251" s="598">
        <v>0</v>
      </c>
      <c r="X251" s="599">
        <v>4320.0571300000001</v>
      </c>
    </row>
    <row r="252" spans="1:24" ht="11.1" customHeight="1" x14ac:dyDescent="0.45">
      <c r="A252" s="700" t="s">
        <v>290</v>
      </c>
      <c r="B252" s="701"/>
      <c r="C252" s="701"/>
      <c r="D252" s="701"/>
      <c r="E252" s="701"/>
      <c r="F252" s="701"/>
      <c r="G252" s="701"/>
      <c r="H252" s="701"/>
      <c r="I252" s="701"/>
      <c r="J252" s="701"/>
      <c r="K252" s="701"/>
      <c r="L252" s="701"/>
      <c r="M252" s="701"/>
      <c r="Q252" s="439">
        <f t="shared" si="91"/>
        <v>936</v>
      </c>
      <c r="R252" s="596">
        <f t="shared" si="92"/>
        <v>45194</v>
      </c>
      <c r="S252" s="597">
        <f t="shared" si="93"/>
        <v>300.83</v>
      </c>
      <c r="T252" s="526">
        <f t="shared" si="94"/>
        <v>5711.8634199999997</v>
      </c>
      <c r="U252" s="598">
        <v>300.83</v>
      </c>
      <c r="V252" s="598">
        <v>5711.8634199999997</v>
      </c>
      <c r="X252" s="599">
        <v>4337.4449800000002</v>
      </c>
    </row>
    <row r="253" spans="1:24" ht="11.1" customHeight="1" x14ac:dyDescent="0.45">
      <c r="A253" s="697" t="s">
        <v>288</v>
      </c>
      <c r="B253" s="698"/>
      <c r="C253" s="698"/>
      <c r="D253" s="698"/>
      <c r="E253" s="698"/>
      <c r="F253" s="698"/>
      <c r="G253" s="698"/>
      <c r="H253" s="698"/>
      <c r="I253" s="698"/>
      <c r="J253" s="698"/>
      <c r="K253" s="698"/>
      <c r="L253" s="698"/>
      <c r="M253" s="698"/>
      <c r="Q253" s="439">
        <f t="shared" si="91"/>
        <v>935</v>
      </c>
      <c r="R253" s="596">
        <f t="shared" si="92"/>
        <v>45195</v>
      </c>
      <c r="S253" s="597">
        <f t="shared" si="93"/>
        <v>298.95999999999998</v>
      </c>
      <c r="T253" s="526">
        <f t="shared" si="94"/>
        <v>5804.9544500000002</v>
      </c>
      <c r="U253" s="598">
        <v>298.95999999999998</v>
      </c>
      <c r="V253" s="598">
        <v>5804.9544500000002</v>
      </c>
      <c r="X253" s="599">
        <v>4273.5283099999997</v>
      </c>
    </row>
    <row r="254" spans="1:24" ht="11.1" customHeight="1" x14ac:dyDescent="0.45">
      <c r="A254" s="696" t="s">
        <v>623</v>
      </c>
      <c r="B254" s="695"/>
      <c r="C254" s="695"/>
      <c r="D254" s="695"/>
      <c r="E254" s="695"/>
      <c r="F254" s="695"/>
      <c r="G254" s="695"/>
      <c r="H254" s="695"/>
      <c r="I254" s="695"/>
      <c r="J254" s="695"/>
      <c r="K254" s="695"/>
      <c r="L254" s="695"/>
      <c r="M254" s="695"/>
      <c r="Q254" s="439">
        <f t="shared" si="91"/>
        <v>934</v>
      </c>
      <c r="R254" s="596">
        <f t="shared" si="92"/>
        <v>45196</v>
      </c>
      <c r="S254" s="597">
        <f t="shared" si="93"/>
        <v>297.74</v>
      </c>
      <c r="T254" s="526">
        <f t="shared" si="94"/>
        <v>10846.619070000001</v>
      </c>
      <c r="U254" s="598">
        <v>297.74</v>
      </c>
      <c r="V254" s="598">
        <v>10846.619070000001</v>
      </c>
      <c r="X254" s="599">
        <v>4274.5094099999997</v>
      </c>
    </row>
    <row r="255" spans="1:24" ht="11.1" customHeight="1" x14ac:dyDescent="0.45">
      <c r="A255" s="696" t="str">
        <f>CONCATENATE("Dies entspricht einer EBIT-Marge von ",TEXT(B22,"#0,0%"),".")</f>
        <v>Dies entspricht einer EBIT-Marge von 41,8%.</v>
      </c>
      <c r="B255" s="695"/>
      <c r="C255" s="695"/>
      <c r="D255" s="695"/>
      <c r="E255" s="695"/>
      <c r="F255" s="695"/>
      <c r="G255" s="695"/>
      <c r="H255" s="695"/>
      <c r="I255" s="695"/>
      <c r="J255" s="695"/>
      <c r="K255" s="695"/>
      <c r="L255" s="695"/>
      <c r="M255" s="695"/>
      <c r="Q255" s="439">
        <f t="shared" si="91"/>
        <v>933</v>
      </c>
      <c r="R255" s="596">
        <f t="shared" si="92"/>
        <v>45197</v>
      </c>
      <c r="S255" s="597">
        <f t="shared" si="93"/>
        <v>303.95999999999998</v>
      </c>
      <c r="T255" s="526">
        <f t="shared" si="94"/>
        <v>6737.9041200000001</v>
      </c>
      <c r="U255" s="598">
        <v>303.95999999999998</v>
      </c>
      <c r="V255" s="598">
        <v>6737.9041200000001</v>
      </c>
      <c r="X255" s="599">
        <v>4299.7019899999996</v>
      </c>
    </row>
    <row r="256" spans="1:24" ht="11.1" customHeight="1" x14ac:dyDescent="0.45">
      <c r="A256" s="696" t="s">
        <v>624</v>
      </c>
      <c r="B256" s="695"/>
      <c r="C256" s="695"/>
      <c r="D256" s="695"/>
      <c r="E256" s="695"/>
      <c r="F256" s="695"/>
      <c r="G256" s="695"/>
      <c r="H256" s="695"/>
      <c r="I256" s="695"/>
      <c r="J256" s="695"/>
      <c r="K256" s="695"/>
      <c r="L256" s="695"/>
      <c r="M256" s="695"/>
      <c r="N256" s="600">
        <f>-(I5/I8-1)</f>
        <v>0.14992778649921501</v>
      </c>
      <c r="Q256" s="439">
        <f t="shared" si="91"/>
        <v>932</v>
      </c>
      <c r="R256" s="596">
        <f t="shared" si="92"/>
        <v>45198</v>
      </c>
      <c r="S256" s="597">
        <f t="shared" si="93"/>
        <v>300.20999999999998</v>
      </c>
      <c r="T256" s="526">
        <f t="shared" si="94"/>
        <v>7617.4369800000004</v>
      </c>
      <c r="U256" s="598">
        <v>300.20999999999998</v>
      </c>
      <c r="V256" s="598">
        <v>7617.4369800000004</v>
      </c>
      <c r="X256" s="599">
        <v>4288.0541199999998</v>
      </c>
    </row>
    <row r="257" spans="1:24" ht="11.1" customHeight="1" x14ac:dyDescent="0.45">
      <c r="A257" s="696" t="s">
        <v>625</v>
      </c>
      <c r="B257" s="695"/>
      <c r="C257" s="695"/>
      <c r="D257" s="695"/>
      <c r="E257" s="695"/>
      <c r="F257" s="695"/>
      <c r="G257" s="695"/>
      <c r="H257" s="695"/>
      <c r="I257" s="695"/>
      <c r="J257" s="695"/>
      <c r="K257" s="696"/>
      <c r="L257" s="695"/>
      <c r="M257" s="695"/>
      <c r="Q257" s="439">
        <f t="shared" si="91"/>
        <v>931</v>
      </c>
      <c r="R257" s="596">
        <f t="shared" si="92"/>
        <v>45199</v>
      </c>
      <c r="S257" s="597" t="e">
        <f t="shared" si="93"/>
        <v>#N/A</v>
      </c>
      <c r="T257" s="526" t="e">
        <f t="shared" si="94"/>
        <v>#N/A</v>
      </c>
      <c r="U257" s="598">
        <v>300.20999999999998</v>
      </c>
      <c r="V257" s="598">
        <v>0</v>
      </c>
      <c r="X257" s="599">
        <v>4288.0541199999998</v>
      </c>
    </row>
    <row r="258" spans="1:24" ht="11.1" customHeight="1" x14ac:dyDescent="0.45">
      <c r="A258" s="696" t="str">
        <f>IF($I$6&lt;90%,"Die Aktie ist unterbewertet.",IF($I$6&gt;110%,"Die Aktie ist überbewertet.","Der innere Wert der Aktie liegt unweit des Börsenkurses."))</f>
        <v>Die Aktie ist überbewertet.</v>
      </c>
      <c r="B258" s="695"/>
      <c r="C258" s="695"/>
      <c r="D258" s="695"/>
      <c r="E258" s="695"/>
      <c r="F258" s="695"/>
      <c r="G258" s="695"/>
      <c r="H258" s="695"/>
      <c r="I258" s="695"/>
      <c r="J258" s="695"/>
      <c r="K258" s="695"/>
      <c r="L258" s="695"/>
      <c r="M258" s="695"/>
      <c r="Q258" s="439">
        <f t="shared" si="91"/>
        <v>930</v>
      </c>
      <c r="R258" s="596">
        <f t="shared" si="92"/>
        <v>45200</v>
      </c>
      <c r="S258" s="597" t="e">
        <f t="shared" si="93"/>
        <v>#N/A</v>
      </c>
      <c r="T258" s="526" t="e">
        <f t="shared" si="94"/>
        <v>#N/A</v>
      </c>
      <c r="U258" s="598">
        <v>300.20999999999998</v>
      </c>
      <c r="V258" s="598">
        <v>0</v>
      </c>
      <c r="X258" s="599">
        <v>4288.0541199999998</v>
      </c>
    </row>
    <row r="259" spans="1:24" ht="11.1" customHeight="1" x14ac:dyDescent="0.45">
      <c r="A259" s="697" t="s">
        <v>289</v>
      </c>
      <c r="B259" s="698"/>
      <c r="C259" s="698"/>
      <c r="D259" s="698"/>
      <c r="E259" s="698"/>
      <c r="F259" s="698"/>
      <c r="G259" s="698"/>
      <c r="H259" s="698"/>
      <c r="I259" s="698"/>
      <c r="J259" s="698"/>
      <c r="K259" s="698"/>
      <c r="L259" s="698"/>
      <c r="M259" s="698"/>
      <c r="Q259" s="439">
        <f t="shared" si="91"/>
        <v>929</v>
      </c>
      <c r="R259" s="596">
        <f t="shared" si="92"/>
        <v>45201</v>
      </c>
      <c r="S259" s="597">
        <f t="shared" si="93"/>
        <v>306.82</v>
      </c>
      <c r="T259" s="526">
        <f t="shared" si="94"/>
        <v>4990.6024900000002</v>
      </c>
      <c r="U259" s="598">
        <v>306.82</v>
      </c>
      <c r="V259" s="598">
        <v>4990.6024900000002</v>
      </c>
      <c r="X259" s="599">
        <v>4288.3906999999999</v>
      </c>
    </row>
    <row r="260" spans="1:24" ht="11.1" customHeight="1" x14ac:dyDescent="0.45">
      <c r="A260" s="696" t="str">
        <f>CONCATENATE("In den letzten drei Fiskaljahren veränderte sich der Umsatz um ",TEXT(I15,"#0,0%"),", ",TEXT(J15,"#0,0%")," und zuletzt ",TEXT(K15,"#0,0%"),".")</f>
        <v>In den letzten drei Fiskaljahren veränderte sich der Umsatz um 15,7%, 21,9% und zuletzt 22,2%.</v>
      </c>
      <c r="B260" s="695"/>
      <c r="C260" s="695"/>
      <c r="D260" s="695"/>
      <c r="E260" s="695"/>
      <c r="F260" s="695"/>
      <c r="G260" s="695"/>
      <c r="H260" s="695"/>
      <c r="I260" s="695"/>
      <c r="J260" s="695"/>
      <c r="K260" s="695"/>
      <c r="L260" s="695"/>
      <c r="M260" s="695"/>
      <c r="Q260" s="439">
        <f t="shared" si="91"/>
        <v>928</v>
      </c>
      <c r="R260" s="596">
        <f t="shared" si="92"/>
        <v>45202</v>
      </c>
      <c r="S260" s="597">
        <f t="shared" si="93"/>
        <v>300.94</v>
      </c>
      <c r="T260" s="526">
        <f t="shared" si="94"/>
        <v>5224.9955200000004</v>
      </c>
      <c r="U260" s="598">
        <v>300.94</v>
      </c>
      <c r="V260" s="598">
        <v>5224.9955200000004</v>
      </c>
      <c r="X260" s="599">
        <v>4229.4530299999997</v>
      </c>
    </row>
    <row r="261" spans="1:24" ht="11.1" customHeight="1" x14ac:dyDescent="0.45">
      <c r="A261" s="696" t="s">
        <v>346</v>
      </c>
      <c r="B261" s="695"/>
      <c r="C261" s="695"/>
      <c r="D261" s="695"/>
      <c r="E261" s="695"/>
      <c r="F261" s="695"/>
      <c r="G261" s="695"/>
      <c r="H261" s="695"/>
      <c r="I261" s="695"/>
      <c r="J261" s="695"/>
      <c r="K261" s="695"/>
      <c r="L261" s="695"/>
      <c r="M261" s="695"/>
      <c r="Q261" s="439">
        <f t="shared" si="91"/>
        <v>927</v>
      </c>
      <c r="R261" s="596">
        <f t="shared" si="92"/>
        <v>45203</v>
      </c>
      <c r="S261" s="597">
        <f t="shared" si="93"/>
        <v>305.58</v>
      </c>
      <c r="T261" s="526">
        <f t="shared" si="94"/>
        <v>5158.3383000000003</v>
      </c>
      <c r="U261" s="598">
        <v>305.58</v>
      </c>
      <c r="V261" s="598">
        <v>5158.3383000000003</v>
      </c>
      <c r="X261" s="599">
        <v>4263.7511400000003</v>
      </c>
    </row>
    <row r="262" spans="1:24" ht="11.1" customHeight="1" x14ac:dyDescent="0.45">
      <c r="A262" s="696" t="str">
        <f>CONCATENATE("In den letzten drei Fiskaljahren betrug die EBIT-Marge ",TEXT(I17,"#0,0%"),", ",TEXT(J17,"#0,0%")," und zuletzt ",TEXT(K17,"#0,0%"),".")</f>
        <v>In den letzten drei Fiskaljahren betrug die EBIT-Marge 34,7%, 42,2% und zuletzt 41,4%.</v>
      </c>
      <c r="B262" s="695"/>
      <c r="C262" s="695"/>
      <c r="D262" s="695"/>
      <c r="E262" s="695"/>
      <c r="F262" s="695"/>
      <c r="G262" s="695"/>
      <c r="H262" s="695"/>
      <c r="I262" s="695"/>
      <c r="J262" s="849"/>
      <c r="K262" s="695"/>
      <c r="L262" s="695"/>
      <c r="M262" s="695"/>
      <c r="Q262" s="439">
        <f t="shared" si="91"/>
        <v>926</v>
      </c>
      <c r="R262" s="596">
        <f t="shared" si="92"/>
        <v>45204</v>
      </c>
      <c r="S262" s="597">
        <f t="shared" si="93"/>
        <v>304.79000000000002</v>
      </c>
      <c r="T262" s="526">
        <f t="shared" si="94"/>
        <v>5830.6195900000002</v>
      </c>
      <c r="U262" s="598">
        <v>304.79000000000002</v>
      </c>
      <c r="V262" s="598">
        <v>5830.6195900000002</v>
      </c>
      <c r="X262" s="599">
        <v>4258.1858099999999</v>
      </c>
    </row>
    <row r="263" spans="1:24" ht="11.1" customHeight="1" x14ac:dyDescent="0.45">
      <c r="A263" s="696" t="s">
        <v>657</v>
      </c>
      <c r="B263" s="695"/>
      <c r="C263" s="695"/>
      <c r="D263" s="695"/>
      <c r="E263" s="695"/>
      <c r="F263" s="695"/>
      <c r="G263" s="695"/>
      <c r="H263" s="695"/>
      <c r="I263" s="695"/>
      <c r="J263" s="695"/>
      <c r="K263" s="695"/>
      <c r="L263" s="695"/>
      <c r="M263" s="695"/>
      <c r="Q263" s="439">
        <f t="shared" si="91"/>
        <v>925</v>
      </c>
      <c r="R263" s="596">
        <f t="shared" si="92"/>
        <v>45205</v>
      </c>
      <c r="S263" s="597">
        <f t="shared" si="93"/>
        <v>315.43</v>
      </c>
      <c r="T263" s="526">
        <f t="shared" si="94"/>
        <v>6877.5902999999998</v>
      </c>
      <c r="U263" s="598">
        <v>315.43</v>
      </c>
      <c r="V263" s="598">
        <v>6877.5902999999998</v>
      </c>
      <c r="X263" s="599">
        <v>4308.5022600000002</v>
      </c>
    </row>
    <row r="264" spans="1:24" ht="11.1" customHeight="1" x14ac:dyDescent="0.45">
      <c r="A264" s="696" t="str">
        <f>IF(E8=E9,"",CONCATENATE("Über die letzten vier Quartale betrug die EBIT-Marge ",TEXT(B22,"#0,0%"),"."))</f>
        <v/>
      </c>
      <c r="B264" s="695"/>
      <c r="C264" s="695"/>
      <c r="D264" s="695"/>
      <c r="E264" s="695"/>
      <c r="F264" s="695"/>
      <c r="G264" s="695"/>
      <c r="H264" s="695"/>
      <c r="I264" s="695"/>
      <c r="J264" s="695"/>
      <c r="K264" s="695"/>
      <c r="L264" s="695"/>
      <c r="M264" s="695"/>
      <c r="Q264" s="439">
        <f t="shared" si="91"/>
        <v>924</v>
      </c>
      <c r="R264" s="596">
        <f t="shared" si="92"/>
        <v>45206</v>
      </c>
      <c r="S264" s="597" t="e">
        <f t="shared" si="93"/>
        <v>#N/A</v>
      </c>
      <c r="T264" s="526" t="e">
        <f t="shared" si="94"/>
        <v>#N/A</v>
      </c>
      <c r="U264" s="598">
        <v>315.43</v>
      </c>
      <c r="V264" s="598">
        <v>0</v>
      </c>
      <c r="X264" s="599">
        <v>4308.5022600000002</v>
      </c>
    </row>
    <row r="265" spans="1:24" ht="11.1" customHeight="1" x14ac:dyDescent="0.45">
      <c r="A265" s="697" t="s">
        <v>211</v>
      </c>
      <c r="B265" s="698"/>
      <c r="C265" s="698"/>
      <c r="D265" s="698"/>
      <c r="E265" s="698"/>
      <c r="F265" s="698"/>
      <c r="G265" s="698"/>
      <c r="H265" s="698"/>
      <c r="I265" s="698"/>
      <c r="J265" s="698"/>
      <c r="K265" s="698"/>
      <c r="L265" s="932" t="str">
        <f>F4</f>
        <v>Aktienwert YCV</v>
      </c>
      <c r="M265" s="933">
        <f>I4</f>
        <v>609.63164007663352</v>
      </c>
      <c r="Q265" s="439">
        <f t="shared" si="91"/>
        <v>923</v>
      </c>
      <c r="R265" s="596">
        <f t="shared" si="92"/>
        <v>45207</v>
      </c>
      <c r="S265" s="597" t="e">
        <f t="shared" si="93"/>
        <v>#N/A</v>
      </c>
      <c r="T265" s="526" t="e">
        <f t="shared" si="94"/>
        <v>#N/A</v>
      </c>
      <c r="U265" s="598">
        <v>315.43</v>
      </c>
      <c r="V265" s="598">
        <v>0</v>
      </c>
      <c r="X265" s="599">
        <v>4308.5022600000002</v>
      </c>
    </row>
    <row r="266" spans="1:24" ht="11.1" customHeight="1" x14ac:dyDescent="0.45">
      <c r="A266" s="696" t="str">
        <f>CONCATENATE("Bezogen auf den letzten Jahresabschluss per ",TEXT($E$9,"TT.MM.JJ")," erwarten Analysten (Median Consensus) für die nächsten 3 Fiskaljahre ein Umsatzwachstum von ",TEXT($L$15,"#0,0%")," (",$L$13,"), ",TEXT($M$15,"#0,0%")," (",$M$13,")"," und ",TEXT($N$15,"#0,0%")," (",$N$13,").")</f>
        <v>Bezogen auf den letzten Jahresabschluss per 31.12.25 erwarten Analysten (Median Consensus) für die nächsten 3 Fiskaljahre ein Umsatzwachstum von 24,8% (2026e), 18,9% (2027e) und 16,4% (2028e).</v>
      </c>
      <c r="B266" s="695"/>
      <c r="C266" s="695"/>
      <c r="D266" s="695"/>
      <c r="E266" s="695"/>
      <c r="F266" s="695"/>
      <c r="G266" s="695"/>
      <c r="H266" s="695"/>
      <c r="I266" s="695"/>
      <c r="J266" s="695"/>
      <c r="K266" s="695"/>
      <c r="L266" s="696" t="s">
        <v>318</v>
      </c>
      <c r="M266" s="934">
        <v>1015</v>
      </c>
      <c r="Q266" s="439">
        <f t="shared" si="91"/>
        <v>922</v>
      </c>
      <c r="R266" s="596">
        <f t="shared" si="92"/>
        <v>45208</v>
      </c>
      <c r="S266" s="597">
        <f t="shared" si="93"/>
        <v>318.36</v>
      </c>
      <c r="T266" s="526">
        <f t="shared" si="94"/>
        <v>7164.2658300000003</v>
      </c>
      <c r="U266" s="598">
        <v>318.36</v>
      </c>
      <c r="V266" s="598">
        <v>7164.2658300000003</v>
      </c>
      <c r="X266" s="599">
        <v>4335.6575199999997</v>
      </c>
    </row>
    <row r="267" spans="1:24" ht="11.1" customHeight="1" x14ac:dyDescent="0.45">
      <c r="A267" s="696" t="str">
        <f>CONCATENATE("Die EBIT-Marge für die nächsten drei Fiskaljahre wird in der Mitte aller Analysten auf ",TEXT(L17,"#0,0%"),", ",TEXT(M17,"#0,0%")," und ",TEXT(N17,"#0,0%")," prognostiziert.")</f>
        <v>Die EBIT-Marge für die nächsten drei Fiskaljahre wird in der Mitte aller Analysten auf 34,3%, 34,0% und 34,2% prognostiziert.</v>
      </c>
      <c r="B267" s="695"/>
      <c r="C267" s="695"/>
      <c r="D267" s="695"/>
      <c r="E267" s="695"/>
      <c r="F267" s="695"/>
      <c r="G267" s="695"/>
      <c r="H267" s="695"/>
      <c r="I267" s="695"/>
      <c r="J267" s="695"/>
      <c r="K267" s="695"/>
      <c r="L267" s="696" t="s">
        <v>15</v>
      </c>
      <c r="M267" s="934">
        <v>857.5</v>
      </c>
      <c r="Q267" s="439">
        <f t="shared" si="91"/>
        <v>921</v>
      </c>
      <c r="R267" s="596">
        <f t="shared" si="92"/>
        <v>45209</v>
      </c>
      <c r="S267" s="597">
        <f t="shared" si="93"/>
        <v>321.83999999999997</v>
      </c>
      <c r="T267" s="526">
        <f t="shared" si="94"/>
        <v>6127.1812300000001</v>
      </c>
      <c r="U267" s="598">
        <v>321.83999999999997</v>
      </c>
      <c r="V267" s="598">
        <v>6127.1812300000001</v>
      </c>
      <c r="X267" s="599">
        <v>4358.2378600000002</v>
      </c>
    </row>
    <row r="268" spans="1:24" ht="11.1" customHeight="1" x14ac:dyDescent="0.45">
      <c r="A268" s="696" t="s">
        <v>626</v>
      </c>
      <c r="B268" s="695"/>
      <c r="C268" s="695"/>
      <c r="D268" s="695"/>
      <c r="E268" s="695"/>
      <c r="F268" s="695"/>
      <c r="G268" s="695"/>
      <c r="H268" s="695"/>
      <c r="I268" s="695"/>
      <c r="J268" s="695"/>
      <c r="K268" s="695"/>
      <c r="L268" s="696" t="s">
        <v>319</v>
      </c>
      <c r="M268" s="935">
        <v>614</v>
      </c>
      <c r="Q268" s="439">
        <f t="shared" si="91"/>
        <v>920</v>
      </c>
      <c r="R268" s="596">
        <f t="shared" si="92"/>
        <v>45210</v>
      </c>
      <c r="S268" s="597">
        <f t="shared" si="93"/>
        <v>327.82</v>
      </c>
      <c r="T268" s="526">
        <f t="shared" si="94"/>
        <v>7223.9388799999997</v>
      </c>
      <c r="U268" s="598">
        <v>327.82</v>
      </c>
      <c r="V268" s="598">
        <v>7223.9388799999997</v>
      </c>
      <c r="X268" s="599">
        <v>4376.9451799999997</v>
      </c>
    </row>
    <row r="269" spans="1:24" ht="11.1" customHeight="1" x14ac:dyDescent="0.45">
      <c r="A269" s="696" t="s">
        <v>627</v>
      </c>
      <c r="B269" s="695"/>
      <c r="C269" s="695"/>
      <c r="D269" s="695"/>
      <c r="E269" s="695"/>
      <c r="F269" s="695"/>
      <c r="G269" s="695"/>
      <c r="H269" s="695"/>
      <c r="I269" s="695"/>
      <c r="J269" s="695"/>
      <c r="K269" s="695"/>
      <c r="L269" s="696" t="s">
        <v>320</v>
      </c>
      <c r="M269" s="934">
        <v>855.92933000000005</v>
      </c>
      <c r="Q269" s="439">
        <f t="shared" si="91"/>
        <v>919</v>
      </c>
      <c r="R269" s="596">
        <f t="shared" si="92"/>
        <v>45211</v>
      </c>
      <c r="S269" s="597">
        <f t="shared" si="93"/>
        <v>324.16000000000003</v>
      </c>
      <c r="T269" s="526">
        <f t="shared" si="94"/>
        <v>6655.1727199999996</v>
      </c>
      <c r="U269" s="598">
        <v>324.16000000000003</v>
      </c>
      <c r="V269" s="598">
        <v>6655.1727199999996</v>
      </c>
      <c r="X269" s="599">
        <v>4349.6057799999999</v>
      </c>
    </row>
    <row r="270" spans="1:24" ht="11.1" customHeight="1" x14ac:dyDescent="0.45">
      <c r="A270" s="697" t="s">
        <v>224</v>
      </c>
      <c r="B270" s="698"/>
      <c r="C270" s="698"/>
      <c r="D270" s="698"/>
      <c r="E270" s="698"/>
      <c r="F270" s="698"/>
      <c r="G270" s="698"/>
      <c r="H270" s="698"/>
      <c r="I270" s="698"/>
      <c r="J270" s="698"/>
      <c r="K270" s="698"/>
      <c r="L270" s="698"/>
      <c r="M270" s="698"/>
      <c r="Q270" s="439">
        <f t="shared" si="91"/>
        <v>918</v>
      </c>
      <c r="R270" s="596">
        <f t="shared" si="92"/>
        <v>45212</v>
      </c>
      <c r="S270" s="597">
        <f t="shared" si="93"/>
        <v>314.69</v>
      </c>
      <c r="T270" s="526">
        <f t="shared" si="94"/>
        <v>6722.0270099999998</v>
      </c>
      <c r="U270" s="598">
        <v>314.69</v>
      </c>
      <c r="V270" s="598">
        <v>6722.0270099999998</v>
      </c>
      <c r="X270" s="599">
        <v>4327.7830299999996</v>
      </c>
    </row>
    <row r="271" spans="1:24" ht="11.1" customHeight="1" x14ac:dyDescent="0.45">
      <c r="A271" s="706" t="s">
        <v>1</v>
      </c>
      <c r="B271" s="695"/>
      <c r="C271" s="695"/>
      <c r="D271" s="695"/>
      <c r="E271" s="695"/>
      <c r="F271" s="695"/>
      <c r="G271" s="695"/>
      <c r="H271" s="695"/>
      <c r="I271" s="695"/>
      <c r="J271" s="695"/>
      <c r="K271" s="695"/>
      <c r="L271" s="695"/>
      <c r="M271" s="695"/>
      <c r="Q271" s="439">
        <f t="shared" si="91"/>
        <v>917</v>
      </c>
      <c r="R271" s="596">
        <f t="shared" si="92"/>
        <v>45213</v>
      </c>
      <c r="S271" s="597" t="e">
        <f t="shared" si="93"/>
        <v>#N/A</v>
      </c>
      <c r="T271" s="526" t="e">
        <f t="shared" si="94"/>
        <v>#N/A</v>
      </c>
      <c r="U271" s="598">
        <v>314.69</v>
      </c>
      <c r="V271" s="598">
        <v>0</v>
      </c>
      <c r="X271" s="599">
        <v>4327.7830299999996</v>
      </c>
    </row>
    <row r="272" spans="1:24" ht="11.1" customHeight="1" x14ac:dyDescent="0.45">
      <c r="A272" s="696" t="s">
        <v>628</v>
      </c>
      <c r="B272" s="695"/>
      <c r="C272" s="695"/>
      <c r="D272" s="695"/>
      <c r="E272" s="695"/>
      <c r="F272" s="695"/>
      <c r="G272" s="695"/>
      <c r="H272" s="695"/>
      <c r="I272" s="695"/>
      <c r="J272" s="695"/>
      <c r="K272" s="695"/>
      <c r="L272" s="695"/>
      <c r="M272" s="695"/>
      <c r="Q272" s="439">
        <f t="shared" si="91"/>
        <v>916</v>
      </c>
      <c r="R272" s="596">
        <f t="shared" si="92"/>
        <v>45214</v>
      </c>
      <c r="S272" s="597" t="e">
        <f t="shared" si="93"/>
        <v>#N/A</v>
      </c>
      <c r="T272" s="526" t="e">
        <f t="shared" si="94"/>
        <v>#N/A</v>
      </c>
      <c r="U272" s="598">
        <v>314.69</v>
      </c>
      <c r="V272" s="598">
        <v>0</v>
      </c>
      <c r="X272" s="599">
        <v>4327.7830299999996</v>
      </c>
    </row>
    <row r="273" spans="1:24" ht="11.1" customHeight="1" x14ac:dyDescent="0.45">
      <c r="A273" s="696" t="s">
        <v>291</v>
      </c>
      <c r="B273" s="695"/>
      <c r="C273" s="695"/>
      <c r="D273" s="695"/>
      <c r="E273" s="695"/>
      <c r="F273" s="695"/>
      <c r="G273" s="695"/>
      <c r="H273" s="695"/>
      <c r="I273" s="695"/>
      <c r="J273" s="695"/>
      <c r="K273" s="695"/>
      <c r="L273" s="695"/>
      <c r="M273" s="695"/>
      <c r="Q273" s="439">
        <f t="shared" si="91"/>
        <v>915</v>
      </c>
      <c r="R273" s="596">
        <f t="shared" si="92"/>
        <v>45215</v>
      </c>
      <c r="S273" s="597">
        <f t="shared" si="93"/>
        <v>321.14999999999998</v>
      </c>
      <c r="T273" s="526">
        <f t="shared" si="94"/>
        <v>5310.5730100000001</v>
      </c>
      <c r="U273" s="598">
        <v>321.14999999999998</v>
      </c>
      <c r="V273" s="598">
        <v>5310.5730100000001</v>
      </c>
      <c r="X273" s="599">
        <v>4373.6348099999996</v>
      </c>
    </row>
    <row r="274" spans="1:24" ht="11.1" customHeight="1" x14ac:dyDescent="0.45">
      <c r="A274" s="696" t="str">
        <f>CONCATENATE("Das Umsatzwachstum für die ersten drei Planungsperioden (LTM+1 bis LTM+3) beziffern wir mit ",TEXT(C20,"#0,0%"),", ",TEXT(D20,"#0,0%")," und ",TEXT(E20,"#0,0%"),".")</f>
        <v>Das Umsatzwachstum für die ersten drei Planungsperioden (LTM+1 bis LTM+3) beziffern wir mit 24,8%, 13,2% und 11,5%.</v>
      </c>
      <c r="B274" s="695"/>
      <c r="C274" s="695"/>
      <c r="D274" s="695"/>
      <c r="E274" s="695"/>
      <c r="F274" s="695"/>
      <c r="G274" s="695"/>
      <c r="H274" s="695"/>
      <c r="I274" s="695"/>
      <c r="J274" s="695"/>
      <c r="K274" s="695"/>
      <c r="L274" s="695"/>
      <c r="M274" s="695"/>
      <c r="Q274" s="439">
        <f t="shared" si="91"/>
        <v>914</v>
      </c>
      <c r="R274" s="596">
        <f t="shared" si="92"/>
        <v>45216</v>
      </c>
      <c r="S274" s="597">
        <f t="shared" si="93"/>
        <v>324</v>
      </c>
      <c r="T274" s="526">
        <f t="shared" si="94"/>
        <v>5309.6468800000002</v>
      </c>
      <c r="U274" s="598">
        <v>324</v>
      </c>
      <c r="V274" s="598">
        <v>5309.6468800000002</v>
      </c>
      <c r="X274" s="599">
        <v>4373.1959900000002</v>
      </c>
    </row>
    <row r="275" spans="1:24" ht="11.1" customHeight="1" x14ac:dyDescent="0.45">
      <c r="A275" s="696" t="str">
        <f>IF(AND(L15=C20,M15=D20,N15=E20),"Demnach haben wir die Umsatzprognosen der Analysten für die ersten drei Fiskaljahre übernommen.","Demnach haben wir die Wachstumsraten der Analysten nicht übernommen, sondern im Hinblick auf die Entwicklung der Quartale angepasst.")</f>
        <v>Demnach haben wir die Wachstumsraten der Analysten nicht übernommen, sondern im Hinblick auf die Entwicklung der Quartale angepasst.</v>
      </c>
      <c r="B275" s="695"/>
      <c r="C275" s="695"/>
      <c r="D275" s="695"/>
      <c r="E275" s="695"/>
      <c r="F275" s="695"/>
      <c r="G275" s="695"/>
      <c r="H275" s="695"/>
      <c r="I275" s="695"/>
      <c r="J275" s="695"/>
      <c r="K275" s="695"/>
      <c r="L275" s="695"/>
      <c r="M275" s="695"/>
      <c r="Q275" s="439">
        <f t="shared" si="91"/>
        <v>913</v>
      </c>
      <c r="R275" s="596">
        <f t="shared" si="92"/>
        <v>45217</v>
      </c>
      <c r="S275" s="597">
        <f t="shared" si="93"/>
        <v>316.97000000000003</v>
      </c>
      <c r="T275" s="526">
        <f t="shared" si="94"/>
        <v>5341.26242</v>
      </c>
      <c r="U275" s="598">
        <v>316.97000000000003</v>
      </c>
      <c r="V275" s="598">
        <v>5341.26242</v>
      </c>
      <c r="X275" s="599">
        <v>4314.6006500000003</v>
      </c>
    </row>
    <row r="276" spans="1:24" ht="11.1" customHeight="1" x14ac:dyDescent="0.45">
      <c r="A276" s="696" t="str">
        <f>CONCATENATE("Für die weiteren Planungsperioden (LTM+3 bis LTM+10) bis zur ewigen Rente unterstellen wir jährliche Umsatzveränderungen zwischen minimal ",TEXT(MIN(F20:L20),"#0,0%")," und maximal ",TEXT(MAX(F20:L20),"#0,0%"),".")</f>
        <v>Für die weiteren Planungsperioden (LTM+3 bis LTM+10) bis zur ewigen Rente unterstellen wir jährliche Umsatzveränderungen zwischen minimal 4,3% und maximal 10,5%.</v>
      </c>
      <c r="B276" s="695"/>
      <c r="C276" s="695"/>
      <c r="D276" s="695"/>
      <c r="E276" s="695"/>
      <c r="F276" s="695"/>
      <c r="G276" s="695"/>
      <c r="H276" s="695"/>
      <c r="I276" s="695"/>
      <c r="J276" s="695"/>
      <c r="K276" s="695"/>
      <c r="L276" s="695"/>
      <c r="M276" s="695"/>
      <c r="Q276" s="439">
        <f t="shared" si="91"/>
        <v>912</v>
      </c>
      <c r="R276" s="596">
        <f t="shared" si="92"/>
        <v>45218</v>
      </c>
      <c r="S276" s="597">
        <f t="shared" si="93"/>
        <v>312.81</v>
      </c>
      <c r="T276" s="526">
        <f t="shared" si="94"/>
        <v>5852.4123399999999</v>
      </c>
      <c r="U276" s="598">
        <v>312.81</v>
      </c>
      <c r="V276" s="598">
        <v>5852.4123399999999</v>
      </c>
      <c r="X276" s="599">
        <v>4277.9974300000003</v>
      </c>
    </row>
    <row r="277" spans="1:24" ht="11.1" customHeight="1" x14ac:dyDescent="0.45">
      <c r="A277" s="696" t="s">
        <v>629</v>
      </c>
      <c r="B277" s="695"/>
      <c r="C277" s="695"/>
      <c r="D277" s="695"/>
      <c r="E277" s="695"/>
      <c r="F277" s="695"/>
      <c r="G277" s="695"/>
      <c r="H277" s="695"/>
      <c r="I277" s="695"/>
      <c r="J277" s="695"/>
      <c r="K277" s="695"/>
      <c r="L277" s="695"/>
      <c r="M277" s="695"/>
      <c r="Q277" s="439">
        <f t="shared" si="91"/>
        <v>911</v>
      </c>
      <c r="R277" s="596">
        <f t="shared" si="92"/>
        <v>45219</v>
      </c>
      <c r="S277" s="597">
        <f t="shared" si="93"/>
        <v>308.64999999999998</v>
      </c>
      <c r="T277" s="526">
        <f t="shared" si="94"/>
        <v>6886.6836800000001</v>
      </c>
      <c r="U277" s="598">
        <v>308.64999999999998</v>
      </c>
      <c r="V277" s="598">
        <v>6886.6836800000001</v>
      </c>
      <c r="X277" s="599">
        <v>4224.1594800000003</v>
      </c>
    </row>
    <row r="278" spans="1:24" ht="11.1" customHeight="1" x14ac:dyDescent="0.45">
      <c r="A278" s="696" t="s">
        <v>630</v>
      </c>
      <c r="B278" s="695"/>
      <c r="C278" s="695"/>
      <c r="D278" s="695"/>
      <c r="E278" s="695"/>
      <c r="F278" s="695"/>
      <c r="G278" s="695"/>
      <c r="H278" s="695"/>
      <c r="I278" s="695"/>
      <c r="J278" s="695"/>
      <c r="K278" s="696"/>
      <c r="L278" s="695"/>
      <c r="M278" s="695"/>
      <c r="Q278" s="439">
        <f t="shared" si="91"/>
        <v>910</v>
      </c>
      <c r="R278" s="596">
        <f t="shared" si="92"/>
        <v>45220</v>
      </c>
      <c r="S278" s="597" t="e">
        <f t="shared" si="93"/>
        <v>#N/A</v>
      </c>
      <c r="T278" s="526" t="e">
        <f t="shared" si="94"/>
        <v>#N/A</v>
      </c>
      <c r="U278" s="598">
        <v>308.64999999999998</v>
      </c>
      <c r="V278" s="598">
        <v>0</v>
      </c>
      <c r="X278" s="599">
        <v>4224.1594800000003</v>
      </c>
    </row>
    <row r="279" spans="1:24" ht="11.1" customHeight="1" x14ac:dyDescent="0.45">
      <c r="A279" s="706" t="s">
        <v>2</v>
      </c>
      <c r="B279" s="695"/>
      <c r="C279" s="695"/>
      <c r="D279" s="695"/>
      <c r="E279" s="695"/>
      <c r="F279" s="695"/>
      <c r="G279" s="695"/>
      <c r="H279" s="695"/>
      <c r="I279" s="695"/>
      <c r="J279" s="695"/>
      <c r="K279" s="696"/>
      <c r="L279" s="695"/>
      <c r="M279" s="695"/>
      <c r="Q279" s="439">
        <f t="shared" si="91"/>
        <v>909</v>
      </c>
      <c r="R279" s="596">
        <f t="shared" si="92"/>
        <v>45221</v>
      </c>
      <c r="S279" s="597" t="e">
        <f t="shared" si="93"/>
        <v>#N/A</v>
      </c>
      <c r="T279" s="526" t="e">
        <f t="shared" si="94"/>
        <v>#N/A</v>
      </c>
      <c r="U279" s="598">
        <v>308.64999999999998</v>
      </c>
      <c r="V279" s="598">
        <v>0</v>
      </c>
      <c r="X279" s="599">
        <v>4224.1594800000003</v>
      </c>
    </row>
    <row r="280" spans="1:24" ht="11.1" customHeight="1" x14ac:dyDescent="0.45">
      <c r="A280" s="696" t="str">
        <f>CONCATENATE("Für die ersten drei Planungsperioden (LTM+1 bis LTM+3) halten wir EBIT-Margen in Höhe von ",TEXT(C22,"#0,0%"),"; ",TEXT(D22,"#0,0%")," und ",TEXT(E22,"#0,0%")," für angemessen.")</f>
        <v>Für die ersten drei Planungsperioden (LTM+1 bis LTM+3) halten wir EBIT-Margen in Höhe von 30,9%; 30,6% und 30,8% für angemessen.</v>
      </c>
      <c r="B280" s="695"/>
      <c r="C280" s="695"/>
      <c r="D280" s="695"/>
      <c r="E280" s="695"/>
      <c r="F280" s="695"/>
      <c r="G280" s="695"/>
      <c r="H280" s="695"/>
      <c r="I280" s="695"/>
      <c r="J280" s="695"/>
      <c r="K280" s="695"/>
      <c r="L280" s="695"/>
      <c r="M280" s="695"/>
      <c r="Q280" s="439">
        <f t="shared" si="91"/>
        <v>908</v>
      </c>
      <c r="R280" s="596">
        <f t="shared" si="92"/>
        <v>45222</v>
      </c>
      <c r="S280" s="597">
        <f t="shared" si="93"/>
        <v>314.01</v>
      </c>
      <c r="T280" s="526">
        <f t="shared" si="94"/>
        <v>5588.3684599999997</v>
      </c>
      <c r="U280" s="598">
        <v>314.01</v>
      </c>
      <c r="V280" s="598">
        <v>5588.3684599999997</v>
      </c>
      <c r="X280" s="599">
        <v>4217.0433899999998</v>
      </c>
    </row>
    <row r="281" spans="1:24" ht="11.1" customHeight="1" x14ac:dyDescent="0.45">
      <c r="A281" s="696" t="s">
        <v>631</v>
      </c>
      <c r="B281" s="695"/>
      <c r="C281" s="695"/>
      <c r="D281" s="695"/>
      <c r="E281" s="695"/>
      <c r="F281" s="695"/>
      <c r="G281" s="695"/>
      <c r="H281" s="695"/>
      <c r="I281" s="695"/>
      <c r="J281" s="695"/>
      <c r="K281" s="695"/>
      <c r="L281" s="695"/>
      <c r="M281" s="695"/>
      <c r="Q281" s="439">
        <f t="shared" si="91"/>
        <v>907</v>
      </c>
      <c r="R281" s="596">
        <f t="shared" si="92"/>
        <v>45223</v>
      </c>
      <c r="S281" s="597">
        <f t="shared" si="93"/>
        <v>312.55</v>
      </c>
      <c r="T281" s="526">
        <f t="shared" si="94"/>
        <v>6102.6912700000003</v>
      </c>
      <c r="U281" s="598">
        <v>312.55</v>
      </c>
      <c r="V281" s="598">
        <v>6102.6912700000003</v>
      </c>
      <c r="X281" s="599">
        <v>4247.6768400000001</v>
      </c>
    </row>
    <row r="282" spans="1:24" ht="11.1" customHeight="1" x14ac:dyDescent="0.45">
      <c r="A282" s="696" t="s">
        <v>632</v>
      </c>
      <c r="B282" s="695"/>
      <c r="C282" s="695"/>
      <c r="D282" s="695"/>
      <c r="E282" s="695"/>
      <c r="F282" s="695"/>
      <c r="G282" s="695"/>
      <c r="H282" s="695"/>
      <c r="I282" s="695"/>
      <c r="J282" s="695"/>
      <c r="K282" s="695"/>
      <c r="L282" s="695"/>
      <c r="M282" s="695"/>
      <c r="Q282" s="439">
        <f t="shared" si="91"/>
        <v>906</v>
      </c>
      <c r="R282" s="596">
        <f t="shared" si="92"/>
        <v>45224</v>
      </c>
      <c r="S282" s="597">
        <f t="shared" si="93"/>
        <v>299.52999999999997</v>
      </c>
      <c r="T282" s="526">
        <f t="shared" si="94"/>
        <v>12637.91174</v>
      </c>
      <c r="U282" s="598">
        <v>299.52999999999997</v>
      </c>
      <c r="V282" s="598">
        <v>12637.91174</v>
      </c>
      <c r="X282" s="599">
        <v>4186.7652500000004</v>
      </c>
    </row>
    <row r="283" spans="1:24" ht="11.1" customHeight="1" x14ac:dyDescent="0.45">
      <c r="A283" s="706" t="s">
        <v>292</v>
      </c>
      <c r="B283" s="695"/>
      <c r="C283" s="695"/>
      <c r="D283" s="695"/>
      <c r="E283" s="695"/>
      <c r="F283" s="695"/>
      <c r="G283" s="695"/>
      <c r="H283" s="695"/>
      <c r="I283" s="695"/>
      <c r="J283" s="695"/>
      <c r="K283" s="696"/>
      <c r="L283" s="695"/>
      <c r="M283" s="695"/>
      <c r="Q283" s="439">
        <f t="shared" si="91"/>
        <v>905</v>
      </c>
      <c r="R283" s="596">
        <f t="shared" si="92"/>
        <v>45225</v>
      </c>
      <c r="S283" s="597">
        <f t="shared" si="93"/>
        <v>288.35000000000002</v>
      </c>
      <c r="T283" s="526">
        <f t="shared" si="94"/>
        <v>19228.372060000002</v>
      </c>
      <c r="U283" s="598">
        <v>288.35000000000002</v>
      </c>
      <c r="V283" s="598">
        <v>19228.372060000002</v>
      </c>
      <c r="X283" s="599">
        <v>4137.2308400000002</v>
      </c>
    </row>
    <row r="284" spans="1:24" ht="11.1" customHeight="1" x14ac:dyDescent="0.45">
      <c r="A284" s="696" t="s">
        <v>220</v>
      </c>
      <c r="B284" s="695"/>
      <c r="C284" s="695"/>
      <c r="D284" s="695"/>
      <c r="E284" s="695"/>
      <c r="F284" s="695"/>
      <c r="G284" s="695"/>
      <c r="H284" s="695"/>
      <c r="I284" s="695"/>
      <c r="J284" s="695"/>
      <c r="K284" s="695"/>
      <c r="L284" s="695"/>
      <c r="M284" s="695"/>
      <c r="Q284" s="439">
        <f t="shared" si="91"/>
        <v>904</v>
      </c>
      <c r="R284" s="596">
        <f t="shared" si="92"/>
        <v>45226</v>
      </c>
      <c r="S284" s="597">
        <f t="shared" si="93"/>
        <v>296.73</v>
      </c>
      <c r="T284" s="526">
        <f t="shared" si="94"/>
        <v>8782.0970400000006</v>
      </c>
      <c r="U284" s="598">
        <v>296.73</v>
      </c>
      <c r="V284" s="598">
        <v>8782.0970400000006</v>
      </c>
      <c r="X284" s="599">
        <v>4117.3738300000005</v>
      </c>
    </row>
    <row r="285" spans="1:24" ht="11.1" customHeight="1" x14ac:dyDescent="0.45">
      <c r="A285" s="696" t="s">
        <v>305</v>
      </c>
      <c r="B285" s="695"/>
      <c r="C285" s="695"/>
      <c r="D285" s="695"/>
      <c r="E285" s="695"/>
      <c r="F285" s="695"/>
      <c r="G285" s="695"/>
      <c r="H285" s="695"/>
      <c r="I285" s="695"/>
      <c r="J285" s="695"/>
      <c r="K285" s="695"/>
      <c r="L285" s="695"/>
      <c r="M285" s="695"/>
      <c r="Q285" s="439">
        <f t="shared" ref="Q285:Q348" si="105">Q286+1</f>
        <v>903</v>
      </c>
      <c r="R285" s="596">
        <f t="shared" ref="R285:R348" si="106">R286-1</f>
        <v>45227</v>
      </c>
      <c r="S285" s="597" t="e">
        <f t="shared" ref="S285:S348" si="107">IF(U285=U284,#N/A,U285)</f>
        <v>#N/A</v>
      </c>
      <c r="T285" s="526" t="e">
        <f t="shared" ref="T285:T348" si="108">IF(S285="#NV",#N/A,V285)</f>
        <v>#N/A</v>
      </c>
      <c r="U285" s="598">
        <v>296.73</v>
      </c>
      <c r="V285" s="598">
        <v>0</v>
      </c>
      <c r="X285" s="599">
        <v>4117.3738300000005</v>
      </c>
    </row>
    <row r="286" spans="1:24" ht="11.1" customHeight="1" x14ac:dyDescent="0.45">
      <c r="A286" s="696" t="str">
        <f>CONCATENATE("Unter Berücksichtigung der Historie und etwaigen Verlustvorträgen halten wir für die drei Planungsperioden (LTM+1 bis LTM+3) effektive Steuerquoten von ",TEXT(C25,"#0,0%"),"; ",TEXT(D25,"#0,0%")," und ",TEXT(E25,"#.0%")," für angemessen.")</f>
        <v>Unter Berücksichtigung der Historie und etwaigen Verlustvorträgen halten wir für die drei Planungsperioden (LTM+1 bis LTM+3) effektive Steuerquoten von 13,8%; 15,0% und 16% für angemessen.</v>
      </c>
      <c r="B286" s="695"/>
      <c r="C286" s="695"/>
      <c r="D286" s="695"/>
      <c r="E286" s="695"/>
      <c r="F286" s="695"/>
      <c r="G286" s="695"/>
      <c r="H286" s="695"/>
      <c r="I286" s="695"/>
      <c r="J286" s="695"/>
      <c r="K286" s="695"/>
      <c r="L286" s="695"/>
      <c r="M286" s="695"/>
      <c r="Q286" s="439">
        <f t="shared" si="105"/>
        <v>902</v>
      </c>
      <c r="R286" s="596">
        <f t="shared" si="106"/>
        <v>45228</v>
      </c>
      <c r="S286" s="597" t="e">
        <f t="shared" si="107"/>
        <v>#N/A</v>
      </c>
      <c r="T286" s="526" t="e">
        <f t="shared" si="108"/>
        <v>#N/A</v>
      </c>
      <c r="U286" s="598">
        <v>296.73</v>
      </c>
      <c r="V286" s="598">
        <v>0</v>
      </c>
      <c r="X286" s="599">
        <v>4117.3738300000005</v>
      </c>
    </row>
    <row r="287" spans="1:24" ht="11.1" customHeight="1" x14ac:dyDescent="0.45">
      <c r="A287" s="696" t="str">
        <f>CONCATENATE("Entlang unseres konservativen Ansatzes unterstellen wir ab LTM+4 eine lineare Entwicklung der Steuerquote bis zum Grenzsteuersatz am Unternehmenssitz ",E6," von ",TEXT(M25,"#0,0%")," in LTM+10.")</f>
        <v>Entlang unseres konservativen Ansatzes unterstellen wir ab LTM+4 eine lineare Entwicklung der Steuerquote bis zum Grenzsteuersatz am Unternehmenssitz Vereinigte Staaten von 25,0% in LTM+10.</v>
      </c>
      <c r="B287" s="695"/>
      <c r="C287" s="695"/>
      <c r="D287" s="695"/>
      <c r="E287" s="695"/>
      <c r="F287" s="695"/>
      <c r="G287" s="695"/>
      <c r="H287" s="695"/>
      <c r="I287" s="695"/>
      <c r="J287" s="695"/>
      <c r="K287" s="695"/>
      <c r="L287" s="695"/>
      <c r="M287" s="695"/>
      <c r="N287" s="716"/>
      <c r="Q287" s="439">
        <f t="shared" si="105"/>
        <v>901</v>
      </c>
      <c r="R287" s="596">
        <f t="shared" si="106"/>
        <v>45229</v>
      </c>
      <c r="S287" s="597">
        <f t="shared" si="107"/>
        <v>302.66000000000003</v>
      </c>
      <c r="T287" s="526">
        <f t="shared" si="108"/>
        <v>8606.1531400000003</v>
      </c>
      <c r="U287" s="598">
        <v>302.66000000000003</v>
      </c>
      <c r="V287" s="598">
        <v>8606.1531400000003</v>
      </c>
      <c r="X287" s="599">
        <v>4166.8151399999997</v>
      </c>
    </row>
    <row r="288" spans="1:24" ht="11.1" customHeight="1" x14ac:dyDescent="0.45">
      <c r="A288" s="706" t="s">
        <v>68</v>
      </c>
      <c r="B288" s="695"/>
      <c r="C288" s="695"/>
      <c r="D288" s="695"/>
      <c r="E288" s="695"/>
      <c r="F288" s="695"/>
      <c r="G288" s="695"/>
      <c r="H288" s="695"/>
      <c r="I288" s="695"/>
      <c r="J288" s="695"/>
      <c r="K288" s="695"/>
      <c r="L288" s="695"/>
      <c r="M288" s="695"/>
      <c r="Q288" s="439">
        <f t="shared" si="105"/>
        <v>900</v>
      </c>
      <c r="R288" s="596">
        <f t="shared" si="106"/>
        <v>45230</v>
      </c>
      <c r="S288" s="597">
        <f t="shared" si="107"/>
        <v>301.27</v>
      </c>
      <c r="T288" s="526">
        <f t="shared" si="108"/>
        <v>5854.9317899999996</v>
      </c>
      <c r="U288" s="598">
        <v>301.27</v>
      </c>
      <c r="V288" s="598">
        <v>5854.9317899999996</v>
      </c>
      <c r="X288" s="599">
        <v>4193.8009599999996</v>
      </c>
    </row>
    <row r="289" spans="1:24" ht="11.1" customHeight="1" x14ac:dyDescent="0.45">
      <c r="A289" s="696" t="s">
        <v>321</v>
      </c>
      <c r="B289" s="695"/>
      <c r="C289" s="695"/>
      <c r="D289" s="695"/>
      <c r="E289" s="695"/>
      <c r="F289" s="695"/>
      <c r="G289" s="695"/>
      <c r="H289" s="695"/>
      <c r="I289" s="695"/>
      <c r="J289" s="695"/>
      <c r="K289" s="695"/>
      <c r="L289" s="695"/>
      <c r="M289" s="695"/>
      <c r="Q289" s="439">
        <f t="shared" si="105"/>
        <v>899</v>
      </c>
      <c r="R289" s="596">
        <f t="shared" si="106"/>
        <v>45231</v>
      </c>
      <c r="S289" s="597">
        <f t="shared" si="107"/>
        <v>311.85000000000002</v>
      </c>
      <c r="T289" s="526">
        <f t="shared" si="108"/>
        <v>6372.5237699999998</v>
      </c>
      <c r="U289" s="598">
        <v>311.85000000000002</v>
      </c>
      <c r="V289" s="598">
        <v>6372.5237699999998</v>
      </c>
      <c r="X289" s="599">
        <v>4237.8556500000004</v>
      </c>
    </row>
    <row r="290" spans="1:24" ht="11.1" customHeight="1" x14ac:dyDescent="0.45">
      <c r="A290" s="696" t="s">
        <v>238</v>
      </c>
      <c r="B290" s="695"/>
      <c r="C290" s="695"/>
      <c r="D290" s="695"/>
      <c r="E290" s="695"/>
      <c r="F290" s="695"/>
      <c r="G290" s="695"/>
      <c r="H290" s="695"/>
      <c r="I290" s="695"/>
      <c r="J290" s="695"/>
      <c r="K290" s="695"/>
      <c r="L290" s="695"/>
      <c r="M290" s="695"/>
      <c r="Q290" s="439">
        <f t="shared" si="105"/>
        <v>898</v>
      </c>
      <c r="R290" s="596">
        <f t="shared" si="106"/>
        <v>45232</v>
      </c>
      <c r="S290" s="597">
        <f t="shared" si="107"/>
        <v>310.87</v>
      </c>
      <c r="T290" s="526">
        <f t="shared" si="108"/>
        <v>6724.6838799999996</v>
      </c>
      <c r="U290" s="598">
        <v>310.87</v>
      </c>
      <c r="V290" s="598">
        <v>6724.6838799999996</v>
      </c>
      <c r="X290" s="599">
        <v>4317.7754800000002</v>
      </c>
    </row>
    <row r="291" spans="1:24" ht="11.1" customHeight="1" x14ac:dyDescent="0.45">
      <c r="A291" s="696" t="s">
        <v>322</v>
      </c>
      <c r="B291" s="695"/>
      <c r="C291" s="695"/>
      <c r="D291" s="695"/>
      <c r="E291" s="695"/>
      <c r="F291" s="695"/>
      <c r="G291" s="695"/>
      <c r="H291" s="695"/>
      <c r="I291" s="695"/>
      <c r="J291" s="695"/>
      <c r="K291" s="695"/>
      <c r="L291" s="695"/>
      <c r="M291" s="695"/>
      <c r="Q291" s="439">
        <f t="shared" si="105"/>
        <v>897</v>
      </c>
      <c r="R291" s="596">
        <f t="shared" si="106"/>
        <v>45233</v>
      </c>
      <c r="S291" s="597">
        <f t="shared" si="107"/>
        <v>314.60000000000002</v>
      </c>
      <c r="T291" s="526">
        <f t="shared" si="108"/>
        <v>5274.0535</v>
      </c>
      <c r="U291" s="598">
        <v>314.60000000000002</v>
      </c>
      <c r="V291" s="598">
        <v>5274.0535</v>
      </c>
      <c r="X291" s="599">
        <v>4358.33518</v>
      </c>
    </row>
    <row r="292" spans="1:24" ht="11.1" customHeight="1" x14ac:dyDescent="0.45">
      <c r="A292" s="696" t="s">
        <v>323</v>
      </c>
      <c r="B292" s="695"/>
      <c r="C292" s="695"/>
      <c r="D292" s="695"/>
      <c r="E292" s="695"/>
      <c r="F292" s="695"/>
      <c r="G292" s="695"/>
      <c r="H292" s="695"/>
      <c r="I292" s="695"/>
      <c r="J292" s="695"/>
      <c r="K292" s="695"/>
      <c r="L292" s="695"/>
      <c r="M292" s="695"/>
      <c r="Q292" s="439">
        <f t="shared" si="105"/>
        <v>896</v>
      </c>
      <c r="R292" s="596">
        <f t="shared" si="106"/>
        <v>45234</v>
      </c>
      <c r="S292" s="597" t="e">
        <f t="shared" si="107"/>
        <v>#N/A</v>
      </c>
      <c r="T292" s="526" t="e">
        <f t="shared" si="108"/>
        <v>#N/A</v>
      </c>
      <c r="U292" s="598">
        <v>314.60000000000002</v>
      </c>
      <c r="V292" s="598">
        <v>0</v>
      </c>
      <c r="X292" s="599">
        <v>4358.33518</v>
      </c>
    </row>
    <row r="293" spans="1:24" ht="11.1" customHeight="1" x14ac:dyDescent="0.45">
      <c r="A293" s="706" t="s">
        <v>294</v>
      </c>
      <c r="B293" s="695"/>
      <c r="C293" s="695"/>
      <c r="D293" s="695"/>
      <c r="E293" s="695"/>
      <c r="F293" s="695"/>
      <c r="G293" s="695"/>
      <c r="H293" s="695"/>
      <c r="I293" s="695"/>
      <c r="J293" s="695"/>
      <c r="K293" s="695"/>
      <c r="L293" s="695"/>
      <c r="M293" s="695"/>
      <c r="Q293" s="439">
        <f t="shared" si="105"/>
        <v>895</v>
      </c>
      <c r="R293" s="596">
        <f t="shared" si="106"/>
        <v>45235</v>
      </c>
      <c r="S293" s="597" t="e">
        <f t="shared" si="107"/>
        <v>#N/A</v>
      </c>
      <c r="T293" s="526" t="e">
        <f t="shared" si="108"/>
        <v>#N/A</v>
      </c>
      <c r="U293" s="598">
        <v>314.60000000000002</v>
      </c>
      <c r="V293" s="598">
        <v>0</v>
      </c>
      <c r="X293" s="599">
        <v>4358.33518</v>
      </c>
    </row>
    <row r="294" spans="1:24" ht="11.1" customHeight="1" x14ac:dyDescent="0.45">
      <c r="A294" s="696" t="str">
        <f>CONCATENATE("Die zukünftigen Nettoinvestitionen kalkulieren wir im vorliegenden Fall ",TEXT(D145,""),":")</f>
        <v>Die zukünftigen Nettoinvestitionen kalkulieren wir im vorliegenden Fall mit Hilfe der Kennziffer Umsatz/Kapital:</v>
      </c>
      <c r="B294" s="695"/>
      <c r="C294" s="695"/>
      <c r="D294" s="695"/>
      <c r="E294" s="695"/>
      <c r="F294" s="695"/>
      <c r="G294" s="695"/>
      <c r="H294" s="695"/>
      <c r="I294" s="695"/>
      <c r="J294" s="695"/>
      <c r="K294" s="695"/>
      <c r="L294" s="695"/>
      <c r="M294" s="695"/>
      <c r="Q294" s="439">
        <f t="shared" si="105"/>
        <v>894</v>
      </c>
      <c r="R294" s="596">
        <f t="shared" si="106"/>
        <v>45236</v>
      </c>
      <c r="S294" s="597">
        <f t="shared" si="107"/>
        <v>315.8</v>
      </c>
      <c r="T294" s="526">
        <f t="shared" si="108"/>
        <v>4069.93534</v>
      </c>
      <c r="U294" s="598">
        <v>315.8</v>
      </c>
      <c r="V294" s="598">
        <v>4069.93534</v>
      </c>
      <c r="X294" s="599">
        <v>4365.9780199999996</v>
      </c>
    </row>
    <row r="295" spans="1:24" ht="11.1" customHeight="1" x14ac:dyDescent="0.45">
      <c r="A295" s="696" t="str">
        <f>IF(J145=0,IF($D$145=$A$147,A148,J148),CONCATENATE("Die auserwählte R-Rate beträgt: ",TEXT($J$145,"#0.0%")))</f>
        <v>Unternehmensumsatz steht in einem Verhältnis zum gebundenen Kapital.</v>
      </c>
      <c r="B295" s="695"/>
      <c r="C295" s="695"/>
      <c r="D295" s="695"/>
      <c r="E295" s="695"/>
      <c r="F295" s="695"/>
      <c r="G295" s="695"/>
      <c r="H295" s="695"/>
      <c r="I295" s="695"/>
      <c r="J295" s="695"/>
      <c r="K295" s="695"/>
      <c r="L295" s="695"/>
      <c r="M295" s="695"/>
      <c r="Q295" s="439">
        <f t="shared" si="105"/>
        <v>893</v>
      </c>
      <c r="R295" s="596">
        <f t="shared" si="106"/>
        <v>45237</v>
      </c>
      <c r="S295" s="597">
        <f t="shared" si="107"/>
        <v>318.82</v>
      </c>
      <c r="T295" s="526">
        <f t="shared" si="108"/>
        <v>4481.2108600000001</v>
      </c>
      <c r="U295" s="598">
        <v>318.82</v>
      </c>
      <c r="V295" s="598">
        <v>4481.2108600000001</v>
      </c>
      <c r="X295" s="599">
        <v>4378.37914</v>
      </c>
    </row>
    <row r="296" spans="1:24" ht="11.1" customHeight="1" x14ac:dyDescent="0.45">
      <c r="A296" s="696" t="str">
        <f t="shared" ref="A296:A300" si="109">IF($D$145=$A$147,A149,J149)</f>
        <v>Das gebundene Kapital ermittelt sich aus einer Formel:</v>
      </c>
      <c r="B296" s="695"/>
      <c r="C296" s="695"/>
      <c r="D296" s="695"/>
      <c r="E296" s="695"/>
      <c r="F296" s="695"/>
      <c r="G296" s="695"/>
      <c r="H296" s="695"/>
      <c r="I296" s="695"/>
      <c r="J296" s="695"/>
      <c r="K296" s="695"/>
      <c r="L296" s="695"/>
      <c r="M296" s="695"/>
      <c r="Q296" s="439">
        <f t="shared" si="105"/>
        <v>892</v>
      </c>
      <c r="R296" s="596">
        <f t="shared" si="106"/>
        <v>45238</v>
      </c>
      <c r="S296" s="597">
        <f t="shared" si="107"/>
        <v>319.77999999999997</v>
      </c>
      <c r="T296" s="526">
        <f t="shared" si="108"/>
        <v>4352.1111499999997</v>
      </c>
      <c r="U296" s="598">
        <v>319.77999999999997</v>
      </c>
      <c r="V296" s="598">
        <v>4352.1111499999997</v>
      </c>
      <c r="X296" s="599">
        <v>4382.7837799999998</v>
      </c>
    </row>
    <row r="297" spans="1:24" ht="11.1" customHeight="1" x14ac:dyDescent="0.45">
      <c r="A297" s="696" t="str">
        <f t="shared" si="109"/>
        <v>Gebundenes Kapital = Zinstragende Verbindlichkeiten + Eigenkapital - liquide Mittel - Goodwill.</v>
      </c>
      <c r="B297" s="695"/>
      <c r="C297" s="695"/>
      <c r="D297" s="695"/>
      <c r="E297" s="695"/>
      <c r="F297" s="695"/>
      <c r="G297" s="695"/>
      <c r="H297" s="695"/>
      <c r="I297" s="695"/>
      <c r="J297" s="695"/>
      <c r="K297" s="695"/>
      <c r="L297" s="695"/>
      <c r="M297" s="695"/>
      <c r="Q297" s="439">
        <f t="shared" si="105"/>
        <v>891</v>
      </c>
      <c r="R297" s="596">
        <f t="shared" si="106"/>
        <v>45239</v>
      </c>
      <c r="S297" s="597">
        <f t="shared" si="107"/>
        <v>320.55</v>
      </c>
      <c r="T297" s="526">
        <f t="shared" si="108"/>
        <v>5161.8394099999996</v>
      </c>
      <c r="U297" s="598">
        <v>320.55</v>
      </c>
      <c r="V297" s="598">
        <v>5161.8394099999996</v>
      </c>
      <c r="X297" s="599">
        <v>4347.3493200000003</v>
      </c>
    </row>
    <row r="298" spans="1:24" ht="11.1" customHeight="1" x14ac:dyDescent="0.45">
      <c r="A298" s="696" t="str">
        <f t="shared" si="109"/>
        <v>Die Kennziffer drückt aus, wieviel Kapital bei vorgegebenem Umsatz investiert sein muss.</v>
      </c>
      <c r="B298" s="695"/>
      <c r="C298" s="695"/>
      <c r="D298" s="695"/>
      <c r="E298" s="695"/>
      <c r="F298" s="695"/>
      <c r="G298" s="695"/>
      <c r="H298" s="695"/>
      <c r="I298" s="695"/>
      <c r="J298" s="695"/>
      <c r="K298" s="695"/>
      <c r="L298" s="695"/>
      <c r="M298" s="695"/>
      <c r="Q298" s="439">
        <f t="shared" si="105"/>
        <v>890</v>
      </c>
      <c r="R298" s="596">
        <f t="shared" si="106"/>
        <v>45240</v>
      </c>
      <c r="S298" s="597">
        <f t="shared" si="107"/>
        <v>328.77</v>
      </c>
      <c r="T298" s="526">
        <f t="shared" si="108"/>
        <v>6285.0701200000003</v>
      </c>
      <c r="U298" s="598">
        <v>328.77</v>
      </c>
      <c r="V298" s="598">
        <v>6285.0701200000003</v>
      </c>
      <c r="X298" s="599">
        <v>4415.2446900000004</v>
      </c>
    </row>
    <row r="299" spans="1:24" ht="11.1" customHeight="1" x14ac:dyDescent="0.45">
      <c r="A299" s="696" t="str">
        <f t="shared" si="109"/>
        <v>Da im DCF-Modell Umsatzprognosen vorliegen, kann das (implizit) gebundene Kapital berechnet werden.</v>
      </c>
      <c r="B299" s="695"/>
      <c r="C299" s="695"/>
      <c r="D299" s="695"/>
      <c r="E299" s="695"/>
      <c r="F299" s="695"/>
      <c r="G299" s="695"/>
      <c r="H299" s="695"/>
      <c r="I299" s="695"/>
      <c r="J299" s="695"/>
      <c r="K299" s="695"/>
      <c r="L299" s="695"/>
      <c r="M299" s="695"/>
      <c r="Q299" s="439">
        <f t="shared" si="105"/>
        <v>889</v>
      </c>
      <c r="R299" s="596">
        <f t="shared" si="106"/>
        <v>45241</v>
      </c>
      <c r="S299" s="597" t="e">
        <f t="shared" si="107"/>
        <v>#N/A</v>
      </c>
      <c r="T299" s="526" t="e">
        <f t="shared" si="108"/>
        <v>#N/A</v>
      </c>
      <c r="U299" s="598">
        <v>328.77</v>
      </c>
      <c r="V299" s="598">
        <v>0</v>
      </c>
      <c r="X299" s="599">
        <v>4415.2446900000004</v>
      </c>
    </row>
    <row r="300" spans="1:24" ht="11.1" customHeight="1" x14ac:dyDescent="0.45">
      <c r="A300" s="696" t="str">
        <f t="shared" si="109"/>
        <v>Die Veränderung von einer Periode zur nächsten Periode ergibt die jährlichen Nettoinvestitionen.</v>
      </c>
      <c r="B300" s="695"/>
      <c r="C300" s="695"/>
      <c r="D300" s="695"/>
      <c r="E300" s="695"/>
      <c r="F300" s="695"/>
      <c r="G300" s="695"/>
      <c r="H300" s="695"/>
      <c r="I300" s="695"/>
      <c r="J300" s="695"/>
      <c r="K300" s="695"/>
      <c r="L300" s="695"/>
      <c r="M300" s="695"/>
      <c r="Q300" s="439">
        <f t="shared" si="105"/>
        <v>888</v>
      </c>
      <c r="R300" s="596">
        <f t="shared" si="106"/>
        <v>45242</v>
      </c>
      <c r="S300" s="597" t="e">
        <f t="shared" si="107"/>
        <v>#N/A</v>
      </c>
      <c r="T300" s="526" t="e">
        <f t="shared" si="108"/>
        <v>#N/A</v>
      </c>
      <c r="U300" s="598">
        <v>328.77</v>
      </c>
      <c r="V300" s="598">
        <v>0</v>
      </c>
      <c r="X300" s="599">
        <v>4415.2446900000004</v>
      </c>
    </row>
    <row r="301" spans="1:24" ht="11.1" customHeight="1" x14ac:dyDescent="0.45">
      <c r="A301" s="696" t="str">
        <f>IF($D$145=$A$147,CONCATENATE(A154,TEXT(F154,"0,0")," und ",TEXT(H154,"0,0")," (je nach Anlageintensität der jeweiligen Industrie)."),J154)</f>
        <v>Typischerweise liegt die Kennziffer Umsatz/Kapital zwischen0,5 und 5,0 (je nach Anlageintensität der jeweiligen Industrie).</v>
      </c>
      <c r="B301" s="695"/>
      <c r="C301" s="695"/>
      <c r="D301" s="695"/>
      <c r="E301" s="695"/>
      <c r="F301" s="695"/>
      <c r="G301" s="695"/>
      <c r="H301" s="695"/>
      <c r="I301" s="695"/>
      <c r="J301" s="695"/>
      <c r="K301" s="695"/>
      <c r="L301" s="695"/>
      <c r="M301" s="695"/>
      <c r="Q301" s="439">
        <f t="shared" si="105"/>
        <v>887</v>
      </c>
      <c r="R301" s="596">
        <f t="shared" si="106"/>
        <v>45243</v>
      </c>
      <c r="S301" s="597">
        <f t="shared" si="107"/>
        <v>329.19</v>
      </c>
      <c r="T301" s="526">
        <f t="shared" si="108"/>
        <v>5566.25659</v>
      </c>
      <c r="U301" s="598">
        <v>329.19</v>
      </c>
      <c r="V301" s="598">
        <v>5566.25659</v>
      </c>
      <c r="X301" s="599">
        <v>4411.5548900000003</v>
      </c>
    </row>
    <row r="302" spans="1:24" ht="11.1" customHeight="1" x14ac:dyDescent="0.45">
      <c r="A302" s="696" t="str">
        <f>IF($D$145=$A$147,A155,J155)</f>
        <v>Je niedriger die Kennziffer ausfällt, desto mehr ist bei gegebenem Umsatz zu investieren.</v>
      </c>
      <c r="B302" s="695"/>
      <c r="C302" s="695"/>
      <c r="D302" s="695"/>
      <c r="E302" s="695"/>
      <c r="F302" s="695"/>
      <c r="G302" s="695"/>
      <c r="H302" s="695"/>
      <c r="I302" s="695"/>
      <c r="J302" s="695"/>
      <c r="K302" s="695"/>
      <c r="L302" s="695"/>
      <c r="M302" s="695"/>
      <c r="Q302" s="439">
        <f t="shared" si="105"/>
        <v>886</v>
      </c>
      <c r="R302" s="596">
        <f t="shared" si="106"/>
        <v>45244</v>
      </c>
      <c r="S302" s="597">
        <f t="shared" si="107"/>
        <v>336.31</v>
      </c>
      <c r="T302" s="526">
        <f t="shared" si="108"/>
        <v>5777.60502</v>
      </c>
      <c r="U302" s="598">
        <v>336.31</v>
      </c>
      <c r="V302" s="598">
        <v>5777.60502</v>
      </c>
      <c r="X302" s="599">
        <v>4495.7015899999997</v>
      </c>
    </row>
    <row r="303" spans="1:24" ht="11.1" customHeight="1" x14ac:dyDescent="0.45">
      <c r="A303" s="696" t="str">
        <f>IF($D$145=$A$147,A156,J156)</f>
        <v>Beträgt die Kennziffer z.B. 3,0 (Umsatz/Kapital), so sind für EUR 100 Umsatz EUR 30 zu investieren.</v>
      </c>
      <c r="B303" s="695"/>
      <c r="C303" s="695"/>
      <c r="D303" s="695"/>
      <c r="E303" s="695"/>
      <c r="F303" s="695"/>
      <c r="G303" s="695"/>
      <c r="H303" s="695"/>
      <c r="I303" s="695"/>
      <c r="J303" s="695"/>
      <c r="K303" s="695"/>
      <c r="L303" s="695"/>
      <c r="M303" s="695"/>
      <c r="Q303" s="439">
        <f t="shared" si="105"/>
        <v>885</v>
      </c>
      <c r="R303" s="596">
        <f t="shared" si="106"/>
        <v>45245</v>
      </c>
      <c r="S303" s="597">
        <f t="shared" si="107"/>
        <v>332.71</v>
      </c>
      <c r="T303" s="526">
        <f t="shared" si="108"/>
        <v>4834.6688999999997</v>
      </c>
      <c r="U303" s="598">
        <v>332.71</v>
      </c>
      <c r="V303" s="598">
        <v>4834.6688999999997</v>
      </c>
      <c r="X303" s="599">
        <v>4502.8788299999997</v>
      </c>
    </row>
    <row r="304" spans="1:24" ht="11.1" customHeight="1" x14ac:dyDescent="0.45">
      <c r="A304" s="706" t="s">
        <v>293</v>
      </c>
      <c r="B304" s="695"/>
      <c r="C304" s="695"/>
      <c r="D304" s="695"/>
      <c r="E304" s="695"/>
      <c r="F304" s="695"/>
      <c r="G304" s="695"/>
      <c r="H304" s="695"/>
      <c r="I304" s="695"/>
      <c r="J304" s="695"/>
      <c r="K304" s="695"/>
      <c r="L304" s="695"/>
      <c r="M304" s="695"/>
      <c r="Q304" s="439">
        <f t="shared" si="105"/>
        <v>884</v>
      </c>
      <c r="R304" s="596">
        <f t="shared" si="106"/>
        <v>45246</v>
      </c>
      <c r="S304" s="597">
        <f t="shared" si="107"/>
        <v>334.19</v>
      </c>
      <c r="T304" s="526">
        <f t="shared" si="108"/>
        <v>6327.0762400000003</v>
      </c>
      <c r="U304" s="598">
        <v>334.19</v>
      </c>
      <c r="V304" s="598">
        <v>6327.0762400000003</v>
      </c>
      <c r="X304" s="599">
        <v>4508.2434999999996</v>
      </c>
    </row>
    <row r="305" spans="1:24" ht="11.1" customHeight="1" x14ac:dyDescent="0.45">
      <c r="A305" s="696" t="s">
        <v>352</v>
      </c>
      <c r="B305" s="695"/>
      <c r="C305" s="695"/>
      <c r="D305" s="695"/>
      <c r="E305" s="695"/>
      <c r="F305" s="695"/>
      <c r="G305" s="695"/>
      <c r="H305" s="695"/>
      <c r="I305" s="695"/>
      <c r="J305" s="695"/>
      <c r="K305" s="695"/>
      <c r="L305" s="695"/>
      <c r="M305" s="695"/>
      <c r="Q305" s="439">
        <f t="shared" si="105"/>
        <v>883</v>
      </c>
      <c r="R305" s="596">
        <f t="shared" si="106"/>
        <v>45247</v>
      </c>
      <c r="S305" s="597">
        <f t="shared" si="107"/>
        <v>335.04</v>
      </c>
      <c r="T305" s="526">
        <f t="shared" si="108"/>
        <v>4864.5171200000004</v>
      </c>
      <c r="U305" s="598">
        <v>335.04</v>
      </c>
      <c r="V305" s="598">
        <v>4864.5171200000004</v>
      </c>
      <c r="X305" s="599">
        <v>4514.0178599999999</v>
      </c>
    </row>
    <row r="306" spans="1:24" ht="11.1" customHeight="1" x14ac:dyDescent="0.45">
      <c r="A306" s="696" t="s">
        <v>633</v>
      </c>
      <c r="B306" s="695"/>
      <c r="C306" s="695"/>
      <c r="D306" s="695"/>
      <c r="E306" s="695"/>
      <c r="F306" s="695"/>
      <c r="G306" s="718"/>
      <c r="H306" s="695"/>
      <c r="I306" s="696"/>
      <c r="J306" s="695"/>
      <c r="K306" s="695"/>
      <c r="L306" s="695"/>
      <c r="M306" s="695"/>
      <c r="Q306" s="439">
        <f t="shared" si="105"/>
        <v>882</v>
      </c>
      <c r="R306" s="596">
        <f t="shared" si="106"/>
        <v>45248</v>
      </c>
      <c r="S306" s="597" t="e">
        <f t="shared" si="107"/>
        <v>#N/A</v>
      </c>
      <c r="T306" s="526" t="e">
        <f t="shared" si="108"/>
        <v>#N/A</v>
      </c>
      <c r="U306" s="598">
        <v>335.04</v>
      </c>
      <c r="V306" s="598">
        <v>0</v>
      </c>
      <c r="X306" s="599">
        <v>4514.0178599999999</v>
      </c>
    </row>
    <row r="307" spans="1:24" ht="11.1" customHeight="1" x14ac:dyDescent="0.45">
      <c r="A307" s="696" t="s">
        <v>634</v>
      </c>
      <c r="B307" s="695"/>
      <c r="C307" s="695"/>
      <c r="D307" s="695"/>
      <c r="E307" s="695"/>
      <c r="F307" s="695"/>
      <c r="G307" s="695"/>
      <c r="H307" s="695"/>
      <c r="I307" s="695"/>
      <c r="J307" s="695"/>
      <c r="K307" s="695"/>
      <c r="L307" s="695"/>
      <c r="M307" s="695"/>
      <c r="Q307" s="439">
        <f t="shared" si="105"/>
        <v>881</v>
      </c>
      <c r="R307" s="596">
        <f t="shared" si="106"/>
        <v>45249</v>
      </c>
      <c r="S307" s="597" t="e">
        <f t="shared" si="107"/>
        <v>#N/A</v>
      </c>
      <c r="T307" s="526" t="e">
        <f t="shared" si="108"/>
        <v>#N/A</v>
      </c>
      <c r="U307" s="598">
        <v>335.04</v>
      </c>
      <c r="V307" s="598">
        <v>0</v>
      </c>
      <c r="X307" s="599">
        <v>4514.0178599999999</v>
      </c>
    </row>
    <row r="308" spans="1:24" ht="11.1" customHeight="1" x14ac:dyDescent="0.45">
      <c r="A308" s="696" t="s">
        <v>635</v>
      </c>
      <c r="B308" s="695"/>
      <c r="C308" s="695"/>
      <c r="D308" s="695"/>
      <c r="E308" s="695"/>
      <c r="F308" s="695"/>
      <c r="G308" s="695"/>
      <c r="H308" s="695"/>
      <c r="I308" s="695"/>
      <c r="J308" s="695"/>
      <c r="K308" s="695"/>
      <c r="L308" s="695"/>
      <c r="M308" s="695"/>
      <c r="Q308" s="439">
        <f t="shared" si="105"/>
        <v>880</v>
      </c>
      <c r="R308" s="596">
        <f t="shared" si="106"/>
        <v>45250</v>
      </c>
      <c r="S308" s="597">
        <f t="shared" si="107"/>
        <v>339.97</v>
      </c>
      <c r="T308" s="526">
        <f t="shared" si="108"/>
        <v>5771.3745799999997</v>
      </c>
      <c r="U308" s="598">
        <v>339.97</v>
      </c>
      <c r="V308" s="598">
        <v>5771.3745799999997</v>
      </c>
      <c r="X308" s="599">
        <v>4547.3774899999999</v>
      </c>
    </row>
    <row r="309" spans="1:24" ht="11.1" customHeight="1" x14ac:dyDescent="0.45">
      <c r="A309" s="696" t="s">
        <v>636</v>
      </c>
      <c r="B309" s="695"/>
      <c r="C309" s="695"/>
      <c r="D309" s="695"/>
      <c r="E309" s="695"/>
      <c r="F309" s="695"/>
      <c r="G309" s="695"/>
      <c r="H309" s="695"/>
      <c r="I309" s="695"/>
      <c r="J309" s="695"/>
      <c r="K309" s="695"/>
      <c r="L309" s="695"/>
      <c r="M309" s="695"/>
      <c r="Q309" s="439">
        <f t="shared" si="105"/>
        <v>879</v>
      </c>
      <c r="R309" s="596">
        <f t="shared" si="106"/>
        <v>45251</v>
      </c>
      <c r="S309" s="597">
        <f t="shared" si="107"/>
        <v>336.98</v>
      </c>
      <c r="T309" s="526">
        <f t="shared" si="108"/>
        <v>4053.1492699999999</v>
      </c>
      <c r="U309" s="598">
        <v>336.98</v>
      </c>
      <c r="V309" s="598">
        <v>4053.1492699999999</v>
      </c>
      <c r="X309" s="599">
        <v>4538.1916600000004</v>
      </c>
    </row>
    <row r="310" spans="1:24" ht="11.1" customHeight="1" x14ac:dyDescent="0.45">
      <c r="A310" s="696" t="str">
        <f>IF($J$145=0,IF($D$145=$A$147,CONCATENATE(A193," ",TEXT(-G193,"#.##0")," Mio. für plausibel notwendige Nettoinvestitionen.",IF(L19&lt;B19," Negatives Vorzeichen: AfA &gt; Investition (stagnierendes Geschäft).","")),CONCATENATE("Relativ ausgedrückt, beträgt die geschätzte Veränderung über 10 Jahre insgesamt ",TEXT(N193,"#0,0%")," (EBIT-T LTM+10 / EBIT-T LTM -1).",IF(L19&lt;B19," Negatives Vorzeichen: AfA &gt; Investition (stagnierendes Geschäft).",""))),"")</f>
        <v>Für die nächsten 10 Jahre ergibt sich eine Gesamtsumme von USD 191.641 Mio. für plausibel notwendige Nettoinvestitionen.</v>
      </c>
      <c r="B310" s="695"/>
      <c r="C310" s="695"/>
      <c r="D310" s="695"/>
      <c r="E310" s="695"/>
      <c r="F310" s="695"/>
      <c r="G310" s="695"/>
      <c r="H310" s="695"/>
      <c r="I310" s="695"/>
      <c r="J310" s="695"/>
      <c r="K310" s="695"/>
      <c r="L310" s="695"/>
      <c r="M310" s="695"/>
      <c r="Q310" s="439">
        <f t="shared" si="105"/>
        <v>878</v>
      </c>
      <c r="R310" s="596">
        <f t="shared" si="106"/>
        <v>45252</v>
      </c>
      <c r="S310" s="597">
        <f t="shared" si="107"/>
        <v>341.49</v>
      </c>
      <c r="T310" s="526">
        <f t="shared" si="108"/>
        <v>3659.1257900000001</v>
      </c>
      <c r="U310" s="598">
        <v>341.49</v>
      </c>
      <c r="V310" s="598">
        <v>3659.1257900000001</v>
      </c>
      <c r="X310" s="599">
        <v>4556.6192199999996</v>
      </c>
    </row>
    <row r="311" spans="1:24" ht="11.1" customHeight="1" x14ac:dyDescent="0.45">
      <c r="A311" s="696" t="str">
        <f>IF($J$145=0,IF($D$145=$A$147,IF(G193=G195,"",CONCATENATE(A194," ",TEXT(F194,"#0,0%")," (Reinvestment / EBIT-T).",IF($G$193=$G$195,""," In Folge haben wir uns mit Aussagen von Analysten über anstehende Investitionen und der Plausibilität beschäftigt."))),CONCATENATE("Unter Berücksichtigung historischer Renditen, statistischer Relevanz und Industriebenchmarks unterstellen wir ",TEXT(N194,"#0,0%")," nachhaltige ROCE.")),"")</f>
        <v>Die Reinvestitionsquote beträgt damit 18,6% (Reinvestment / EBIT-T). In Folge haben wir uns mit Aussagen von Analysten über anstehende Investitionen und der Plausibilität beschäftigt.</v>
      </c>
      <c r="B311" s="695"/>
      <c r="C311" s="695"/>
      <c r="D311" s="695"/>
      <c r="E311" s="695"/>
      <c r="F311" s="717"/>
      <c r="G311" s="695"/>
      <c r="H311" s="695"/>
      <c r="I311" s="695"/>
      <c r="J311" s="695"/>
      <c r="K311" s="695"/>
      <c r="L311" s="695"/>
      <c r="M311" s="695"/>
      <c r="Q311" s="439">
        <f t="shared" si="105"/>
        <v>877</v>
      </c>
      <c r="R311" s="596">
        <f t="shared" si="106"/>
        <v>45253</v>
      </c>
      <c r="S311" s="597" t="e">
        <f t="shared" si="107"/>
        <v>#N/A</v>
      </c>
      <c r="T311" s="526" t="e">
        <f t="shared" si="108"/>
        <v>#N/A</v>
      </c>
      <c r="U311" s="598">
        <v>341.49</v>
      </c>
      <c r="V311" s="598">
        <v>0</v>
      </c>
      <c r="X311" s="599">
        <v>4556.6192199999996</v>
      </c>
    </row>
    <row r="312" spans="1:24" ht="11.1" customHeight="1" x14ac:dyDescent="0.45">
      <c r="A312" s="696" t="str">
        <f>IF($J$145=0,IF($D$145=$A$147,IF($G$193=$G$195,"",CONCATENATE(A195,": ",TEXT(-M216,"#.##0")," Mio. über den Zeitraum von 10 Jahren, dies entspricht einem Verhältnis von ",TEXT(M217,"#0,00")," Umsatz zu Kapital.")),CONCATENATE("Unser konservativer Ansatz reduziert ROCE um einen durchschnittlichen Afa-Satz in Höhe von ",TEXT(N195,"#0,0%"),".")),"")</f>
        <v>Nach Würdigung der Schätzungen und Plausibilität werden final übernommen USD: 390.703 Mio. über den Zeitraum von 10 Jahren, dies entspricht einem Verhältnis von 0,84 Umsatz zu Kapital.</v>
      </c>
      <c r="B312" s="695"/>
      <c r="C312" s="695"/>
      <c r="D312" s="695"/>
      <c r="E312" s="695"/>
      <c r="F312" s="695"/>
      <c r="G312" s="695"/>
      <c r="H312" s="695"/>
      <c r="I312" s="695"/>
      <c r="J312" s="695"/>
      <c r="K312" s="695"/>
      <c r="L312" s="695"/>
      <c r="M312" s="695"/>
      <c r="Q312" s="439">
        <f t="shared" si="105"/>
        <v>876</v>
      </c>
      <c r="R312" s="596">
        <f t="shared" si="106"/>
        <v>45254</v>
      </c>
      <c r="S312" s="597">
        <f t="shared" si="107"/>
        <v>338.23</v>
      </c>
      <c r="T312" s="526">
        <f t="shared" si="108"/>
        <v>1849.26847</v>
      </c>
      <c r="U312" s="598">
        <v>338.23</v>
      </c>
      <c r="V312" s="598">
        <v>1849.26847</v>
      </c>
      <c r="X312" s="599">
        <v>4559.3352100000002</v>
      </c>
    </row>
    <row r="313" spans="1:24" ht="11.1" customHeight="1" x14ac:dyDescent="0.45">
      <c r="A313" s="696" t="str">
        <f>IF($J$145=0,IF($D$145=$A$147,IF($G$193=$G$195,"",CONCATENATE(A196," ",TEXT(F196,"#0,0%"),".")&amp;IF(G195&gt;0,"Es wird ein stagnierendes Geschäft unterstellt, Abschreibungen übersteigen die Investitionen und erhöhen den Cashflow.","")),CONCATENATE("Die Formel zur Berechnung der Nettoinvestitionen über den Planungshorizont von 10 Jahren lautet: ",J196,".")),"")</f>
        <v>Die Reinvestitionsquote beträgt somit 37,9%.</v>
      </c>
      <c r="B313" s="695"/>
      <c r="C313" s="695"/>
      <c r="D313" s="695"/>
      <c r="E313" s="695"/>
      <c r="F313" s="695"/>
      <c r="G313" s="695"/>
      <c r="H313" s="695"/>
      <c r="I313" s="695"/>
      <c r="J313" s="695"/>
      <c r="K313" s="695"/>
      <c r="L313" s="695"/>
      <c r="M313" s="695"/>
      <c r="Q313" s="439">
        <f t="shared" si="105"/>
        <v>875</v>
      </c>
      <c r="R313" s="596">
        <f t="shared" si="106"/>
        <v>45255</v>
      </c>
      <c r="S313" s="597" t="e">
        <f t="shared" si="107"/>
        <v>#N/A</v>
      </c>
      <c r="T313" s="526" t="e">
        <f t="shared" si="108"/>
        <v>#N/A</v>
      </c>
      <c r="U313" s="598">
        <v>338.23</v>
      </c>
      <c r="V313" s="598">
        <v>0</v>
      </c>
      <c r="X313" s="599">
        <v>4559.3352100000002</v>
      </c>
    </row>
    <row r="314" spans="1:24" ht="11.1" customHeight="1" x14ac:dyDescent="0.45">
      <c r="A314" s="696" t="s">
        <v>637</v>
      </c>
      <c r="B314" s="695"/>
      <c r="C314" s="695"/>
      <c r="D314" s="695"/>
      <c r="E314" s="695"/>
      <c r="F314" s="695"/>
      <c r="G314" s="695"/>
      <c r="H314" s="695"/>
      <c r="I314" s="695"/>
      <c r="J314" s="695"/>
      <c r="K314" s="695"/>
      <c r="L314" s="695"/>
      <c r="M314" s="695"/>
      <c r="Q314" s="439">
        <f t="shared" si="105"/>
        <v>874</v>
      </c>
      <c r="R314" s="596">
        <f t="shared" si="106"/>
        <v>45256</v>
      </c>
      <c r="S314" s="597" t="e">
        <f t="shared" si="107"/>
        <v>#N/A</v>
      </c>
      <c r="T314" s="526" t="e">
        <f t="shared" si="108"/>
        <v>#N/A</v>
      </c>
      <c r="U314" s="598">
        <v>338.23</v>
      </c>
      <c r="V314" s="598">
        <v>0</v>
      </c>
      <c r="X314" s="599">
        <v>4559.3352100000002</v>
      </c>
    </row>
    <row r="315" spans="1:24" ht="11.1" customHeight="1" x14ac:dyDescent="0.45">
      <c r="A315" s="696" t="s">
        <v>592</v>
      </c>
      <c r="B315" s="695"/>
      <c r="C315" s="695"/>
      <c r="D315" s="695"/>
      <c r="E315" s="695"/>
      <c r="F315" s="695"/>
      <c r="G315" s="695"/>
      <c r="H315" s="695"/>
      <c r="I315" s="695"/>
      <c r="J315" s="695"/>
      <c r="K315" s="695"/>
      <c r="L315" s="695"/>
      <c r="M315" s="695"/>
      <c r="Q315" s="439">
        <f t="shared" si="105"/>
        <v>873</v>
      </c>
      <c r="R315" s="596">
        <f t="shared" si="106"/>
        <v>45257</v>
      </c>
      <c r="S315" s="597">
        <f t="shared" si="107"/>
        <v>334.7</v>
      </c>
      <c r="T315" s="526">
        <f t="shared" si="108"/>
        <v>5249.5867500000004</v>
      </c>
      <c r="U315" s="598">
        <v>334.7</v>
      </c>
      <c r="V315" s="598">
        <v>5249.5867500000004</v>
      </c>
      <c r="X315" s="599">
        <v>4550.4280500000004</v>
      </c>
    </row>
    <row r="316" spans="1:24" ht="11.1" customHeight="1" x14ac:dyDescent="0.45">
      <c r="A316" s="696" t="s">
        <v>221</v>
      </c>
      <c r="B316" s="695"/>
      <c r="C316" s="695"/>
      <c r="D316" s="695"/>
      <c r="E316" s="695"/>
      <c r="F316" s="695"/>
      <c r="G316" s="695"/>
      <c r="H316" s="695"/>
      <c r="I316" s="695"/>
      <c r="J316" s="695"/>
      <c r="K316" s="695"/>
      <c r="L316" s="695"/>
      <c r="M316" s="695"/>
      <c r="Q316" s="439">
        <f t="shared" si="105"/>
        <v>872</v>
      </c>
      <c r="R316" s="596">
        <f t="shared" si="106"/>
        <v>45258</v>
      </c>
      <c r="S316" s="597">
        <f t="shared" si="107"/>
        <v>338.99</v>
      </c>
      <c r="T316" s="526">
        <f t="shared" si="108"/>
        <v>4283.8996800000004</v>
      </c>
      <c r="U316" s="598">
        <v>338.99</v>
      </c>
      <c r="V316" s="598">
        <v>4283.8996800000004</v>
      </c>
      <c r="X316" s="599">
        <v>4554.8905599999998</v>
      </c>
    </row>
    <row r="317" spans="1:24" ht="11.1" customHeight="1" x14ac:dyDescent="0.45">
      <c r="A317" s="697" t="s">
        <v>216</v>
      </c>
      <c r="B317" s="698"/>
      <c r="C317" s="698"/>
      <c r="D317" s="698"/>
      <c r="E317" s="698"/>
      <c r="F317" s="698"/>
      <c r="G317" s="698"/>
      <c r="H317" s="698"/>
      <c r="I317" s="698"/>
      <c r="J317" s="698"/>
      <c r="K317" s="698"/>
      <c r="L317" s="698"/>
      <c r="M317" s="698"/>
      <c r="Q317" s="439">
        <f t="shared" si="105"/>
        <v>871</v>
      </c>
      <c r="R317" s="596">
        <f t="shared" si="106"/>
        <v>45259</v>
      </c>
      <c r="S317" s="597">
        <f t="shared" si="107"/>
        <v>332.2</v>
      </c>
      <c r="T317" s="526">
        <f t="shared" si="108"/>
        <v>5323.3379000000004</v>
      </c>
      <c r="U317" s="598">
        <v>332.2</v>
      </c>
      <c r="V317" s="598">
        <v>5323.3379000000004</v>
      </c>
      <c r="X317" s="599">
        <v>4550.5823200000004</v>
      </c>
    </row>
    <row r="318" spans="1:24" ht="11.1" customHeight="1" x14ac:dyDescent="0.45">
      <c r="A318" s="696" t="s">
        <v>217</v>
      </c>
      <c r="B318" s="695"/>
      <c r="C318" s="695"/>
      <c r="D318" s="695"/>
      <c r="E318" s="695"/>
      <c r="F318" s="695"/>
      <c r="G318" s="695"/>
      <c r="H318" s="695"/>
      <c r="I318" s="695"/>
      <c r="J318" s="695"/>
      <c r="K318" s="695"/>
      <c r="L318" s="695"/>
      <c r="M318" s="695"/>
      <c r="Q318" s="439">
        <f t="shared" si="105"/>
        <v>870</v>
      </c>
      <c r="R318" s="596">
        <f t="shared" si="106"/>
        <v>45260</v>
      </c>
      <c r="S318" s="597">
        <f t="shared" si="107"/>
        <v>327.14999999999998</v>
      </c>
      <c r="T318" s="526">
        <f t="shared" si="108"/>
        <v>7572.34051</v>
      </c>
      <c r="U318" s="598">
        <v>327.14999999999998</v>
      </c>
      <c r="V318" s="598">
        <v>7572.34051</v>
      </c>
      <c r="X318" s="599">
        <v>4567.79864</v>
      </c>
    </row>
    <row r="319" spans="1:24" ht="11.1" customHeight="1" x14ac:dyDescent="0.45">
      <c r="A319" s="696" t="s">
        <v>306</v>
      </c>
      <c r="B319" s="695"/>
      <c r="C319" s="695"/>
      <c r="D319" s="695"/>
      <c r="E319" s="695"/>
      <c r="F319" s="695"/>
      <c r="G319" s="695"/>
      <c r="H319" s="695"/>
      <c r="I319" s="695"/>
      <c r="J319" s="695"/>
      <c r="K319" s="695"/>
      <c r="L319" s="695"/>
      <c r="M319" s="695"/>
      <c r="Q319" s="439">
        <f t="shared" si="105"/>
        <v>869</v>
      </c>
      <c r="R319" s="596">
        <f t="shared" si="106"/>
        <v>45261</v>
      </c>
      <c r="S319" s="597">
        <f t="shared" si="107"/>
        <v>324.82</v>
      </c>
      <c r="T319" s="526">
        <f t="shared" si="108"/>
        <v>4962.0721299999996</v>
      </c>
      <c r="U319" s="598">
        <v>324.82</v>
      </c>
      <c r="V319" s="598">
        <v>4962.0721299999996</v>
      </c>
      <c r="X319" s="599">
        <v>4594.6315800000002</v>
      </c>
    </row>
    <row r="320" spans="1:24" ht="11.1" customHeight="1" x14ac:dyDescent="0.45">
      <c r="A320" s="696" t="str">
        <f>CONCATENATE("Den sog. Terminal Value berechnen wir mit der methodisch anerkannten Formel: Terminal Value = ewiger Cashflow / (WACC - Wachstumsfaktor g).")</f>
        <v>Den sog. Terminal Value berechnen wir mit der methodisch anerkannten Formel: Terminal Value = ewiger Cashflow / (WACC - Wachstumsfaktor g).</v>
      </c>
      <c r="B320" s="695"/>
      <c r="C320" s="695"/>
      <c r="D320" s="695"/>
      <c r="E320" s="695"/>
      <c r="F320" s="695"/>
      <c r="G320" s="695"/>
      <c r="H320" s="695"/>
      <c r="I320" s="695"/>
      <c r="J320" s="695"/>
      <c r="K320" s="695"/>
      <c r="L320" s="695"/>
      <c r="M320" s="695"/>
      <c r="Q320" s="439">
        <f t="shared" si="105"/>
        <v>868</v>
      </c>
      <c r="R320" s="596">
        <f t="shared" si="106"/>
        <v>45262</v>
      </c>
      <c r="S320" s="597" t="e">
        <f t="shared" si="107"/>
        <v>#N/A</v>
      </c>
      <c r="T320" s="526" t="e">
        <f t="shared" si="108"/>
        <v>#N/A</v>
      </c>
      <c r="U320" s="598">
        <v>324.82</v>
      </c>
      <c r="V320" s="598">
        <v>0</v>
      </c>
      <c r="X320" s="599">
        <v>4594.6315800000002</v>
      </c>
    </row>
    <row r="321" spans="1:24" ht="11.1" customHeight="1" x14ac:dyDescent="0.45">
      <c r="A321" s="696" t="s">
        <v>638</v>
      </c>
      <c r="B321" s="695"/>
      <c r="C321" s="695"/>
      <c r="D321" s="695"/>
      <c r="E321" s="695"/>
      <c r="F321" s="695"/>
      <c r="G321" s="695"/>
      <c r="H321" s="695"/>
      <c r="I321" s="695"/>
      <c r="J321" s="695"/>
      <c r="K321" s="695"/>
      <c r="L321" s="695"/>
      <c r="M321" s="695"/>
      <c r="Q321" s="439">
        <f t="shared" si="105"/>
        <v>867</v>
      </c>
      <c r="R321" s="596">
        <f t="shared" si="106"/>
        <v>45263</v>
      </c>
      <c r="S321" s="597" t="e">
        <f t="shared" si="107"/>
        <v>#N/A</v>
      </c>
      <c r="T321" s="526" t="e">
        <f t="shared" si="108"/>
        <v>#N/A</v>
      </c>
      <c r="U321" s="598">
        <v>324.82</v>
      </c>
      <c r="V321" s="598">
        <v>0</v>
      </c>
      <c r="X321" s="599">
        <v>4594.6315800000002</v>
      </c>
    </row>
    <row r="322" spans="1:24" ht="11.1" customHeight="1" x14ac:dyDescent="0.45">
      <c r="A322" s="696" t="s">
        <v>227</v>
      </c>
      <c r="B322" s="695"/>
      <c r="C322" s="695"/>
      <c r="D322" s="695"/>
      <c r="E322" s="695"/>
      <c r="F322" s="695"/>
      <c r="G322" s="695"/>
      <c r="H322" s="695"/>
      <c r="I322" s="695"/>
      <c r="J322" s="695"/>
      <c r="K322" s="695"/>
      <c r="L322" s="695"/>
      <c r="M322" s="695"/>
      <c r="Q322" s="439">
        <f t="shared" si="105"/>
        <v>866</v>
      </c>
      <c r="R322" s="596">
        <f t="shared" si="106"/>
        <v>45264</v>
      </c>
      <c r="S322" s="597">
        <f t="shared" si="107"/>
        <v>320.02</v>
      </c>
      <c r="T322" s="526">
        <f t="shared" si="108"/>
        <v>6092.2463399999997</v>
      </c>
      <c r="U322" s="598">
        <v>320.02</v>
      </c>
      <c r="V322" s="598">
        <v>6092.2463399999997</v>
      </c>
      <c r="X322" s="599">
        <v>4569.7815600000004</v>
      </c>
    </row>
    <row r="323" spans="1:24" ht="11.1" customHeight="1" x14ac:dyDescent="0.45">
      <c r="A323" s="696" t="s">
        <v>639</v>
      </c>
      <c r="B323" s="695"/>
      <c r="C323" s="695"/>
      <c r="D323" s="695"/>
      <c r="E323" s="695"/>
      <c r="F323" s="695"/>
      <c r="G323" s="695"/>
      <c r="H323" s="695"/>
      <c r="I323" s="695"/>
      <c r="J323" s="695"/>
      <c r="K323" s="695"/>
      <c r="L323" s="695"/>
      <c r="M323" s="695"/>
      <c r="Q323" s="439">
        <f t="shared" si="105"/>
        <v>865</v>
      </c>
      <c r="R323" s="596">
        <f t="shared" si="106"/>
        <v>45265</v>
      </c>
      <c r="S323" s="597">
        <f t="shared" si="107"/>
        <v>318.29000000000002</v>
      </c>
      <c r="T323" s="526">
        <f t="shared" si="108"/>
        <v>5395.6928200000002</v>
      </c>
      <c r="U323" s="598">
        <v>318.29000000000002</v>
      </c>
      <c r="V323" s="598">
        <v>5395.6928200000002</v>
      </c>
      <c r="X323" s="599">
        <v>4567.1829699999998</v>
      </c>
    </row>
    <row r="324" spans="1:24" ht="11.1" customHeight="1" x14ac:dyDescent="0.45">
      <c r="A324" s="697" t="s">
        <v>226</v>
      </c>
      <c r="B324" s="698"/>
      <c r="C324" s="698"/>
      <c r="D324" s="698"/>
      <c r="E324" s="698"/>
      <c r="F324" s="698"/>
      <c r="G324" s="698"/>
      <c r="H324" s="698"/>
      <c r="I324" s="698"/>
      <c r="J324" s="698"/>
      <c r="K324" s="698"/>
      <c r="L324" s="698"/>
      <c r="M324" s="698"/>
      <c r="Q324" s="439">
        <f t="shared" si="105"/>
        <v>864</v>
      </c>
      <c r="R324" s="596">
        <f t="shared" si="106"/>
        <v>45266</v>
      </c>
      <c r="S324" s="597">
        <f t="shared" si="107"/>
        <v>317.45</v>
      </c>
      <c r="T324" s="526">
        <f t="shared" si="108"/>
        <v>3585.3872799999999</v>
      </c>
      <c r="U324" s="598">
        <v>317.45</v>
      </c>
      <c r="V324" s="598">
        <v>3585.3872799999999</v>
      </c>
      <c r="X324" s="599">
        <v>4549.3373799999999</v>
      </c>
    </row>
    <row r="325" spans="1:24" ht="11.1" customHeight="1" x14ac:dyDescent="0.45">
      <c r="A325" s="706" t="s">
        <v>210</v>
      </c>
      <c r="B325" s="696"/>
      <c r="C325" s="695"/>
      <c r="D325" s="695"/>
      <c r="E325" s="695"/>
      <c r="F325" s="695"/>
      <c r="G325" s="695"/>
      <c r="H325" s="695"/>
      <c r="I325" s="695"/>
      <c r="J325" s="695"/>
      <c r="K325" s="695"/>
      <c r="L325" s="695"/>
      <c r="M325" s="695"/>
      <c r="Q325" s="439">
        <f t="shared" si="105"/>
        <v>863</v>
      </c>
      <c r="R325" s="596">
        <f t="shared" si="106"/>
        <v>45267</v>
      </c>
      <c r="S325" s="597">
        <f t="shared" si="107"/>
        <v>326.58999999999997</v>
      </c>
      <c r="T325" s="526">
        <f t="shared" si="108"/>
        <v>5194.4397499999995</v>
      </c>
      <c r="U325" s="598">
        <v>326.58999999999997</v>
      </c>
      <c r="V325" s="598">
        <v>5194.4397499999995</v>
      </c>
      <c r="X325" s="599">
        <v>4585.58619</v>
      </c>
    </row>
    <row r="326" spans="1:24" ht="11.1" customHeight="1" x14ac:dyDescent="0.45">
      <c r="A326" s="696" t="s">
        <v>239</v>
      </c>
      <c r="B326" s="695"/>
      <c r="C326" s="695"/>
      <c r="D326" s="695"/>
      <c r="E326" s="695"/>
      <c r="F326" s="695"/>
      <c r="G326" s="695"/>
      <c r="H326" s="695"/>
      <c r="I326" s="695"/>
      <c r="J326" s="695"/>
      <c r="K326" s="695"/>
      <c r="L326" s="695"/>
      <c r="M326" s="695"/>
      <c r="Q326" s="439">
        <f t="shared" si="105"/>
        <v>862</v>
      </c>
      <c r="R326" s="596">
        <f t="shared" si="106"/>
        <v>45268</v>
      </c>
      <c r="S326" s="597">
        <f t="shared" si="107"/>
        <v>332.75</v>
      </c>
      <c r="T326" s="526">
        <f t="shared" si="108"/>
        <v>4687.5660500000004</v>
      </c>
      <c r="U326" s="598">
        <v>332.75</v>
      </c>
      <c r="V326" s="598">
        <v>4687.5660500000004</v>
      </c>
      <c r="X326" s="599">
        <v>4604.3722500000003</v>
      </c>
    </row>
    <row r="327" spans="1:24" ht="11.1" customHeight="1" x14ac:dyDescent="0.45">
      <c r="A327" s="696" t="str">
        <f>CONCATENATE("Im vorliegenden Fall verwenden wir einen Diskontierungsfaktor in Höhe von ",TEXT($C$87,"#0,0%")," (LTM), dessen mathematische Herleitung wir nachstehend erläutern und begründen.")</f>
        <v>Im vorliegenden Fall verwenden wir einen Diskontierungsfaktor in Höhe von 9,4% (LTM), dessen mathematische Herleitung wir nachstehend erläutern und begründen.</v>
      </c>
      <c r="B327" s="695"/>
      <c r="C327" s="695"/>
      <c r="D327" s="695"/>
      <c r="E327" s="695"/>
      <c r="F327" s="695"/>
      <c r="G327" s="695"/>
      <c r="H327" s="695"/>
      <c r="I327" s="695"/>
      <c r="J327" s="695"/>
      <c r="K327" s="695"/>
      <c r="L327" s="695"/>
      <c r="M327" s="695"/>
      <c r="Q327" s="439">
        <f t="shared" si="105"/>
        <v>861</v>
      </c>
      <c r="R327" s="596">
        <f t="shared" si="106"/>
        <v>45269</v>
      </c>
      <c r="S327" s="597" t="e">
        <f t="shared" si="107"/>
        <v>#N/A</v>
      </c>
      <c r="T327" s="526" t="e">
        <f t="shared" si="108"/>
        <v>#N/A</v>
      </c>
      <c r="U327" s="598">
        <v>332.75</v>
      </c>
      <c r="V327" s="598">
        <v>0</v>
      </c>
      <c r="X327" s="599">
        <v>4604.3722500000003</v>
      </c>
    </row>
    <row r="328" spans="1:24" ht="11.1" customHeight="1" x14ac:dyDescent="0.45">
      <c r="A328" s="696" t="str">
        <f>CONCATENATE("Unter Berücksichtigung erwarteter Verschuldungsquoten passen wir den Diskontierungszins im Zeitablauf bis ",TEXT($N$87,"#0,0%")," für die ewige Rente an.")</f>
        <v>Unter Berücksichtigung erwarteter Verschuldungsquoten passen wir den Diskontierungszins im Zeitablauf bis 8,3% für die ewige Rente an.</v>
      </c>
      <c r="B328" s="695"/>
      <c r="C328" s="695"/>
      <c r="D328" s="695"/>
      <c r="E328" s="695"/>
      <c r="F328" s="695"/>
      <c r="G328" s="695"/>
      <c r="H328" s="695"/>
      <c r="I328" s="695"/>
      <c r="J328" s="695"/>
      <c r="K328" s="695"/>
      <c r="L328" s="695"/>
      <c r="M328" s="695"/>
      <c r="Q328" s="439">
        <f t="shared" si="105"/>
        <v>860</v>
      </c>
      <c r="R328" s="596">
        <f t="shared" si="106"/>
        <v>45270</v>
      </c>
      <c r="S328" s="597" t="e">
        <f t="shared" si="107"/>
        <v>#N/A</v>
      </c>
      <c r="T328" s="526" t="e">
        <f t="shared" si="108"/>
        <v>#N/A</v>
      </c>
      <c r="U328" s="598">
        <v>332.75</v>
      </c>
      <c r="V328" s="598">
        <v>0</v>
      </c>
      <c r="X328" s="599">
        <v>4604.3722500000003</v>
      </c>
    </row>
    <row r="329" spans="1:24" ht="11.1" customHeight="1" x14ac:dyDescent="0.45">
      <c r="A329" s="706" t="s">
        <v>295</v>
      </c>
      <c r="B329" s="695"/>
      <c r="C329" s="695"/>
      <c r="D329" s="695"/>
      <c r="E329" s="695"/>
      <c r="F329" s="695"/>
      <c r="G329" s="695"/>
      <c r="H329" s="695"/>
      <c r="I329" s="695"/>
      <c r="J329" s="695"/>
      <c r="K329" s="695"/>
      <c r="L329" s="695"/>
      <c r="M329" s="695"/>
      <c r="Q329" s="439">
        <f t="shared" si="105"/>
        <v>859</v>
      </c>
      <c r="R329" s="596">
        <f t="shared" si="106"/>
        <v>45271</v>
      </c>
      <c r="S329" s="597">
        <f t="shared" si="107"/>
        <v>325.27999999999997</v>
      </c>
      <c r="T329" s="526">
        <f t="shared" si="108"/>
        <v>8393.02484</v>
      </c>
      <c r="U329" s="598">
        <v>325.27999999999997</v>
      </c>
      <c r="V329" s="598">
        <v>8393.02484</v>
      </c>
      <c r="X329" s="599">
        <v>4622.4407700000002</v>
      </c>
    </row>
    <row r="330" spans="1:24" ht="11.1" customHeight="1" x14ac:dyDescent="0.45">
      <c r="A330" s="696" t="s">
        <v>640</v>
      </c>
      <c r="B330" s="695"/>
      <c r="C330" s="695"/>
      <c r="D330" s="695"/>
      <c r="E330" s="695"/>
      <c r="F330" s="695"/>
      <c r="G330" s="695"/>
      <c r="H330" s="695"/>
      <c r="I330" s="695"/>
      <c r="J330" s="695"/>
      <c r="K330" s="695"/>
      <c r="L330" s="695"/>
      <c r="M330" s="695"/>
      <c r="Q330" s="439">
        <f t="shared" si="105"/>
        <v>858</v>
      </c>
      <c r="R330" s="596">
        <f t="shared" si="106"/>
        <v>45272</v>
      </c>
      <c r="S330" s="597">
        <f t="shared" si="107"/>
        <v>334.22</v>
      </c>
      <c r="T330" s="526">
        <f t="shared" si="108"/>
        <v>6178.2107800000003</v>
      </c>
      <c r="U330" s="598">
        <v>334.22</v>
      </c>
      <c r="V330" s="598">
        <v>6178.2107800000003</v>
      </c>
      <c r="X330" s="599">
        <v>4643.7017699999997</v>
      </c>
    </row>
    <row r="331" spans="1:24" ht="11.1" customHeight="1" x14ac:dyDescent="0.45">
      <c r="A331" s="696" t="s">
        <v>651</v>
      </c>
      <c r="B331" s="695"/>
      <c r="C331" s="695"/>
      <c r="D331" s="695"/>
      <c r="E331" s="695"/>
      <c r="F331" s="695"/>
      <c r="G331" s="695"/>
      <c r="H331" s="695"/>
      <c r="I331" s="695"/>
      <c r="J331" s="695"/>
      <c r="K331" s="695"/>
      <c r="L331" s="695"/>
      <c r="M331" s="695"/>
      <c r="Q331" s="439">
        <f t="shared" si="105"/>
        <v>857</v>
      </c>
      <c r="R331" s="596">
        <f t="shared" si="106"/>
        <v>45273</v>
      </c>
      <c r="S331" s="597">
        <f t="shared" si="107"/>
        <v>334.74</v>
      </c>
      <c r="T331" s="526">
        <f t="shared" si="108"/>
        <v>5474.11067</v>
      </c>
      <c r="U331" s="598">
        <v>334.74</v>
      </c>
      <c r="V331" s="598">
        <v>5474.11067</v>
      </c>
      <c r="X331" s="599">
        <v>4707.0913600000003</v>
      </c>
    </row>
    <row r="332" spans="1:24" ht="11.1" customHeight="1" x14ac:dyDescent="0.45">
      <c r="A332" s="696" t="str">
        <f>CONCATENATE("Ein bedeutendes Merkmal unserer Methodik besteht sodann darin, das regionale Risiko einzupreisen und im vorliegenden Fall verändern wir die Risikoprämie auf ",TEXT(F40,"#0,0%"),".")</f>
        <v>Ein bedeutendes Merkmal unserer Methodik besteht sodann darin, das regionale Risiko einzupreisen und im vorliegenden Fall verändern wir die Risikoprämie auf 6,7%.</v>
      </c>
      <c r="B332" s="695"/>
      <c r="C332" s="695"/>
      <c r="D332" s="695"/>
      <c r="E332" s="695"/>
      <c r="F332" s="695"/>
      <c r="G332" s="695"/>
      <c r="H332" s="695"/>
      <c r="I332" s="695"/>
      <c r="J332" s="695"/>
      <c r="K332" s="695"/>
      <c r="L332" s="695"/>
      <c r="M332" s="695"/>
      <c r="Q332" s="439">
        <f t="shared" si="105"/>
        <v>856</v>
      </c>
      <c r="R332" s="596">
        <f t="shared" si="106"/>
        <v>45274</v>
      </c>
      <c r="S332" s="597">
        <f t="shared" si="107"/>
        <v>333.17</v>
      </c>
      <c r="T332" s="526">
        <f t="shared" si="108"/>
        <v>6532.5757999999996</v>
      </c>
      <c r="U332" s="598">
        <v>333.17</v>
      </c>
      <c r="V332" s="598">
        <v>6532.5757999999996</v>
      </c>
      <c r="X332" s="599">
        <v>4719.5519199999999</v>
      </c>
    </row>
    <row r="333" spans="1:24" ht="11.1" customHeight="1" x14ac:dyDescent="0.45">
      <c r="A333" s="696" t="str">
        <f>"Die regionale Anpassung der Risikoprämie erfolgt unter Berücksichtigung des Heimatsitzes und der regionalen Absatzmärkte, die "&amp;IFERROR(IF(OR(RIGHT(LEFT(SUBSTITUTE(A2," ","^",2),FIND("^",SUBSTITUTE(A2," ","^",2))-1),1)=",",RIGHT(LEFT(SUBSTITUTE(A2," ","^",2),FIND("^",SUBSTITUTE(A2," ","^",2))-1),1)="."), LEFT(LEFT(SUBSTITUTE(A2," ","^",2),FIND("^",SUBSTITUTE(A2," ","^",2))-1),LEN(LEFT(SUBSTITUTE(A2," ","^",2),FIND("^",SUBSTITUTE(A2," ","^",2))-1))-1), LEFT(SUBSTITUTE(A2," ","^",2),FIND("^",SUBSTITUTE(A2," ","^",2))-1)),LEFT(A2,FIND("^",SUBSTITUTE(TRIM(A2)&amp;" "," ","^",2))-0))&amp;" regelmäßig veröffentlicht."</f>
        <v>Die regionale Anpassung der Risikoprämie erfolgt unter Berücksichtigung des Heimatsitzes und der regionalen Absatzmärkte, die Meta Platforms regelmäßig veröffentlicht.</v>
      </c>
      <c r="B333" s="695"/>
      <c r="C333" s="695"/>
      <c r="D333" s="695"/>
      <c r="E333" s="695"/>
      <c r="F333" s="695"/>
      <c r="G333" s="695"/>
      <c r="H333" s="695"/>
      <c r="I333" s="695"/>
      <c r="J333" s="695"/>
      <c r="K333" s="695"/>
      <c r="L333" s="695"/>
      <c r="M333" s="695"/>
      <c r="Q333" s="439">
        <f t="shared" si="105"/>
        <v>855</v>
      </c>
      <c r="R333" s="596">
        <f t="shared" si="106"/>
        <v>45275</v>
      </c>
      <c r="S333" s="597">
        <f t="shared" si="107"/>
        <v>334.92</v>
      </c>
      <c r="T333" s="526">
        <f t="shared" si="108"/>
        <v>10642.70327</v>
      </c>
      <c r="U333" s="598">
        <v>334.92</v>
      </c>
      <c r="V333" s="598">
        <v>10642.70327</v>
      </c>
      <c r="X333" s="599">
        <v>4719.1906499999996</v>
      </c>
    </row>
    <row r="334" spans="1:24" ht="11.1" customHeight="1" x14ac:dyDescent="0.45">
      <c r="A334" s="696" t="s">
        <v>218</v>
      </c>
      <c r="B334" s="695"/>
      <c r="C334" s="695"/>
      <c r="D334" s="695"/>
      <c r="E334" s="695"/>
      <c r="F334" s="695"/>
      <c r="G334" s="695"/>
      <c r="H334" s="695"/>
      <c r="I334" s="695"/>
      <c r="J334" s="695"/>
      <c r="K334" s="695"/>
      <c r="L334" s="695"/>
      <c r="M334" s="695"/>
      <c r="Q334" s="439">
        <f t="shared" si="105"/>
        <v>854</v>
      </c>
      <c r="R334" s="596">
        <f t="shared" si="106"/>
        <v>45276</v>
      </c>
      <c r="S334" s="597" t="e">
        <f t="shared" si="107"/>
        <v>#N/A</v>
      </c>
      <c r="T334" s="526" t="e">
        <f t="shared" si="108"/>
        <v>#N/A</v>
      </c>
      <c r="U334" s="598">
        <v>334.92</v>
      </c>
      <c r="V334" s="598">
        <v>0</v>
      </c>
      <c r="X334" s="599">
        <v>4719.1906499999996</v>
      </c>
    </row>
    <row r="335" spans="1:24" ht="11.1" customHeight="1" x14ac:dyDescent="0.45">
      <c r="A335" s="696" t="str">
        <f>CONCATENATE("Die Eigenkapitalkosten berechnen wir wie folgt: Eigenkapitalkosten = risikoloser Zins + Beta * Risikoprämie ="," ",TEXT(F39,"#0,0%")," + ",TEXT(F41,"0,00")," * ",TEXT(F40,"#0,0%")," = ",TEXT(F43,"#0,0%"),".")</f>
        <v>Die Eigenkapitalkosten berechnen wir wie folgt: Eigenkapitalkosten = risikoloser Zins + Beta * Risikoprämie = 4,3% + 0,80 * 6,7% = 9,7%.</v>
      </c>
      <c r="B335" s="695"/>
      <c r="C335" s="695"/>
      <c r="D335" s="695"/>
      <c r="E335" s="695"/>
      <c r="F335" s="695"/>
      <c r="G335" s="695"/>
      <c r="H335" s="695"/>
      <c r="I335" s="695"/>
      <c r="J335" s="695"/>
      <c r="K335" s="695"/>
      <c r="L335" s="695"/>
      <c r="M335" s="695"/>
      <c r="Q335" s="439">
        <f t="shared" si="105"/>
        <v>853</v>
      </c>
      <c r="R335" s="596">
        <f t="shared" si="106"/>
        <v>45277</v>
      </c>
      <c r="S335" s="597" t="e">
        <f t="shared" si="107"/>
        <v>#N/A</v>
      </c>
      <c r="T335" s="526" t="e">
        <f t="shared" si="108"/>
        <v>#N/A</v>
      </c>
      <c r="U335" s="598">
        <v>334.92</v>
      </c>
      <c r="V335" s="598">
        <v>0</v>
      </c>
      <c r="X335" s="599">
        <v>4719.1906499999996</v>
      </c>
    </row>
    <row r="336" spans="1:24" ht="11.1" customHeight="1" x14ac:dyDescent="0.45">
      <c r="A336" s="696" t="s">
        <v>219</v>
      </c>
      <c r="B336" s="695"/>
      <c r="C336" s="695"/>
      <c r="D336" s="695"/>
      <c r="E336" s="695"/>
      <c r="F336" s="695"/>
      <c r="G336" s="695"/>
      <c r="H336" s="695"/>
      <c r="I336" s="695"/>
      <c r="J336" s="695"/>
      <c r="K336" s="695"/>
      <c r="L336" s="695"/>
      <c r="M336" s="695"/>
      <c r="Q336" s="439">
        <f t="shared" si="105"/>
        <v>852</v>
      </c>
      <c r="R336" s="596">
        <f t="shared" si="106"/>
        <v>45278</v>
      </c>
      <c r="S336" s="597">
        <f t="shared" si="107"/>
        <v>344.62</v>
      </c>
      <c r="T336" s="526">
        <f t="shared" si="108"/>
        <v>6545.6612800000003</v>
      </c>
      <c r="U336" s="598">
        <v>344.62</v>
      </c>
      <c r="V336" s="598">
        <v>6545.6612800000003</v>
      </c>
      <c r="X336" s="599">
        <v>4740.5560100000002</v>
      </c>
    </row>
    <row r="337" spans="1:24" ht="11.1" customHeight="1" x14ac:dyDescent="0.45">
      <c r="A337" s="706" t="s">
        <v>349</v>
      </c>
      <c r="B337" s="695"/>
      <c r="C337" s="695"/>
      <c r="D337" s="695"/>
      <c r="E337" s="695"/>
      <c r="F337" s="695"/>
      <c r="G337" s="695"/>
      <c r="H337" s="695"/>
      <c r="I337" s="695"/>
      <c r="J337" s="695"/>
      <c r="K337" s="695"/>
      <c r="L337" s="695"/>
      <c r="M337" s="695"/>
      <c r="Q337" s="439">
        <f t="shared" si="105"/>
        <v>851</v>
      </c>
      <c r="R337" s="596">
        <f t="shared" si="106"/>
        <v>45279</v>
      </c>
      <c r="S337" s="597">
        <f t="shared" si="107"/>
        <v>350.36</v>
      </c>
      <c r="T337" s="526">
        <f t="shared" si="108"/>
        <v>6211.6592700000001</v>
      </c>
      <c r="U337" s="598">
        <v>350.36</v>
      </c>
      <c r="V337" s="598">
        <v>6211.6592700000001</v>
      </c>
      <c r="X337" s="599">
        <v>4768.3653700000004</v>
      </c>
    </row>
    <row r="338" spans="1:24" ht="11.1" customHeight="1" x14ac:dyDescent="0.45">
      <c r="A338" s="696" t="s">
        <v>213</v>
      </c>
      <c r="B338" s="695"/>
      <c r="C338" s="695"/>
      <c r="D338" s="695"/>
      <c r="E338" s="695"/>
      <c r="F338" s="695"/>
      <c r="G338" s="695"/>
      <c r="H338" s="695"/>
      <c r="I338" s="695"/>
      <c r="J338" s="695"/>
      <c r="K338" s="695"/>
      <c r="L338" s="695"/>
      <c r="M338" s="695"/>
      <c r="Q338" s="439">
        <f t="shared" si="105"/>
        <v>850</v>
      </c>
      <c r="R338" s="596">
        <f t="shared" si="106"/>
        <v>45280</v>
      </c>
      <c r="S338" s="597">
        <f t="shared" si="107"/>
        <v>349.28</v>
      </c>
      <c r="T338" s="526">
        <f t="shared" si="108"/>
        <v>5717.6612100000002</v>
      </c>
      <c r="U338" s="598">
        <v>349.28</v>
      </c>
      <c r="V338" s="598">
        <v>5717.6612100000002</v>
      </c>
      <c r="X338" s="599">
        <v>4698.3519500000002</v>
      </c>
    </row>
    <row r="339" spans="1:24" ht="11.1" customHeight="1" x14ac:dyDescent="0.45">
      <c r="A339" s="696" t="s">
        <v>240</v>
      </c>
      <c r="B339" s="695"/>
      <c r="C339" s="695"/>
      <c r="D339" s="695"/>
      <c r="E339" s="695"/>
      <c r="F339" s="695"/>
      <c r="G339" s="695"/>
      <c r="H339" s="695"/>
      <c r="I339" s="695"/>
      <c r="J339" s="695"/>
      <c r="K339" s="695"/>
      <c r="L339" s="695"/>
      <c r="M339" s="695"/>
      <c r="Q339" s="439">
        <f t="shared" si="105"/>
        <v>849</v>
      </c>
      <c r="R339" s="596">
        <f t="shared" si="106"/>
        <v>45281</v>
      </c>
      <c r="S339" s="597">
        <f t="shared" si="107"/>
        <v>354.09</v>
      </c>
      <c r="T339" s="526">
        <f t="shared" si="108"/>
        <v>5413.8788800000002</v>
      </c>
      <c r="U339" s="598">
        <v>354.09</v>
      </c>
      <c r="V339" s="598">
        <v>5413.8788800000002</v>
      </c>
      <c r="X339" s="599">
        <v>4746.7456400000001</v>
      </c>
    </row>
    <row r="340" spans="1:24" ht="11.1" customHeight="1" x14ac:dyDescent="0.45">
      <c r="A340" s="696" t="str">
        <f>"Somit berücksichtigt unser Beta das systematische Risiko der Industrien, in denen die "&amp;IFERROR(IF(OR(RIGHT(LEFT(SUBSTITUTE(A2," ","^",2),FIND("^",SUBSTITUTE(A2," ","^",2))-1),1)=",",RIGHT(LEFT(SUBSTITUTE(A2," ","^",2),FIND("^",SUBSTITUTE(A2," ","^",2))-1),1)="."), LEFT(LEFT(SUBSTITUTE(A2," ","^",2),FIND("^",SUBSTITUTE(A2," ","^",2))-1),LEN(LEFT(SUBSTITUTE(A2," ","^",2),FIND("^",SUBSTITUTE(A2," ","^",2))-1))-1), LEFT(SUBSTITUTE(A2," ","^",2),FIND("^",SUBSTITUTE(A2," ","^",2))-1)),LEFT(A2,FIND("^",SUBSTITUTE(TRIM(A2)&amp;" "," ","^",2))-0))&amp;" tätig ist."</f>
        <v>Somit berücksichtigt unser Beta das systematische Risiko der Industrien, in denen die Meta Platforms tätig ist.</v>
      </c>
      <c r="B340" s="695"/>
      <c r="C340" s="695"/>
      <c r="D340" s="695"/>
      <c r="E340" s="695"/>
      <c r="F340" s="695"/>
      <c r="G340" s="695"/>
      <c r="H340" s="695"/>
      <c r="I340" s="695"/>
      <c r="J340" s="695"/>
      <c r="K340" s="695"/>
      <c r="L340" s="695"/>
      <c r="M340" s="695"/>
      <c r="Q340" s="439">
        <f t="shared" si="105"/>
        <v>848</v>
      </c>
      <c r="R340" s="596">
        <f t="shared" si="106"/>
        <v>45282</v>
      </c>
      <c r="S340" s="597">
        <f t="shared" si="107"/>
        <v>353.39</v>
      </c>
      <c r="T340" s="526">
        <f t="shared" si="108"/>
        <v>4160.3823700000003</v>
      </c>
      <c r="U340" s="598">
        <v>353.39</v>
      </c>
      <c r="V340" s="598">
        <v>4160.3823700000003</v>
      </c>
      <c r="X340" s="599">
        <v>4754.6314499999999</v>
      </c>
    </row>
    <row r="341" spans="1:24" ht="11.1" customHeight="1" x14ac:dyDescent="0.45">
      <c r="A341" s="696" t="str">
        <f>"Viele Unternehmen sind in unterschiedlichen Industrien aktiv, wir gewichten anhand der Umsatzverteilung und berücksichtigen Auf- oder Abschläge je nach Stabilität der EBIT-Marge (CAPM plus)."</f>
        <v>Viele Unternehmen sind in unterschiedlichen Industrien aktiv, wir gewichten anhand der Umsatzverteilung und berücksichtigen Auf- oder Abschläge je nach Stabilität der EBIT-Marge (CAPM plus).</v>
      </c>
      <c r="B341" s="695"/>
      <c r="C341" s="695"/>
      <c r="D341" s="695"/>
      <c r="E341" s="695"/>
      <c r="F341" s="695"/>
      <c r="G341" s="695"/>
      <c r="H341" s="695"/>
      <c r="I341" s="695"/>
      <c r="J341" s="695"/>
      <c r="K341" s="695"/>
      <c r="L341" s="695"/>
      <c r="M341" s="695"/>
      <c r="Q341" s="439">
        <f t="shared" si="105"/>
        <v>847</v>
      </c>
      <c r="R341" s="596">
        <f t="shared" si="106"/>
        <v>45283</v>
      </c>
      <c r="S341" s="597" t="e">
        <f t="shared" si="107"/>
        <v>#N/A</v>
      </c>
      <c r="T341" s="526" t="e">
        <f t="shared" si="108"/>
        <v>#N/A</v>
      </c>
      <c r="U341" s="598">
        <v>353.39</v>
      </c>
      <c r="V341" s="598">
        <v>0</v>
      </c>
      <c r="X341" s="599">
        <v>4754.6314499999999</v>
      </c>
    </row>
    <row r="342" spans="1:24" ht="11.1" customHeight="1" x14ac:dyDescent="0.45">
      <c r="A342" s="696" t="s">
        <v>298</v>
      </c>
      <c r="B342" s="695"/>
      <c r="C342" s="695"/>
      <c r="D342" s="695"/>
      <c r="E342" s="695"/>
      <c r="F342" s="695"/>
      <c r="G342" s="695"/>
      <c r="H342" s="695"/>
      <c r="I342" s="695"/>
      <c r="J342" s="695"/>
      <c r="K342" s="695"/>
      <c r="L342" s="695"/>
      <c r="M342" s="695"/>
      <c r="Q342" s="439">
        <f t="shared" si="105"/>
        <v>846</v>
      </c>
      <c r="R342" s="596">
        <f t="shared" si="106"/>
        <v>45284</v>
      </c>
      <c r="S342" s="597" t="e">
        <f t="shared" si="107"/>
        <v>#N/A</v>
      </c>
      <c r="T342" s="526" t="e">
        <f t="shared" si="108"/>
        <v>#N/A</v>
      </c>
      <c r="U342" s="598">
        <v>353.39</v>
      </c>
      <c r="V342" s="598">
        <v>0</v>
      </c>
      <c r="X342" s="599">
        <v>4754.6314499999999</v>
      </c>
    </row>
    <row r="343" spans="1:24" ht="11.1" customHeight="1" x14ac:dyDescent="0.45">
      <c r="A343" s="706" t="s">
        <v>296</v>
      </c>
      <c r="B343" s="695"/>
      <c r="C343" s="695"/>
      <c r="D343" s="695"/>
      <c r="E343" s="695"/>
      <c r="F343" s="695"/>
      <c r="G343" s="695"/>
      <c r="H343" s="695"/>
      <c r="I343" s="695"/>
      <c r="J343" s="695"/>
      <c r="K343" s="695"/>
      <c r="L343" s="695"/>
      <c r="M343" s="695"/>
      <c r="Q343" s="439">
        <f t="shared" si="105"/>
        <v>845</v>
      </c>
      <c r="R343" s="596">
        <f t="shared" si="106"/>
        <v>45285</v>
      </c>
      <c r="S343" s="597" t="e">
        <f t="shared" si="107"/>
        <v>#N/A</v>
      </c>
      <c r="T343" s="526" t="e">
        <f t="shared" si="108"/>
        <v>#N/A</v>
      </c>
      <c r="U343" s="598">
        <v>353.39</v>
      </c>
      <c r="V343" s="598">
        <v>0</v>
      </c>
      <c r="X343" s="599">
        <v>4754.6314499999999</v>
      </c>
    </row>
    <row r="344" spans="1:24" ht="11.1" customHeight="1" x14ac:dyDescent="0.45">
      <c r="A344" s="696" t="str">
        <f>CONCATENATE("Die Fremdkapitalkosten beziffern wir zum Bewertungsstichtag auf ",TEXT(F44,"#0,0%"),". Dies ist der Zinssatz, zudem das Unternehmen aktuell langfristige Mittel aufnehmen kann.")</f>
        <v>Die Fremdkapitalkosten beziffern wir zum Bewertungsstichtag auf 5,6%. Dies ist der Zinssatz, zudem das Unternehmen aktuell langfristige Mittel aufnehmen kann.</v>
      </c>
      <c r="B344" s="695"/>
      <c r="C344" s="695"/>
      <c r="D344" s="695"/>
      <c r="E344" s="695"/>
      <c r="F344" s="695"/>
      <c r="G344" s="695"/>
      <c r="H344" s="695"/>
      <c r="I344" s="695"/>
      <c r="J344" s="695"/>
      <c r="K344" s="695"/>
      <c r="L344" s="695"/>
      <c r="M344" s="695"/>
      <c r="Q344" s="439">
        <f t="shared" si="105"/>
        <v>844</v>
      </c>
      <c r="R344" s="596">
        <f t="shared" si="106"/>
        <v>45286</v>
      </c>
      <c r="S344" s="597">
        <f t="shared" si="107"/>
        <v>354.83</v>
      </c>
      <c r="T344" s="526">
        <f t="shared" si="108"/>
        <v>3512.32521</v>
      </c>
      <c r="U344" s="598">
        <v>354.83</v>
      </c>
      <c r="V344" s="598">
        <v>3512.32521</v>
      </c>
      <c r="X344" s="599">
        <v>4774.7506000000003</v>
      </c>
    </row>
    <row r="345" spans="1:24" ht="11.1" customHeight="1" x14ac:dyDescent="0.45">
      <c r="A345" s="696" t="s">
        <v>212</v>
      </c>
      <c r="B345" s="695"/>
      <c r="C345" s="695"/>
      <c r="D345" s="695"/>
      <c r="E345" s="695"/>
      <c r="F345" s="695"/>
      <c r="G345" s="695"/>
      <c r="H345" s="695"/>
      <c r="I345" s="695"/>
      <c r="J345" s="695"/>
      <c r="K345" s="695"/>
      <c r="L345" s="695"/>
      <c r="M345" s="695"/>
      <c r="Q345" s="439">
        <f t="shared" si="105"/>
        <v>843</v>
      </c>
      <c r="R345" s="596">
        <f t="shared" si="106"/>
        <v>45287</v>
      </c>
      <c r="S345" s="597">
        <f t="shared" si="107"/>
        <v>357.83</v>
      </c>
      <c r="T345" s="526">
        <f t="shared" si="108"/>
        <v>4726.1928799999996</v>
      </c>
      <c r="U345" s="598">
        <v>357.83</v>
      </c>
      <c r="V345" s="598">
        <v>4726.1928799999996</v>
      </c>
      <c r="X345" s="599">
        <v>4781.5788000000002</v>
      </c>
    </row>
    <row r="346" spans="1:24" ht="11.1" customHeight="1" x14ac:dyDescent="0.45">
      <c r="A346" s="696" t="str">
        <f>CONCATENATE("Methodengerecht kürzen wir die Fremdkapitalkosten um den Grenzsteuersatz (tax-shield), im vorliegenden Fall um ",TEXT(F45,"#0,0%"),". Die Fremdkapitalkosten beziffern sich demnach auf ",TEXT(F46,"#0,0%"),".")</f>
        <v>Methodengerecht kürzen wir die Fremdkapitalkosten um den Grenzsteuersatz (tax-shield), im vorliegenden Fall um 25,0%. Die Fremdkapitalkosten beziffern sich demnach auf 4,2%.</v>
      </c>
      <c r="B346" s="695"/>
      <c r="C346" s="695"/>
      <c r="D346" s="695"/>
      <c r="E346" s="695"/>
      <c r="F346" s="695"/>
      <c r="G346" s="695"/>
      <c r="H346" s="695"/>
      <c r="I346" s="695"/>
      <c r="J346" s="695"/>
      <c r="K346" s="695"/>
      <c r="L346" s="695"/>
      <c r="M346" s="695"/>
      <c r="Q346" s="439">
        <f t="shared" si="105"/>
        <v>842</v>
      </c>
      <c r="R346" s="596">
        <f t="shared" si="106"/>
        <v>45288</v>
      </c>
      <c r="S346" s="597">
        <f t="shared" si="107"/>
        <v>358.32</v>
      </c>
      <c r="T346" s="526">
        <f t="shared" si="108"/>
        <v>4227.7485200000001</v>
      </c>
      <c r="U346" s="598">
        <v>358.32</v>
      </c>
      <c r="V346" s="598">
        <v>4227.7485200000001</v>
      </c>
      <c r="X346" s="599">
        <v>4783.3473800000002</v>
      </c>
    </row>
    <row r="347" spans="1:24" ht="11.1" customHeight="1" x14ac:dyDescent="0.45">
      <c r="A347" s="706" t="s">
        <v>257</v>
      </c>
      <c r="B347" s="695"/>
      <c r="C347" s="695"/>
      <c r="D347" s="695"/>
      <c r="E347" s="695"/>
      <c r="F347" s="695"/>
      <c r="G347" s="695"/>
      <c r="H347" s="695"/>
      <c r="I347" s="695"/>
      <c r="J347" s="695"/>
      <c r="K347" s="695"/>
      <c r="L347" s="695"/>
      <c r="M347" s="695"/>
      <c r="Q347" s="439">
        <f t="shared" si="105"/>
        <v>841</v>
      </c>
      <c r="R347" s="596">
        <f t="shared" si="106"/>
        <v>45289</v>
      </c>
      <c r="S347" s="597">
        <f t="shared" si="107"/>
        <v>353.96</v>
      </c>
      <c r="T347" s="526">
        <f t="shared" si="108"/>
        <v>5304.8310799999999</v>
      </c>
      <c r="U347" s="598">
        <v>353.96</v>
      </c>
      <c r="V347" s="598">
        <v>5304.8310799999999</v>
      </c>
      <c r="X347" s="599">
        <v>4769.8294100000003</v>
      </c>
    </row>
    <row r="348" spans="1:24" ht="11.1" customHeight="1" x14ac:dyDescent="0.45">
      <c r="A348" s="696" t="str">
        <f>CONCATENATE("Unter Berücksichtigung von aktueller Marktkapitalisierung und Verschuldung gewichten wir die Eigenkapitalkosten im vorliegenden Fall mit ",TEXT(C85,"#0,0%")," und die Fremdkapitalkosten mit ",TEXT(C86,"#0,0%"),".")</f>
        <v>Unter Berücksichtigung von aktueller Marktkapitalisierung und Verschuldung gewichten wir die Eigenkapitalkosten im vorliegenden Fall mit 94,6% und die Fremdkapitalkosten mit 5,4%.</v>
      </c>
      <c r="B348" s="695"/>
      <c r="C348" s="695"/>
      <c r="D348" s="695"/>
      <c r="E348" s="695"/>
      <c r="F348" s="695"/>
      <c r="G348" s="695"/>
      <c r="H348" s="695"/>
      <c r="I348" s="695"/>
      <c r="J348" s="695"/>
      <c r="K348" s="695"/>
      <c r="L348" s="695"/>
      <c r="M348" s="695"/>
      <c r="Q348" s="439">
        <f t="shared" si="105"/>
        <v>840</v>
      </c>
      <c r="R348" s="596">
        <f t="shared" si="106"/>
        <v>45290</v>
      </c>
      <c r="S348" s="597" t="e">
        <f t="shared" si="107"/>
        <v>#N/A</v>
      </c>
      <c r="T348" s="526" t="e">
        <f t="shared" si="108"/>
        <v>#N/A</v>
      </c>
      <c r="U348" s="598">
        <v>353.96</v>
      </c>
      <c r="V348" s="598">
        <v>0</v>
      </c>
      <c r="X348" s="599">
        <v>4769.8294100000003</v>
      </c>
    </row>
    <row r="349" spans="1:24" ht="11.1" customHeight="1" x14ac:dyDescent="0.45">
      <c r="A349" s="696" t="str">
        <f>CONCATENATE("Es resultieren die zitierten gewichteten Kapitalkosten in Höhe von: WACC = ",TEXT(F43,"#0,0%")," * ",TEXT(C85,"#0,0%")," + ",TEXT(F46,"#0,0%")," * ",TEXT(C86,"#0,0%"),"."," = ",TEXT(F49,"#0,0%"))</f>
        <v>Es resultieren die zitierten gewichteten Kapitalkosten in Höhe von: WACC = 9,7% * 94,6% + 4,2% * 5,4%. = 9,4%</v>
      </c>
      <c r="B349" s="695"/>
      <c r="C349" s="695"/>
      <c r="D349" s="695"/>
      <c r="E349" s="695"/>
      <c r="F349" s="695"/>
      <c r="G349" s="695"/>
      <c r="H349" s="695"/>
      <c r="I349" s="695"/>
      <c r="J349" s="695"/>
      <c r="K349" s="695"/>
      <c r="L349" s="695"/>
      <c r="M349" s="695"/>
      <c r="Q349" s="439">
        <f t="shared" ref="Q349:Q368" si="110">Q350+1</f>
        <v>839</v>
      </c>
      <c r="R349" s="596">
        <f t="shared" ref="R349:R368" si="111">R350-1</f>
        <v>45291</v>
      </c>
      <c r="S349" s="597" t="e">
        <f t="shared" ref="S349:S368" si="112">IF(U349=U348,#N/A,U349)</f>
        <v>#N/A</v>
      </c>
      <c r="T349" s="526" t="e">
        <f t="shared" ref="T349:T368" si="113">IF(S349="#NV",#N/A,V349)</f>
        <v>#N/A</v>
      </c>
      <c r="U349" s="598">
        <v>353.96</v>
      </c>
      <c r="V349" s="598">
        <v>0</v>
      </c>
      <c r="X349" s="599">
        <v>4769.8294100000003</v>
      </c>
    </row>
    <row r="350" spans="1:24" ht="11.1" customHeight="1" x14ac:dyDescent="0.45">
      <c r="A350" s="697" t="s">
        <v>214</v>
      </c>
      <c r="B350" s="698"/>
      <c r="C350" s="698"/>
      <c r="D350" s="698"/>
      <c r="E350" s="698"/>
      <c r="F350" s="698"/>
      <c r="G350" s="698"/>
      <c r="H350" s="698"/>
      <c r="I350" s="698"/>
      <c r="J350" s="698"/>
      <c r="K350" s="698"/>
      <c r="L350" s="698"/>
      <c r="M350" s="698"/>
      <c r="Q350" s="439">
        <f t="shared" si="110"/>
        <v>838</v>
      </c>
      <c r="R350" s="596">
        <f t="shared" si="111"/>
        <v>45292</v>
      </c>
      <c r="S350" s="597" t="e">
        <f t="shared" si="112"/>
        <v>#N/A</v>
      </c>
      <c r="T350" s="526" t="e">
        <f t="shared" si="113"/>
        <v>#N/A</v>
      </c>
      <c r="U350" s="598">
        <v>353.96</v>
      </c>
      <c r="V350" s="598">
        <v>0</v>
      </c>
      <c r="X350" s="599">
        <v>4769.8294100000003</v>
      </c>
    </row>
    <row r="351" spans="1:24" ht="11.1" customHeight="1" x14ac:dyDescent="0.45">
      <c r="A351" s="696" t="s">
        <v>326</v>
      </c>
      <c r="B351" s="695"/>
      <c r="C351" s="695"/>
      <c r="D351" s="695"/>
      <c r="E351" s="695"/>
      <c r="F351" s="695"/>
      <c r="G351" s="695"/>
      <c r="H351" s="695"/>
      <c r="I351" s="695"/>
      <c r="J351" s="695"/>
      <c r="K351" s="695"/>
      <c r="L351" s="695"/>
      <c r="M351" s="695"/>
      <c r="Q351" s="439">
        <f t="shared" si="110"/>
        <v>837</v>
      </c>
      <c r="R351" s="596">
        <f t="shared" si="111"/>
        <v>45293</v>
      </c>
      <c r="S351" s="597">
        <f t="shared" si="112"/>
        <v>346.29</v>
      </c>
      <c r="T351" s="526">
        <f t="shared" si="113"/>
        <v>6594.10682</v>
      </c>
      <c r="U351" s="598">
        <v>346.29</v>
      </c>
      <c r="V351" s="598">
        <v>6594.10682</v>
      </c>
      <c r="X351" s="599">
        <v>4742.8294900000001</v>
      </c>
    </row>
    <row r="352" spans="1:24" ht="11.1" customHeight="1" x14ac:dyDescent="0.45">
      <c r="A352" s="696" t="s">
        <v>641</v>
      </c>
      <c r="B352" s="695"/>
      <c r="C352" s="695"/>
      <c r="D352" s="695"/>
      <c r="E352" s="695"/>
      <c r="F352" s="695"/>
      <c r="G352" s="695"/>
      <c r="H352" s="695"/>
      <c r="I352" s="695"/>
      <c r="J352" s="695"/>
      <c r="K352" s="695"/>
      <c r="L352" s="695"/>
      <c r="M352" s="695"/>
      <c r="Q352" s="439">
        <f t="shared" si="110"/>
        <v>836</v>
      </c>
      <c r="R352" s="596">
        <f t="shared" si="111"/>
        <v>45294</v>
      </c>
      <c r="S352" s="597">
        <f t="shared" si="112"/>
        <v>344.47</v>
      </c>
      <c r="T352" s="526">
        <f t="shared" si="113"/>
        <v>5322.4517900000001</v>
      </c>
      <c r="U352" s="598">
        <v>344.47</v>
      </c>
      <c r="V352" s="598">
        <v>5322.4517900000001</v>
      </c>
      <c r="X352" s="599">
        <v>4704.8110900000001</v>
      </c>
    </row>
    <row r="353" spans="1:24" ht="11.1" customHeight="1" x14ac:dyDescent="0.45">
      <c r="A353" s="696" t="s">
        <v>642</v>
      </c>
      <c r="B353" s="695"/>
      <c r="C353" s="695"/>
      <c r="D353" s="695"/>
      <c r="E353" s="695"/>
      <c r="F353" s="695"/>
      <c r="G353" s="695"/>
      <c r="H353" s="695"/>
      <c r="I353" s="695"/>
      <c r="J353" s="695"/>
      <c r="K353" s="695"/>
      <c r="L353" s="695"/>
      <c r="M353" s="695"/>
      <c r="Q353" s="439">
        <f t="shared" si="110"/>
        <v>835</v>
      </c>
      <c r="R353" s="596">
        <f t="shared" si="111"/>
        <v>45295</v>
      </c>
      <c r="S353" s="597">
        <f t="shared" si="112"/>
        <v>347.12</v>
      </c>
      <c r="T353" s="526">
        <f t="shared" si="113"/>
        <v>4200.1155500000004</v>
      </c>
      <c r="U353" s="598">
        <v>347.12</v>
      </c>
      <c r="V353" s="598">
        <v>4200.1155500000004</v>
      </c>
      <c r="X353" s="599">
        <v>4688.6760100000001</v>
      </c>
    </row>
    <row r="354" spans="1:24" ht="11.1" customHeight="1" x14ac:dyDescent="0.45">
      <c r="A354" s="696" t="s">
        <v>299</v>
      </c>
      <c r="B354" s="695"/>
      <c r="C354" s="695"/>
      <c r="D354" s="695"/>
      <c r="E354" s="695"/>
      <c r="F354" s="695"/>
      <c r="G354" s="695"/>
      <c r="H354" s="695"/>
      <c r="I354" s="695"/>
      <c r="J354" s="695"/>
      <c r="K354" s="695"/>
      <c r="L354" s="695"/>
      <c r="M354" s="695"/>
      <c r="Q354" s="439">
        <f t="shared" si="110"/>
        <v>834</v>
      </c>
      <c r="R354" s="596">
        <f t="shared" si="111"/>
        <v>45296</v>
      </c>
      <c r="S354" s="597">
        <f t="shared" si="112"/>
        <v>351.95</v>
      </c>
      <c r="T354" s="526">
        <f t="shared" si="113"/>
        <v>4839.6334800000004</v>
      </c>
      <c r="U354" s="598">
        <v>351.95</v>
      </c>
      <c r="V354" s="598">
        <v>4839.6334800000004</v>
      </c>
      <c r="X354" s="599">
        <v>4697.2449399999996</v>
      </c>
    </row>
    <row r="355" spans="1:24" ht="11.1" customHeight="1" x14ac:dyDescent="0.45">
      <c r="A355" s="696" t="s">
        <v>215</v>
      </c>
      <c r="B355" s="695"/>
      <c r="C355" s="695"/>
      <c r="D355" s="695"/>
      <c r="E355" s="695"/>
      <c r="F355" s="695"/>
      <c r="G355" s="695"/>
      <c r="H355" s="695"/>
      <c r="I355" s="695"/>
      <c r="J355" s="695"/>
      <c r="K355" s="695"/>
      <c r="L355" s="695"/>
      <c r="M355" s="695"/>
      <c r="Q355" s="439">
        <f t="shared" si="110"/>
        <v>833</v>
      </c>
      <c r="R355" s="596">
        <f t="shared" si="111"/>
        <v>45297</v>
      </c>
      <c r="S355" s="597" t="e">
        <f t="shared" si="112"/>
        <v>#N/A</v>
      </c>
      <c r="T355" s="526" t="e">
        <f t="shared" si="113"/>
        <v>#N/A</v>
      </c>
      <c r="U355" s="598">
        <v>351.95</v>
      </c>
      <c r="V355" s="598">
        <v>0</v>
      </c>
      <c r="X355" s="599">
        <v>4697.2449399999996</v>
      </c>
    </row>
    <row r="356" spans="1:24" ht="11.1" customHeight="1" x14ac:dyDescent="0.45">
      <c r="A356" s="696" t="s">
        <v>223</v>
      </c>
      <c r="B356" s="695"/>
      <c r="C356" s="695"/>
      <c r="D356" s="695"/>
      <c r="E356" s="695"/>
      <c r="F356" s="695"/>
      <c r="G356" s="695"/>
      <c r="H356" s="695"/>
      <c r="I356" s="695"/>
      <c r="J356" s="695"/>
      <c r="K356" s="695"/>
      <c r="L356" s="695"/>
      <c r="M356" s="695"/>
      <c r="Q356" s="439">
        <f t="shared" si="110"/>
        <v>832</v>
      </c>
      <c r="R356" s="596">
        <f t="shared" si="111"/>
        <v>45298</v>
      </c>
      <c r="S356" s="597" t="e">
        <f t="shared" si="112"/>
        <v>#N/A</v>
      </c>
      <c r="T356" s="526" t="e">
        <f t="shared" si="113"/>
        <v>#N/A</v>
      </c>
      <c r="U356" s="598">
        <v>351.95</v>
      </c>
      <c r="V356" s="598">
        <v>0</v>
      </c>
      <c r="X356" s="599">
        <v>4697.2449399999996</v>
      </c>
    </row>
    <row r="357" spans="1:24" ht="11.1" customHeight="1" x14ac:dyDescent="0.45">
      <c r="A357" s="696" t="s">
        <v>307</v>
      </c>
      <c r="B357" s="695"/>
      <c r="C357" s="695"/>
      <c r="D357" s="695"/>
      <c r="E357" s="695"/>
      <c r="F357" s="695"/>
      <c r="G357" s="695"/>
      <c r="H357" s="695"/>
      <c r="I357" s="695"/>
      <c r="J357" s="695"/>
      <c r="K357" s="695"/>
      <c r="L357" s="695"/>
      <c r="M357" s="695"/>
      <c r="Q357" s="439">
        <f t="shared" si="110"/>
        <v>831</v>
      </c>
      <c r="R357" s="596">
        <f t="shared" si="111"/>
        <v>45299</v>
      </c>
      <c r="S357" s="597">
        <f t="shared" si="112"/>
        <v>358.66</v>
      </c>
      <c r="T357" s="526">
        <f t="shared" si="113"/>
        <v>4981.8670199999997</v>
      </c>
      <c r="U357" s="598">
        <v>358.66</v>
      </c>
      <c r="V357" s="598">
        <v>4981.8670199999997</v>
      </c>
      <c r="X357" s="599">
        <v>4763.5372799999996</v>
      </c>
    </row>
    <row r="358" spans="1:24" ht="11.1" customHeight="1" x14ac:dyDescent="0.45">
      <c r="A358" s="696" t="s">
        <v>643</v>
      </c>
      <c r="B358" s="695"/>
      <c r="C358" s="695"/>
      <c r="D358" s="695"/>
      <c r="E358" s="695"/>
      <c r="F358" s="695"/>
      <c r="G358" s="695"/>
      <c r="H358" s="695"/>
      <c r="I358" s="695"/>
      <c r="J358" s="695"/>
      <c r="K358" s="695"/>
      <c r="L358" s="695"/>
      <c r="M358" s="695"/>
      <c r="Q358" s="439">
        <f t="shared" si="110"/>
        <v>830</v>
      </c>
      <c r="R358" s="596">
        <f t="shared" si="111"/>
        <v>45300</v>
      </c>
      <c r="S358" s="597">
        <f t="shared" si="112"/>
        <v>357.43</v>
      </c>
      <c r="T358" s="526">
        <f t="shared" si="113"/>
        <v>4812.3914100000002</v>
      </c>
      <c r="U358" s="598">
        <v>357.43</v>
      </c>
      <c r="V358" s="598">
        <v>4812.3914100000002</v>
      </c>
      <c r="X358" s="599">
        <v>4756.4965400000001</v>
      </c>
    </row>
    <row r="359" spans="1:24" ht="11.1" customHeight="1" x14ac:dyDescent="0.45">
      <c r="A359" s="696" t="s">
        <v>644</v>
      </c>
      <c r="B359" s="695"/>
      <c r="C359" s="695"/>
      <c r="D359" s="695"/>
      <c r="E359" s="695"/>
      <c r="F359" s="695"/>
      <c r="G359" s="695"/>
      <c r="H359" s="695"/>
      <c r="I359" s="695"/>
      <c r="J359" s="695"/>
      <c r="K359" s="695"/>
      <c r="L359" s="695"/>
      <c r="M359" s="695"/>
      <c r="Q359" s="439">
        <f t="shared" si="110"/>
        <v>829</v>
      </c>
      <c r="R359" s="596">
        <f t="shared" si="111"/>
        <v>45301</v>
      </c>
      <c r="S359" s="597">
        <f t="shared" si="112"/>
        <v>370.47</v>
      </c>
      <c r="T359" s="526">
        <f t="shared" si="113"/>
        <v>8193.7613099999999</v>
      </c>
      <c r="U359" s="598">
        <v>370.47</v>
      </c>
      <c r="V359" s="598">
        <v>8193.7613099999999</v>
      </c>
      <c r="X359" s="599">
        <v>4783.4491200000002</v>
      </c>
    </row>
    <row r="360" spans="1:24" ht="11.1" customHeight="1" x14ac:dyDescent="0.45">
      <c r="A360" s="696" t="s">
        <v>645</v>
      </c>
      <c r="B360" s="695"/>
      <c r="C360" s="695"/>
      <c r="D360" s="695"/>
      <c r="E360" s="695"/>
      <c r="F360" s="695"/>
      <c r="G360" s="695"/>
      <c r="H360" s="695"/>
      <c r="I360" s="695"/>
      <c r="J360" s="695"/>
      <c r="K360" s="695"/>
      <c r="L360" s="695"/>
      <c r="M360" s="695"/>
      <c r="Q360" s="439">
        <f t="shared" si="110"/>
        <v>828</v>
      </c>
      <c r="R360" s="596">
        <f t="shared" si="111"/>
        <v>45302</v>
      </c>
      <c r="S360" s="597">
        <f t="shared" si="112"/>
        <v>369.67</v>
      </c>
      <c r="T360" s="526">
        <f t="shared" si="113"/>
        <v>6360.3146699999998</v>
      </c>
      <c r="U360" s="598">
        <v>369.67</v>
      </c>
      <c r="V360" s="598">
        <v>6360.3146699999998</v>
      </c>
      <c r="X360" s="599">
        <v>4780.2424700000001</v>
      </c>
    </row>
    <row r="361" spans="1:24" ht="11.1" customHeight="1" x14ac:dyDescent="0.45">
      <c r="A361" s="696" t="str">
        <f>CONCATENATE("Auf Basis der vollständigen Unternehmensbewertung beträgt das Verhältnis von Aktienkurs zu Aktienwert zum Bewertungsstichtag: ",TEXT(I6,"#0,0%"),".")</f>
        <v>Auf Basis der vollständigen Unternehmensbewertung beträgt das Verhältnis von Aktienkurs zu Aktienwert zum Bewertungsstichtag: 111,0%.</v>
      </c>
      <c r="B361" s="695"/>
      <c r="C361" s="695"/>
      <c r="D361" s="695"/>
      <c r="E361" s="695"/>
      <c r="F361" s="695"/>
      <c r="G361" s="695"/>
      <c r="H361" s="695"/>
      <c r="I361" s="695"/>
      <c r="J361" s="695"/>
      <c r="K361" s="695"/>
      <c r="L361" s="695"/>
      <c r="M361" s="695"/>
      <c r="Q361" s="439">
        <f t="shared" si="110"/>
        <v>827</v>
      </c>
      <c r="R361" s="596">
        <f t="shared" si="111"/>
        <v>45303</v>
      </c>
      <c r="S361" s="597">
        <f t="shared" si="112"/>
        <v>374.49</v>
      </c>
      <c r="T361" s="526">
        <f t="shared" si="113"/>
        <v>7231.4191300000002</v>
      </c>
      <c r="U361" s="598">
        <v>374.49</v>
      </c>
      <c r="V361" s="598">
        <v>7231.4191300000002</v>
      </c>
      <c r="X361" s="599">
        <v>4783.8310700000002</v>
      </c>
    </row>
    <row r="362" spans="1:24" ht="11.1" customHeight="1" x14ac:dyDescent="0.45">
      <c r="A362" s="697" t="s">
        <v>328</v>
      </c>
      <c r="B362" s="698"/>
      <c r="C362" s="698"/>
      <c r="D362" s="698"/>
      <c r="E362" s="698"/>
      <c r="F362" s="698"/>
      <c r="G362" s="698"/>
      <c r="H362" s="698"/>
      <c r="I362" s="698"/>
      <c r="J362" s="698"/>
      <c r="K362" s="932" t="str">
        <f>L265</f>
        <v>Aktienwert YCV</v>
      </c>
      <c r="L362" s="933">
        <f>M265</f>
        <v>609.63164007663352</v>
      </c>
      <c r="M362" s="455">
        <f t="shared" ref="M362:M363" si="114">$I$5/L362</f>
        <v>1.1102934222950014</v>
      </c>
      <c r="Q362" s="439">
        <f t="shared" si="110"/>
        <v>826</v>
      </c>
      <c r="R362" s="596">
        <f t="shared" si="111"/>
        <v>45304</v>
      </c>
      <c r="S362" s="597" t="e">
        <f t="shared" si="112"/>
        <v>#N/A</v>
      </c>
      <c r="T362" s="526" t="e">
        <f t="shared" si="113"/>
        <v>#N/A</v>
      </c>
      <c r="U362" s="598">
        <v>374.49</v>
      </c>
      <c r="V362" s="598">
        <v>0</v>
      </c>
      <c r="X362" s="599">
        <v>4783.8310700000002</v>
      </c>
    </row>
    <row r="363" spans="1:24" ht="11.1" customHeight="1" x14ac:dyDescent="0.45">
      <c r="A363" s="696" t="s">
        <v>646</v>
      </c>
      <c r="B363" s="695"/>
      <c r="C363" s="695"/>
      <c r="D363" s="695"/>
      <c r="E363" s="695"/>
      <c r="F363" s="695"/>
      <c r="G363" s="695"/>
      <c r="H363" s="695"/>
      <c r="I363" s="695"/>
      <c r="J363" s="695"/>
      <c r="K363" s="941"/>
      <c r="L363" s="934">
        <f>F373</f>
        <v>736.40717711315449</v>
      </c>
      <c r="M363" s="455">
        <f t="shared" si="114"/>
        <v>0.91915182393176742</v>
      </c>
      <c r="Q363" s="439">
        <f t="shared" si="110"/>
        <v>825</v>
      </c>
      <c r="R363" s="596">
        <f t="shared" si="111"/>
        <v>45305</v>
      </c>
      <c r="S363" s="597" t="e">
        <f t="shared" si="112"/>
        <v>#N/A</v>
      </c>
      <c r="T363" s="526" t="e">
        <f t="shared" si="113"/>
        <v>#N/A</v>
      </c>
      <c r="U363" s="598">
        <v>374.49</v>
      </c>
      <c r="V363" s="598">
        <v>0</v>
      </c>
      <c r="X363" s="599">
        <v>4783.8310700000002</v>
      </c>
    </row>
    <row r="364" spans="1:24" ht="11.1" customHeight="1" x14ac:dyDescent="0.45">
      <c r="A364" s="696" t="s">
        <v>647</v>
      </c>
      <c r="B364" s="695"/>
      <c r="C364" s="695"/>
      <c r="D364" s="695"/>
      <c r="E364" s="695"/>
      <c r="F364" s="695"/>
      <c r="G364" s="695"/>
      <c r="H364" s="695"/>
      <c r="I364" s="695"/>
      <c r="J364" s="695"/>
      <c r="K364" s="941"/>
      <c r="L364" s="934">
        <f>D369</f>
        <v>494.92996371025777</v>
      </c>
      <c r="M364" s="455">
        <f>$I$5/L364</f>
        <v>1.3676076407373341</v>
      </c>
      <c r="Q364" s="439">
        <f t="shared" si="110"/>
        <v>824</v>
      </c>
      <c r="R364" s="596">
        <f t="shared" si="111"/>
        <v>45306</v>
      </c>
      <c r="S364" s="597" t="e">
        <f t="shared" si="112"/>
        <v>#N/A</v>
      </c>
      <c r="T364" s="526" t="e">
        <f t="shared" si="113"/>
        <v>#N/A</v>
      </c>
      <c r="U364" s="598">
        <v>374.49</v>
      </c>
      <c r="V364" s="598">
        <v>0</v>
      </c>
      <c r="X364" s="599">
        <v>4783.8310700000002</v>
      </c>
    </row>
    <row r="365" spans="1:24" ht="11.1" customHeight="1" x14ac:dyDescent="0.45">
      <c r="A365" s="696" t="s">
        <v>648</v>
      </c>
      <c r="B365" s="695"/>
      <c r="C365" s="695"/>
      <c r="D365" s="695"/>
      <c r="E365" s="695"/>
      <c r="F365" s="695"/>
      <c r="G365" s="695"/>
      <c r="H365" s="695"/>
      <c r="I365" s="695"/>
      <c r="J365" s="695"/>
      <c r="K365" s="941"/>
      <c r="L365" s="934">
        <v>835.23388318174386</v>
      </c>
      <c r="M365" s="455">
        <f>$I$5/L365</f>
        <v>0.81039576294669491</v>
      </c>
      <c r="Q365" s="439">
        <f t="shared" si="110"/>
        <v>823</v>
      </c>
      <c r="R365" s="596">
        <f t="shared" si="111"/>
        <v>45307</v>
      </c>
      <c r="S365" s="597">
        <f t="shared" si="112"/>
        <v>367.46</v>
      </c>
      <c r="T365" s="526">
        <f t="shared" si="113"/>
        <v>5624.6679599999998</v>
      </c>
      <c r="U365" s="598">
        <v>367.46</v>
      </c>
      <c r="V365" s="598">
        <v>5624.6679599999998</v>
      </c>
      <c r="X365" s="599">
        <v>4765.9760200000001</v>
      </c>
    </row>
    <row r="366" spans="1:24" ht="11.1" customHeight="1" x14ac:dyDescent="0.45">
      <c r="A366" s="695"/>
      <c r="B366" s="695"/>
      <c r="C366" s="695"/>
      <c r="D366" s="695"/>
      <c r="E366" s="695"/>
      <c r="F366" s="695"/>
      <c r="G366" s="695"/>
      <c r="H366" s="695"/>
      <c r="I366" s="695"/>
      <c r="J366" s="695"/>
      <c r="K366" s="695"/>
      <c r="L366" s="695"/>
      <c r="M366" s="695"/>
      <c r="Q366" s="439">
        <f t="shared" si="110"/>
        <v>822</v>
      </c>
      <c r="R366" s="596">
        <f t="shared" si="111"/>
        <v>45308</v>
      </c>
      <c r="S366" s="597">
        <f t="shared" si="112"/>
        <v>368.37</v>
      </c>
      <c r="T366" s="526">
        <f t="shared" si="113"/>
        <v>4687.4268400000001</v>
      </c>
      <c r="U366" s="598">
        <v>368.37</v>
      </c>
      <c r="V366" s="598">
        <v>4687.4268400000001</v>
      </c>
      <c r="X366" s="599">
        <v>4739.2081399999997</v>
      </c>
    </row>
    <row r="367" spans="1:24" ht="11.1" customHeight="1" x14ac:dyDescent="0.45">
      <c r="A367" s="695"/>
      <c r="B367" s="942" t="s">
        <v>10</v>
      </c>
      <c r="C367" s="943" t="s">
        <v>2</v>
      </c>
      <c r="D367" s="944"/>
      <c r="E367" s="945"/>
      <c r="F367" s="946"/>
      <c r="G367" s="947"/>
      <c r="H367" s="942" t="s">
        <v>10</v>
      </c>
      <c r="I367" s="943" t="s">
        <v>2</v>
      </c>
      <c r="J367" s="944"/>
      <c r="K367" s="945"/>
      <c r="L367" s="946"/>
      <c r="M367" s="695"/>
      <c r="Q367" s="439">
        <f t="shared" si="110"/>
        <v>821</v>
      </c>
      <c r="R367" s="596">
        <f t="shared" si="111"/>
        <v>45309</v>
      </c>
      <c r="S367" s="597">
        <f t="shared" si="112"/>
        <v>376.13</v>
      </c>
      <c r="T367" s="526">
        <f t="shared" si="113"/>
        <v>6151.3549000000003</v>
      </c>
      <c r="U367" s="598">
        <v>376.13</v>
      </c>
      <c r="V367" s="598">
        <v>6151.3549000000003</v>
      </c>
      <c r="X367" s="599">
        <v>4780.9376499999998</v>
      </c>
    </row>
    <row r="368" spans="1:24" ht="11.1" customHeight="1" x14ac:dyDescent="0.45">
      <c r="A368" s="695"/>
      <c r="B368" s="948" t="s">
        <v>329</v>
      </c>
      <c r="C368" s="949" t="s">
        <v>330</v>
      </c>
      <c r="D368" s="950">
        <v>-0.1</v>
      </c>
      <c r="E368" s="951" t="s">
        <v>329</v>
      </c>
      <c r="F368" s="952">
        <v>0.1</v>
      </c>
      <c r="G368" s="947"/>
      <c r="H368" s="953">
        <v>-0.01</v>
      </c>
      <c r="I368" s="949" t="s">
        <v>330</v>
      </c>
      <c r="J368" s="950">
        <v>-0.1</v>
      </c>
      <c r="K368" s="951" t="s">
        <v>329</v>
      </c>
      <c r="L368" s="952">
        <v>0.1</v>
      </c>
      <c r="M368" s="695"/>
      <c r="Q368" s="439">
        <f t="shared" si="110"/>
        <v>820</v>
      </c>
      <c r="R368" s="596">
        <f t="shared" si="111"/>
        <v>45310</v>
      </c>
      <c r="S368" s="597">
        <f t="shared" si="112"/>
        <v>383.45</v>
      </c>
      <c r="T368" s="526">
        <f t="shared" si="113"/>
        <v>8309.6705600000005</v>
      </c>
      <c r="U368" s="598">
        <v>383.45</v>
      </c>
      <c r="V368" s="598">
        <v>8309.6705600000005</v>
      </c>
      <c r="X368" s="599">
        <v>4839.81142</v>
      </c>
    </row>
    <row r="369" spans="1:24" ht="11.1" customHeight="1" x14ac:dyDescent="0.45">
      <c r="A369" s="695"/>
      <c r="B369" s="943" t="s">
        <v>331</v>
      </c>
      <c r="C369" s="954">
        <v>-0.1</v>
      </c>
      <c r="D369" s="955">
        <v>494.92996371025777</v>
      </c>
      <c r="E369" s="956">
        <v>549.26233672590922</v>
      </c>
      <c r="F369" s="957">
        <v>603.59470974156113</v>
      </c>
      <c r="G369" s="947"/>
      <c r="H369" s="943" t="s">
        <v>331</v>
      </c>
      <c r="I369" s="954">
        <v>-0.1</v>
      </c>
      <c r="J369" s="955">
        <v>677.72743795019494</v>
      </c>
      <c r="K369" s="956">
        <v>752.33575411250752</v>
      </c>
      <c r="L369" s="957">
        <v>826.94407027482055</v>
      </c>
      <c r="M369" s="695"/>
      <c r="Q369" s="439">
        <f t="shared" ref="Q369:Q374" si="115">Q370+1</f>
        <v>819</v>
      </c>
      <c r="R369" s="596">
        <f t="shared" ref="R369:R374" si="116">R370-1</f>
        <v>45311</v>
      </c>
      <c r="S369" s="597" t="e">
        <f t="shared" ref="S369:S412" si="117">IF(U369=U368,#N/A,U369)</f>
        <v>#N/A</v>
      </c>
      <c r="T369" s="526" t="e">
        <f t="shared" ref="T369:T412" si="118">IF(S369="#NV",#N/A,V369)</f>
        <v>#N/A</v>
      </c>
      <c r="U369" s="598">
        <v>383.45</v>
      </c>
      <c r="V369" s="598">
        <v>0</v>
      </c>
      <c r="X369" s="599">
        <v>4839.81142</v>
      </c>
    </row>
    <row r="370" spans="1:24" ht="11.1" customHeight="1" x14ac:dyDescent="0.45">
      <c r="A370" s="695"/>
      <c r="B370" s="958"/>
      <c r="C370" s="959">
        <v>-0.05</v>
      </c>
      <c r="D370" s="960">
        <v>522.09615021808372</v>
      </c>
      <c r="E370" s="961">
        <v>579.44698840127137</v>
      </c>
      <c r="F370" s="962">
        <v>636.79782658445924</v>
      </c>
      <c r="G370" s="947"/>
      <c r="H370" s="958"/>
      <c r="I370" s="959">
        <v>-0.05</v>
      </c>
      <c r="J370" s="960">
        <v>715.031596031351</v>
      </c>
      <c r="K370" s="961">
        <v>793.78481864712569</v>
      </c>
      <c r="L370" s="962">
        <v>872.53804126290038</v>
      </c>
      <c r="M370" s="695"/>
      <c r="Q370" s="439">
        <f t="shared" si="115"/>
        <v>818</v>
      </c>
      <c r="R370" s="596">
        <f t="shared" si="116"/>
        <v>45312</v>
      </c>
      <c r="S370" s="597" t="e">
        <f t="shared" si="117"/>
        <v>#N/A</v>
      </c>
      <c r="T370" s="526" t="e">
        <f t="shared" si="118"/>
        <v>#N/A</v>
      </c>
      <c r="U370" s="598">
        <v>383.45</v>
      </c>
      <c r="V370" s="598">
        <v>0</v>
      </c>
      <c r="X370" s="599">
        <v>4839.81142</v>
      </c>
    </row>
    <row r="371" spans="1:24" ht="11.1" customHeight="1" x14ac:dyDescent="0.45">
      <c r="A371" s="695"/>
      <c r="B371" s="958"/>
      <c r="C371" s="959" t="s">
        <v>329</v>
      </c>
      <c r="D371" s="960">
        <v>549.26233672590945</v>
      </c>
      <c r="E371" s="961">
        <v>609.63164007663352</v>
      </c>
      <c r="F371" s="962">
        <v>670.00094342735781</v>
      </c>
      <c r="G371" s="947"/>
      <c r="H371" s="958"/>
      <c r="I371" s="959" t="s">
        <v>329</v>
      </c>
      <c r="J371" s="960">
        <v>752.33575411250752</v>
      </c>
      <c r="K371" s="961">
        <v>835.23388318174386</v>
      </c>
      <c r="L371" s="962">
        <v>918.13201225098044</v>
      </c>
      <c r="M371" s="695"/>
      <c r="Q371" s="439">
        <f t="shared" si="115"/>
        <v>817</v>
      </c>
      <c r="R371" s="596">
        <f t="shared" si="116"/>
        <v>45313</v>
      </c>
      <c r="S371" s="597">
        <f t="shared" si="117"/>
        <v>381.78</v>
      </c>
      <c r="T371" s="526">
        <f t="shared" si="118"/>
        <v>6750.0437300000003</v>
      </c>
      <c r="U371" s="598">
        <v>381.78</v>
      </c>
      <c r="V371" s="598">
        <v>6750.0437300000003</v>
      </c>
      <c r="X371" s="599">
        <v>4850.4256699999996</v>
      </c>
    </row>
    <row r="372" spans="1:24" ht="11.1" customHeight="1" x14ac:dyDescent="0.45">
      <c r="A372" s="695"/>
      <c r="B372" s="958"/>
      <c r="C372" s="959">
        <v>0.05</v>
      </c>
      <c r="D372" s="960">
        <v>576.42852323373518</v>
      </c>
      <c r="E372" s="961">
        <v>639.81629175199566</v>
      </c>
      <c r="F372" s="962">
        <v>703.20406027025558</v>
      </c>
      <c r="G372" s="947"/>
      <c r="H372" s="958"/>
      <c r="I372" s="959">
        <v>0.05</v>
      </c>
      <c r="J372" s="960">
        <v>789.63991219366392</v>
      </c>
      <c r="K372" s="961">
        <v>876.68294771636192</v>
      </c>
      <c r="L372" s="962">
        <v>963.72598323906027</v>
      </c>
      <c r="M372" s="695"/>
      <c r="Q372" s="439">
        <f t="shared" si="115"/>
        <v>816</v>
      </c>
      <c r="R372" s="596">
        <f t="shared" si="116"/>
        <v>45314</v>
      </c>
      <c r="S372" s="597">
        <f t="shared" si="117"/>
        <v>385.2</v>
      </c>
      <c r="T372" s="526">
        <f t="shared" si="118"/>
        <v>5972.9481800000003</v>
      </c>
      <c r="U372" s="598">
        <v>385.2</v>
      </c>
      <c r="V372" s="598">
        <v>5972.9481800000003</v>
      </c>
      <c r="X372" s="599">
        <v>4864.5967199999996</v>
      </c>
    </row>
    <row r="373" spans="1:24" ht="11.1" customHeight="1" x14ac:dyDescent="0.45">
      <c r="A373" s="695"/>
      <c r="B373" s="949"/>
      <c r="C373" s="963">
        <v>0.1</v>
      </c>
      <c r="D373" s="964">
        <v>603.59470974156136</v>
      </c>
      <c r="E373" s="965">
        <v>670.00094342735781</v>
      </c>
      <c r="F373" s="966">
        <v>736.40717711315449</v>
      </c>
      <c r="G373" s="947"/>
      <c r="H373" s="949"/>
      <c r="I373" s="963">
        <v>0.1</v>
      </c>
      <c r="J373" s="964">
        <v>826.94407027482055</v>
      </c>
      <c r="K373" s="965">
        <v>918.13201225098044</v>
      </c>
      <c r="L373" s="966">
        <v>1009.3199542271406</v>
      </c>
      <c r="M373" s="695"/>
      <c r="Q373" s="439">
        <f t="shared" si="115"/>
        <v>815</v>
      </c>
      <c r="R373" s="596">
        <f t="shared" si="116"/>
        <v>45315</v>
      </c>
      <c r="S373" s="597">
        <f t="shared" si="117"/>
        <v>390.7</v>
      </c>
      <c r="T373" s="526">
        <f t="shared" si="118"/>
        <v>6096.5941499999999</v>
      </c>
      <c r="U373" s="598">
        <v>390.7</v>
      </c>
      <c r="V373" s="598">
        <v>6096.5941499999999</v>
      </c>
      <c r="X373" s="599">
        <v>4868.5539200000003</v>
      </c>
    </row>
    <row r="374" spans="1:24" ht="11.1" customHeight="1" x14ac:dyDescent="0.45">
      <c r="A374" s="695"/>
      <c r="B374" s="695"/>
      <c r="C374" s="695"/>
      <c r="D374" s="695"/>
      <c r="E374" s="695"/>
      <c r="F374" s="695"/>
      <c r="G374" s="695"/>
      <c r="H374" s="695"/>
      <c r="I374" s="695"/>
      <c r="J374" s="695"/>
      <c r="K374" s="695"/>
      <c r="L374" s="695"/>
      <c r="M374" s="695"/>
      <c r="Q374" s="439">
        <f t="shared" si="115"/>
        <v>814</v>
      </c>
      <c r="R374" s="596">
        <f t="shared" si="116"/>
        <v>45316</v>
      </c>
      <c r="S374" s="597">
        <f t="shared" si="117"/>
        <v>393.18</v>
      </c>
      <c r="T374" s="526">
        <f t="shared" si="118"/>
        <v>5933.5108300000002</v>
      </c>
      <c r="U374" s="598">
        <v>393.18</v>
      </c>
      <c r="V374" s="598">
        <v>5933.5108300000002</v>
      </c>
      <c r="X374" s="599">
        <v>4894.1555799999996</v>
      </c>
    </row>
    <row r="375" spans="1:24" ht="11.1" customHeight="1" x14ac:dyDescent="0.45">
      <c r="Q375" s="439">
        <f t="shared" ref="Q375:Q412" si="119">Q376+1</f>
        <v>813</v>
      </c>
      <c r="R375" s="596">
        <f t="shared" ref="R375:R412" si="120">R376-1</f>
        <v>45317</v>
      </c>
      <c r="S375" s="597">
        <f t="shared" si="117"/>
        <v>394.14</v>
      </c>
      <c r="T375" s="526">
        <f t="shared" si="118"/>
        <v>5186.6025600000003</v>
      </c>
      <c r="U375" s="598">
        <v>394.14</v>
      </c>
      <c r="V375" s="598">
        <v>5186.6025600000003</v>
      </c>
      <c r="X375" s="599">
        <v>4890.9705100000001</v>
      </c>
    </row>
    <row r="376" spans="1:24" ht="11.1" customHeight="1" x14ac:dyDescent="0.45">
      <c r="Q376" s="439">
        <f t="shared" si="119"/>
        <v>812</v>
      </c>
      <c r="R376" s="596">
        <f t="shared" si="120"/>
        <v>45318</v>
      </c>
      <c r="S376" s="597" t="e">
        <f t="shared" si="117"/>
        <v>#N/A</v>
      </c>
      <c r="T376" s="526" t="e">
        <f t="shared" si="118"/>
        <v>#N/A</v>
      </c>
      <c r="U376" s="598">
        <v>394.14</v>
      </c>
      <c r="V376" s="598">
        <v>0</v>
      </c>
      <c r="X376" s="599">
        <v>4890.9705100000001</v>
      </c>
    </row>
    <row r="377" spans="1:24" ht="11.1" customHeight="1" x14ac:dyDescent="0.45">
      <c r="Q377" s="439">
        <f t="shared" si="119"/>
        <v>811</v>
      </c>
      <c r="R377" s="596">
        <f t="shared" si="120"/>
        <v>45319</v>
      </c>
      <c r="S377" s="597" t="e">
        <f t="shared" si="117"/>
        <v>#N/A</v>
      </c>
      <c r="T377" s="526" t="e">
        <f t="shared" si="118"/>
        <v>#N/A</v>
      </c>
      <c r="U377" s="598">
        <v>394.14</v>
      </c>
      <c r="V377" s="598">
        <v>0</v>
      </c>
      <c r="X377" s="599">
        <v>4890.9705100000001</v>
      </c>
    </row>
    <row r="378" spans="1:24" ht="11.1" customHeight="1" x14ac:dyDescent="0.45">
      <c r="Q378" s="439">
        <f t="shared" si="119"/>
        <v>810</v>
      </c>
      <c r="R378" s="596">
        <f t="shared" si="120"/>
        <v>45320</v>
      </c>
      <c r="S378" s="597">
        <f t="shared" si="117"/>
        <v>401.02</v>
      </c>
      <c r="T378" s="526">
        <f t="shared" si="118"/>
        <v>7516.0904799999998</v>
      </c>
      <c r="U378" s="598">
        <v>401.02</v>
      </c>
      <c r="V378" s="598">
        <v>7516.0904799999998</v>
      </c>
      <c r="X378" s="599">
        <v>4927.9288200000001</v>
      </c>
    </row>
    <row r="379" spans="1:24" ht="11.1" customHeight="1" x14ac:dyDescent="0.45">
      <c r="Q379" s="439">
        <f t="shared" si="119"/>
        <v>809</v>
      </c>
      <c r="R379" s="596">
        <f t="shared" si="120"/>
        <v>45321</v>
      </c>
      <c r="S379" s="597">
        <f t="shared" si="117"/>
        <v>400.06</v>
      </c>
      <c r="T379" s="526">
        <f t="shared" si="118"/>
        <v>7447.0076799999997</v>
      </c>
      <c r="U379" s="598">
        <v>400.06</v>
      </c>
      <c r="V379" s="598">
        <v>7447.0076799999997</v>
      </c>
      <c r="X379" s="599">
        <v>4924.9738900000002</v>
      </c>
    </row>
    <row r="380" spans="1:24" ht="11.1" customHeight="1" x14ac:dyDescent="0.45">
      <c r="Q380" s="439">
        <f t="shared" si="119"/>
        <v>808</v>
      </c>
      <c r="R380" s="596">
        <f t="shared" si="120"/>
        <v>45322</v>
      </c>
      <c r="S380" s="597">
        <f t="shared" si="117"/>
        <v>390.14</v>
      </c>
      <c r="T380" s="526">
        <f t="shared" si="118"/>
        <v>7873.3439399999997</v>
      </c>
      <c r="U380" s="598">
        <v>390.14</v>
      </c>
      <c r="V380" s="598">
        <v>7873.3439399999997</v>
      </c>
      <c r="X380" s="599">
        <v>4845.6471799999999</v>
      </c>
    </row>
    <row r="381" spans="1:24" ht="11.1" customHeight="1" x14ac:dyDescent="0.45">
      <c r="Q381" s="439">
        <f t="shared" si="119"/>
        <v>807</v>
      </c>
      <c r="R381" s="596">
        <f t="shared" si="120"/>
        <v>45323</v>
      </c>
      <c r="S381" s="597">
        <f t="shared" si="117"/>
        <v>394.78</v>
      </c>
      <c r="T381" s="526">
        <f t="shared" si="118"/>
        <v>11735.645189999999</v>
      </c>
      <c r="U381" s="598">
        <v>394.78</v>
      </c>
      <c r="V381" s="598">
        <v>11735.645189999999</v>
      </c>
      <c r="X381" s="599">
        <v>4906.1940400000003</v>
      </c>
    </row>
    <row r="382" spans="1:24" ht="11.1" customHeight="1" x14ac:dyDescent="0.45">
      <c r="Q382" s="439">
        <f t="shared" si="119"/>
        <v>806</v>
      </c>
      <c r="R382" s="596">
        <f t="shared" si="120"/>
        <v>45324</v>
      </c>
      <c r="S382" s="597">
        <f t="shared" si="117"/>
        <v>474.99</v>
      </c>
      <c r="T382" s="526">
        <f t="shared" si="118"/>
        <v>40235.284769999998</v>
      </c>
      <c r="U382" s="598">
        <v>474.99</v>
      </c>
      <c r="V382" s="598">
        <v>40235.284769999998</v>
      </c>
      <c r="X382" s="599">
        <v>4958.6138899999996</v>
      </c>
    </row>
    <row r="383" spans="1:24" ht="11.1" customHeight="1" x14ac:dyDescent="0.45">
      <c r="Q383" s="439">
        <f t="shared" si="119"/>
        <v>805</v>
      </c>
      <c r="R383" s="596">
        <f t="shared" si="120"/>
        <v>45325</v>
      </c>
      <c r="S383" s="597" t="e">
        <f t="shared" si="117"/>
        <v>#N/A</v>
      </c>
      <c r="T383" s="526" t="e">
        <f t="shared" si="118"/>
        <v>#N/A</v>
      </c>
      <c r="U383" s="598">
        <v>474.99</v>
      </c>
      <c r="V383" s="598">
        <v>0</v>
      </c>
      <c r="X383" s="599">
        <v>4958.6138899999996</v>
      </c>
    </row>
    <row r="384" spans="1:24" ht="11.1" customHeight="1" x14ac:dyDescent="0.45">
      <c r="Q384" s="439">
        <f t="shared" si="119"/>
        <v>804</v>
      </c>
      <c r="R384" s="596">
        <f t="shared" si="120"/>
        <v>45326</v>
      </c>
      <c r="S384" s="597" t="e">
        <f t="shared" si="117"/>
        <v>#N/A</v>
      </c>
      <c r="T384" s="526" t="e">
        <f t="shared" si="118"/>
        <v>#N/A</v>
      </c>
      <c r="U384" s="598">
        <v>474.99</v>
      </c>
      <c r="V384" s="598">
        <v>0</v>
      </c>
      <c r="X384" s="599">
        <v>4958.6138899999996</v>
      </c>
    </row>
    <row r="385" spans="17:24" ht="11.1" customHeight="1" x14ac:dyDescent="0.45">
      <c r="Q385" s="439">
        <f t="shared" si="119"/>
        <v>803</v>
      </c>
      <c r="R385" s="596">
        <f t="shared" si="120"/>
        <v>45327</v>
      </c>
      <c r="S385" s="597">
        <f t="shared" si="117"/>
        <v>459.41</v>
      </c>
      <c r="T385" s="526">
        <f t="shared" si="118"/>
        <v>18758.80186</v>
      </c>
      <c r="U385" s="598">
        <v>459.41</v>
      </c>
      <c r="V385" s="598">
        <v>18758.80186</v>
      </c>
      <c r="X385" s="599">
        <v>4942.8058799999999</v>
      </c>
    </row>
    <row r="386" spans="17:24" ht="11.1" customHeight="1" x14ac:dyDescent="0.45">
      <c r="Q386" s="439">
        <f t="shared" si="119"/>
        <v>802</v>
      </c>
      <c r="R386" s="596">
        <f t="shared" si="120"/>
        <v>45328</v>
      </c>
      <c r="S386" s="597">
        <f t="shared" si="117"/>
        <v>454.72</v>
      </c>
      <c r="T386" s="526">
        <f t="shared" si="118"/>
        <v>9847.0589099999997</v>
      </c>
      <c r="U386" s="598">
        <v>454.72</v>
      </c>
      <c r="V386" s="598">
        <v>9847.0589099999997</v>
      </c>
      <c r="X386" s="599">
        <v>4954.2305100000003</v>
      </c>
    </row>
    <row r="387" spans="17:24" ht="11.1" customHeight="1" x14ac:dyDescent="0.45">
      <c r="Q387" s="439">
        <f t="shared" si="119"/>
        <v>801</v>
      </c>
      <c r="R387" s="596">
        <f t="shared" si="120"/>
        <v>45329</v>
      </c>
      <c r="S387" s="597">
        <f t="shared" si="117"/>
        <v>469.59</v>
      </c>
      <c r="T387" s="526">
        <f t="shared" si="118"/>
        <v>10831.56012</v>
      </c>
      <c r="U387" s="598">
        <v>469.59</v>
      </c>
      <c r="V387" s="598">
        <v>10831.56012</v>
      </c>
      <c r="X387" s="599">
        <v>4995.0558499999997</v>
      </c>
    </row>
    <row r="388" spans="17:24" ht="11.1" customHeight="1" x14ac:dyDescent="0.45">
      <c r="Q388" s="439">
        <f t="shared" si="119"/>
        <v>800</v>
      </c>
      <c r="R388" s="596">
        <f t="shared" si="120"/>
        <v>45330</v>
      </c>
      <c r="S388" s="597">
        <f t="shared" si="117"/>
        <v>470</v>
      </c>
      <c r="T388" s="526">
        <f t="shared" si="118"/>
        <v>8843.0955900000008</v>
      </c>
      <c r="U388" s="598">
        <v>470</v>
      </c>
      <c r="V388" s="598">
        <v>8843.0955900000008</v>
      </c>
      <c r="X388" s="599">
        <v>4997.9053700000004</v>
      </c>
    </row>
    <row r="389" spans="17:24" ht="11.1" customHeight="1" x14ac:dyDescent="0.45">
      <c r="Q389" s="439">
        <f t="shared" si="119"/>
        <v>799</v>
      </c>
      <c r="R389" s="596">
        <f t="shared" si="120"/>
        <v>45331</v>
      </c>
      <c r="S389" s="597">
        <f t="shared" si="117"/>
        <v>468.11</v>
      </c>
      <c r="T389" s="526">
        <f t="shared" si="118"/>
        <v>8619.37356</v>
      </c>
      <c r="U389" s="598">
        <v>468.11</v>
      </c>
      <c r="V389" s="598">
        <v>8619.37356</v>
      </c>
      <c r="X389" s="599">
        <v>5026.6085800000001</v>
      </c>
    </row>
    <row r="390" spans="17:24" ht="11.1" customHeight="1" x14ac:dyDescent="0.45">
      <c r="Q390" s="439">
        <f t="shared" si="119"/>
        <v>798</v>
      </c>
      <c r="R390" s="596">
        <f t="shared" si="120"/>
        <v>45332</v>
      </c>
      <c r="S390" s="597" t="e">
        <f t="shared" si="117"/>
        <v>#N/A</v>
      </c>
      <c r="T390" s="526" t="e">
        <f t="shared" si="118"/>
        <v>#N/A</v>
      </c>
      <c r="U390" s="598">
        <v>468.11</v>
      </c>
      <c r="V390" s="598">
        <v>0</v>
      </c>
      <c r="X390" s="599">
        <v>5026.6085800000001</v>
      </c>
    </row>
    <row r="391" spans="17:24" ht="11.1" customHeight="1" x14ac:dyDescent="0.45">
      <c r="Q391" s="439">
        <f t="shared" si="119"/>
        <v>797</v>
      </c>
      <c r="R391" s="596">
        <f t="shared" si="120"/>
        <v>45333</v>
      </c>
      <c r="S391" s="597" t="e">
        <f t="shared" si="117"/>
        <v>#N/A</v>
      </c>
      <c r="T391" s="526" t="e">
        <f t="shared" si="118"/>
        <v>#N/A</v>
      </c>
      <c r="U391" s="598">
        <v>468.11</v>
      </c>
      <c r="V391" s="598">
        <v>0</v>
      </c>
      <c r="X391" s="599">
        <v>5026.6085800000001</v>
      </c>
    </row>
    <row r="392" spans="17:24" ht="11.1" customHeight="1" x14ac:dyDescent="0.45">
      <c r="Q392" s="439">
        <f t="shared" si="119"/>
        <v>796</v>
      </c>
      <c r="R392" s="596">
        <f t="shared" si="120"/>
        <v>45334</v>
      </c>
      <c r="S392" s="597">
        <f t="shared" si="117"/>
        <v>468.9</v>
      </c>
      <c r="T392" s="526">
        <f t="shared" si="118"/>
        <v>9088.2024500000007</v>
      </c>
      <c r="U392" s="598">
        <v>468.9</v>
      </c>
      <c r="V392" s="598">
        <v>9088.2024500000007</v>
      </c>
      <c r="X392" s="599">
        <v>5021.8444799999997</v>
      </c>
    </row>
    <row r="393" spans="17:24" ht="11.1" customHeight="1" x14ac:dyDescent="0.45">
      <c r="Q393" s="439">
        <f t="shared" si="119"/>
        <v>795</v>
      </c>
      <c r="R393" s="596">
        <f t="shared" si="120"/>
        <v>45335</v>
      </c>
      <c r="S393" s="597">
        <f t="shared" si="117"/>
        <v>460.12</v>
      </c>
      <c r="T393" s="526">
        <f t="shared" si="118"/>
        <v>9624.1469099999995</v>
      </c>
      <c r="U393" s="598">
        <v>460.12</v>
      </c>
      <c r="V393" s="598">
        <v>9624.1469099999995</v>
      </c>
      <c r="X393" s="599">
        <v>4953.16795</v>
      </c>
    </row>
    <row r="394" spans="17:24" ht="11.1" customHeight="1" x14ac:dyDescent="0.45">
      <c r="Q394" s="439">
        <f t="shared" si="119"/>
        <v>794</v>
      </c>
      <c r="R394" s="596">
        <f t="shared" si="120"/>
        <v>45336</v>
      </c>
      <c r="S394" s="597">
        <f t="shared" si="117"/>
        <v>473.28</v>
      </c>
      <c r="T394" s="526">
        <f t="shared" si="118"/>
        <v>7978.7440299999998</v>
      </c>
      <c r="U394" s="598">
        <v>473.28</v>
      </c>
      <c r="V394" s="598">
        <v>7978.7440299999998</v>
      </c>
      <c r="X394" s="599">
        <v>5000.6200699999999</v>
      </c>
    </row>
    <row r="395" spans="17:24" ht="11.1" customHeight="1" x14ac:dyDescent="0.45">
      <c r="Q395" s="439">
        <f t="shared" si="119"/>
        <v>793</v>
      </c>
      <c r="R395" s="596">
        <f t="shared" si="120"/>
        <v>45337</v>
      </c>
      <c r="S395" s="597">
        <f t="shared" si="117"/>
        <v>484.03</v>
      </c>
      <c r="T395" s="526">
        <f t="shared" si="118"/>
        <v>11719.49215</v>
      </c>
      <c r="U395" s="598">
        <v>484.03</v>
      </c>
      <c r="V395" s="598">
        <v>11719.49215</v>
      </c>
      <c r="X395" s="599">
        <v>5029.7347099999997</v>
      </c>
    </row>
    <row r="396" spans="17:24" ht="11.1" customHeight="1" x14ac:dyDescent="0.45">
      <c r="Q396" s="439">
        <f t="shared" si="119"/>
        <v>792</v>
      </c>
      <c r="R396" s="596">
        <f t="shared" si="120"/>
        <v>45338</v>
      </c>
      <c r="S396" s="597">
        <f t="shared" si="117"/>
        <v>473.32</v>
      </c>
      <c r="T396" s="526">
        <f t="shared" si="118"/>
        <v>11040.00914</v>
      </c>
      <c r="U396" s="598">
        <v>473.32</v>
      </c>
      <c r="V396" s="598">
        <v>11040.00914</v>
      </c>
      <c r="X396" s="599">
        <v>5005.5684499999998</v>
      </c>
    </row>
    <row r="397" spans="17:24" ht="11.1" customHeight="1" x14ac:dyDescent="0.45">
      <c r="Q397" s="439">
        <f t="shared" si="119"/>
        <v>791</v>
      </c>
      <c r="R397" s="596">
        <f t="shared" si="120"/>
        <v>45339</v>
      </c>
      <c r="S397" s="597" t="e">
        <f t="shared" si="117"/>
        <v>#N/A</v>
      </c>
      <c r="T397" s="526" t="e">
        <f t="shared" si="118"/>
        <v>#N/A</v>
      </c>
      <c r="U397" s="598">
        <v>473.32</v>
      </c>
      <c r="V397" s="598">
        <v>0</v>
      </c>
      <c r="X397" s="599">
        <v>5005.5684499999998</v>
      </c>
    </row>
    <row r="398" spans="17:24" ht="11.1" customHeight="1" x14ac:dyDescent="0.45">
      <c r="Q398" s="439">
        <f t="shared" si="119"/>
        <v>790</v>
      </c>
      <c r="R398" s="596">
        <f t="shared" si="120"/>
        <v>45340</v>
      </c>
      <c r="S398" s="597" t="e">
        <f t="shared" si="117"/>
        <v>#N/A</v>
      </c>
      <c r="T398" s="526" t="e">
        <f t="shared" si="118"/>
        <v>#N/A</v>
      </c>
      <c r="U398" s="598">
        <v>473.32</v>
      </c>
      <c r="V398" s="598">
        <v>0</v>
      </c>
      <c r="X398" s="599">
        <v>5005.5684499999998</v>
      </c>
    </row>
    <row r="399" spans="17:24" ht="11.1" customHeight="1" x14ac:dyDescent="0.45">
      <c r="Q399" s="439">
        <f t="shared" si="119"/>
        <v>789</v>
      </c>
      <c r="R399" s="596">
        <f t="shared" si="120"/>
        <v>45341</v>
      </c>
      <c r="S399" s="597" t="e">
        <f t="shared" si="117"/>
        <v>#N/A</v>
      </c>
      <c r="T399" s="526" t="e">
        <f t="shared" si="118"/>
        <v>#N/A</v>
      </c>
      <c r="U399" s="598">
        <v>473.32</v>
      </c>
      <c r="V399" s="598">
        <v>0</v>
      </c>
      <c r="X399" s="599">
        <v>5005.5684499999998</v>
      </c>
    </row>
    <row r="400" spans="17:24" ht="11.1" customHeight="1" x14ac:dyDescent="0.45">
      <c r="Q400" s="439">
        <f t="shared" si="119"/>
        <v>788</v>
      </c>
      <c r="R400" s="596">
        <f t="shared" si="120"/>
        <v>45342</v>
      </c>
      <c r="S400" s="597">
        <f t="shared" si="117"/>
        <v>471.75</v>
      </c>
      <c r="T400" s="526">
        <f t="shared" si="118"/>
        <v>8498.8229800000008</v>
      </c>
      <c r="U400" s="598">
        <v>471.75</v>
      </c>
      <c r="V400" s="598">
        <v>8498.8229800000008</v>
      </c>
      <c r="X400" s="599">
        <v>4975.51127</v>
      </c>
    </row>
    <row r="401" spans="17:24" ht="11.1" customHeight="1" x14ac:dyDescent="0.45">
      <c r="Q401" s="439">
        <f t="shared" si="119"/>
        <v>787</v>
      </c>
      <c r="R401" s="596">
        <f t="shared" si="120"/>
        <v>45343</v>
      </c>
      <c r="S401" s="597">
        <f t="shared" si="117"/>
        <v>468.03</v>
      </c>
      <c r="T401" s="526">
        <f t="shared" si="118"/>
        <v>6073.6487100000004</v>
      </c>
      <c r="U401" s="598">
        <v>468.03</v>
      </c>
      <c r="V401" s="598">
        <v>6073.6487100000004</v>
      </c>
      <c r="X401" s="599">
        <v>4981.7969999999996</v>
      </c>
    </row>
    <row r="402" spans="17:24" ht="11.1" customHeight="1" x14ac:dyDescent="0.45">
      <c r="Q402" s="439">
        <f t="shared" si="119"/>
        <v>786</v>
      </c>
      <c r="R402" s="596">
        <f t="shared" si="120"/>
        <v>45344</v>
      </c>
      <c r="S402" s="597">
        <f t="shared" si="117"/>
        <v>486.13</v>
      </c>
      <c r="T402" s="526">
        <f t="shared" si="118"/>
        <v>10512.952590000001</v>
      </c>
      <c r="U402" s="598">
        <v>486.13</v>
      </c>
      <c r="V402" s="598">
        <v>10512.952590000001</v>
      </c>
      <c r="X402" s="599">
        <v>5087.0324300000002</v>
      </c>
    </row>
    <row r="403" spans="17:24" ht="11.1" customHeight="1" x14ac:dyDescent="0.45">
      <c r="Q403" s="439">
        <f t="shared" si="119"/>
        <v>785</v>
      </c>
      <c r="R403" s="596">
        <f t="shared" si="120"/>
        <v>45345</v>
      </c>
      <c r="S403" s="597">
        <f t="shared" si="117"/>
        <v>484.03</v>
      </c>
      <c r="T403" s="526">
        <f t="shared" si="118"/>
        <v>8893.7056499999999</v>
      </c>
      <c r="U403" s="598">
        <v>484.03</v>
      </c>
      <c r="V403" s="598">
        <v>8893.7056499999999</v>
      </c>
      <c r="X403" s="599">
        <v>5088.7999499999996</v>
      </c>
    </row>
    <row r="404" spans="17:24" ht="11.1" customHeight="1" x14ac:dyDescent="0.45">
      <c r="Q404" s="439">
        <f t="shared" si="119"/>
        <v>784</v>
      </c>
      <c r="R404" s="596">
        <f t="shared" si="120"/>
        <v>45346</v>
      </c>
      <c r="S404" s="597" t="e">
        <f t="shared" si="117"/>
        <v>#N/A</v>
      </c>
      <c r="T404" s="526" t="e">
        <f t="shared" si="118"/>
        <v>#N/A</v>
      </c>
      <c r="U404" s="598">
        <v>484.03</v>
      </c>
      <c r="V404" s="598">
        <v>0</v>
      </c>
      <c r="X404" s="599">
        <v>5088.7999499999996</v>
      </c>
    </row>
    <row r="405" spans="17:24" ht="11.1" customHeight="1" x14ac:dyDescent="0.45">
      <c r="Q405" s="439">
        <f t="shared" si="119"/>
        <v>783</v>
      </c>
      <c r="R405" s="596">
        <f t="shared" si="120"/>
        <v>45347</v>
      </c>
      <c r="S405" s="597" t="e">
        <f t="shared" si="117"/>
        <v>#N/A</v>
      </c>
      <c r="T405" s="526" t="e">
        <f t="shared" si="118"/>
        <v>#N/A</v>
      </c>
      <c r="U405" s="598">
        <v>484.03</v>
      </c>
      <c r="V405" s="598">
        <v>0</v>
      </c>
      <c r="X405" s="599">
        <v>5088.7999499999996</v>
      </c>
    </row>
    <row r="406" spans="17:24" ht="11.1" customHeight="1" x14ac:dyDescent="0.45">
      <c r="Q406" s="439">
        <f t="shared" si="119"/>
        <v>782</v>
      </c>
      <c r="R406" s="596">
        <f t="shared" si="120"/>
        <v>45348</v>
      </c>
      <c r="S406" s="597">
        <f t="shared" si="117"/>
        <v>481.74</v>
      </c>
      <c r="T406" s="526">
        <f t="shared" si="118"/>
        <v>5829.7356600000003</v>
      </c>
      <c r="U406" s="598">
        <v>481.74</v>
      </c>
      <c r="V406" s="598">
        <v>5829.7356600000003</v>
      </c>
      <c r="X406" s="599">
        <v>5069.5305099999996</v>
      </c>
    </row>
    <row r="407" spans="17:24" ht="11.1" customHeight="1" x14ac:dyDescent="0.45">
      <c r="Q407" s="439">
        <f t="shared" si="119"/>
        <v>781</v>
      </c>
      <c r="R407" s="596">
        <f t="shared" si="120"/>
        <v>45349</v>
      </c>
      <c r="S407" s="597">
        <f t="shared" si="117"/>
        <v>487.05</v>
      </c>
      <c r="T407" s="526">
        <f t="shared" si="118"/>
        <v>5264.8132500000002</v>
      </c>
      <c r="U407" s="598">
        <v>487.05</v>
      </c>
      <c r="V407" s="598">
        <v>5264.8132500000002</v>
      </c>
      <c r="X407" s="599">
        <v>5078.1825200000003</v>
      </c>
    </row>
    <row r="408" spans="17:24" ht="11.1" customHeight="1" x14ac:dyDescent="0.45">
      <c r="Q408" s="439">
        <f t="shared" si="119"/>
        <v>780</v>
      </c>
      <c r="R408" s="596">
        <f t="shared" si="120"/>
        <v>45350</v>
      </c>
      <c r="S408" s="597">
        <f t="shared" si="117"/>
        <v>484.02</v>
      </c>
      <c r="T408" s="526">
        <f t="shared" si="118"/>
        <v>6154.5495300000002</v>
      </c>
      <c r="U408" s="598">
        <v>484.02</v>
      </c>
      <c r="V408" s="598">
        <v>6154.5495300000002</v>
      </c>
      <c r="X408" s="599">
        <v>5069.7565100000002</v>
      </c>
    </row>
    <row r="409" spans="17:24" ht="11.1" customHeight="1" x14ac:dyDescent="0.45">
      <c r="Q409" s="439">
        <f t="shared" si="119"/>
        <v>779</v>
      </c>
      <c r="R409" s="596">
        <f t="shared" si="120"/>
        <v>45351</v>
      </c>
      <c r="S409" s="597">
        <f t="shared" si="117"/>
        <v>490.13</v>
      </c>
      <c r="T409" s="526">
        <f t="shared" si="118"/>
        <v>8691.0072199999995</v>
      </c>
      <c r="U409" s="598">
        <v>490.13</v>
      </c>
      <c r="V409" s="598">
        <v>8691.0072199999995</v>
      </c>
      <c r="X409" s="599">
        <v>5096.2695000000003</v>
      </c>
    </row>
    <row r="410" spans="17:24" ht="11.1" customHeight="1" x14ac:dyDescent="0.45">
      <c r="Q410" s="439">
        <f t="shared" si="119"/>
        <v>778</v>
      </c>
      <c r="R410" s="596">
        <f t="shared" si="120"/>
        <v>45352</v>
      </c>
      <c r="S410" s="597">
        <f t="shared" si="117"/>
        <v>502.3</v>
      </c>
      <c r="T410" s="526">
        <f t="shared" si="118"/>
        <v>7978.9762300000002</v>
      </c>
      <c r="U410" s="598">
        <v>502.3</v>
      </c>
      <c r="V410" s="598">
        <v>7978.9762300000002</v>
      </c>
      <c r="X410" s="599">
        <v>5137.0838000000003</v>
      </c>
    </row>
    <row r="411" spans="17:24" ht="11.1" customHeight="1" x14ac:dyDescent="0.45">
      <c r="Q411" s="439">
        <f t="shared" si="119"/>
        <v>777</v>
      </c>
      <c r="R411" s="596">
        <f t="shared" si="120"/>
        <v>45353</v>
      </c>
      <c r="S411" s="597" t="e">
        <f t="shared" si="117"/>
        <v>#N/A</v>
      </c>
      <c r="T411" s="526" t="e">
        <f t="shared" si="118"/>
        <v>#N/A</v>
      </c>
      <c r="U411" s="598">
        <v>502.3</v>
      </c>
      <c r="V411" s="598">
        <v>0</v>
      </c>
      <c r="X411" s="599">
        <v>5137.0838000000003</v>
      </c>
    </row>
    <row r="412" spans="17:24" ht="11.1" customHeight="1" x14ac:dyDescent="0.45">
      <c r="Q412" s="439">
        <f t="shared" si="119"/>
        <v>776</v>
      </c>
      <c r="R412" s="596">
        <f t="shared" si="120"/>
        <v>45354</v>
      </c>
      <c r="S412" s="597" t="e">
        <f t="shared" si="117"/>
        <v>#N/A</v>
      </c>
      <c r="T412" s="526" t="e">
        <f t="shared" si="118"/>
        <v>#N/A</v>
      </c>
      <c r="U412" s="598">
        <v>502.3</v>
      </c>
      <c r="V412" s="598">
        <v>0</v>
      </c>
      <c r="X412" s="599">
        <v>5137.0838000000003</v>
      </c>
    </row>
    <row r="413" spans="17:24" ht="11.1" customHeight="1" x14ac:dyDescent="0.45">
      <c r="Q413" s="439">
        <f t="shared" ref="Q413:Q476" si="121">Q414+1</f>
        <v>775</v>
      </c>
      <c r="R413" s="596">
        <f t="shared" ref="R413:R476" si="122">R414-1</f>
        <v>45355</v>
      </c>
      <c r="S413" s="597">
        <f t="shared" ref="S413:S476" si="123">IF(U413=U412,#N/A,U413)</f>
        <v>498.19</v>
      </c>
      <c r="T413" s="526">
        <f t="shared" ref="T413:T476" si="124">IF(S413="#NV",#N/A,V413)</f>
        <v>6139.7638100000004</v>
      </c>
      <c r="U413" s="598">
        <v>498.19</v>
      </c>
      <c r="V413" s="598">
        <v>6139.7638100000004</v>
      </c>
      <c r="X413" s="599">
        <v>5130.9491500000004</v>
      </c>
    </row>
    <row r="414" spans="17:24" ht="11.1" customHeight="1" x14ac:dyDescent="0.45">
      <c r="Q414" s="439">
        <f t="shared" si="121"/>
        <v>774</v>
      </c>
      <c r="R414" s="596">
        <f t="shared" si="122"/>
        <v>45356</v>
      </c>
      <c r="S414" s="597">
        <f t="shared" si="123"/>
        <v>490.22</v>
      </c>
      <c r="T414" s="526">
        <f t="shared" si="124"/>
        <v>7512.7680799999998</v>
      </c>
      <c r="U414" s="598">
        <v>490.22</v>
      </c>
      <c r="V414" s="598">
        <v>7512.7680799999998</v>
      </c>
      <c r="X414" s="599">
        <v>5078.6540000000005</v>
      </c>
    </row>
    <row r="415" spans="17:24" ht="11.1" customHeight="1" x14ac:dyDescent="0.45">
      <c r="Q415" s="439">
        <f t="shared" si="121"/>
        <v>773</v>
      </c>
      <c r="R415" s="596">
        <f t="shared" si="122"/>
        <v>45357</v>
      </c>
      <c r="S415" s="597">
        <f t="shared" si="123"/>
        <v>496.09</v>
      </c>
      <c r="T415" s="526">
        <f t="shared" si="124"/>
        <v>5832.9890100000002</v>
      </c>
      <c r="U415" s="598">
        <v>496.09</v>
      </c>
      <c r="V415" s="598">
        <v>5832.9890100000002</v>
      </c>
      <c r="X415" s="599">
        <v>5104.7571600000001</v>
      </c>
    </row>
    <row r="416" spans="17:24" ht="11.1" customHeight="1" x14ac:dyDescent="0.45">
      <c r="Q416" s="439">
        <f t="shared" si="121"/>
        <v>772</v>
      </c>
      <c r="R416" s="596">
        <f t="shared" si="122"/>
        <v>45358</v>
      </c>
      <c r="S416" s="597">
        <f t="shared" si="123"/>
        <v>512.19000000000005</v>
      </c>
      <c r="T416" s="526">
        <f t="shared" si="124"/>
        <v>9519.7871699999996</v>
      </c>
      <c r="U416" s="598">
        <v>512.19000000000005</v>
      </c>
      <c r="V416" s="598">
        <v>9519.7871699999996</v>
      </c>
      <c r="X416" s="599">
        <v>5157.3592799999997</v>
      </c>
    </row>
    <row r="417" spans="17:24" ht="11.1" customHeight="1" x14ac:dyDescent="0.45">
      <c r="Q417" s="439">
        <f t="shared" si="121"/>
        <v>771</v>
      </c>
      <c r="R417" s="596">
        <f t="shared" si="122"/>
        <v>45359</v>
      </c>
      <c r="S417" s="597">
        <f t="shared" si="123"/>
        <v>505.95</v>
      </c>
      <c r="T417" s="526">
        <f t="shared" si="124"/>
        <v>9409.1820000000007</v>
      </c>
      <c r="U417" s="598">
        <v>505.95</v>
      </c>
      <c r="V417" s="598">
        <v>9409.1820000000007</v>
      </c>
      <c r="X417" s="599">
        <v>5123.6910900000003</v>
      </c>
    </row>
    <row r="418" spans="17:24" ht="11.1" customHeight="1" x14ac:dyDescent="0.45">
      <c r="Q418" s="439">
        <f t="shared" si="121"/>
        <v>770</v>
      </c>
      <c r="R418" s="596">
        <f t="shared" si="122"/>
        <v>45360</v>
      </c>
      <c r="S418" s="597" t="e">
        <f t="shared" si="123"/>
        <v>#N/A</v>
      </c>
      <c r="T418" s="526" t="e">
        <f t="shared" si="124"/>
        <v>#N/A</v>
      </c>
      <c r="U418" s="598">
        <v>505.95</v>
      </c>
      <c r="V418" s="598">
        <v>0</v>
      </c>
      <c r="X418" s="599">
        <v>5123.6910900000003</v>
      </c>
    </row>
    <row r="419" spans="17:24" ht="11.1" customHeight="1" x14ac:dyDescent="0.45">
      <c r="Q419" s="439">
        <f t="shared" si="121"/>
        <v>769</v>
      </c>
      <c r="R419" s="596">
        <f t="shared" si="122"/>
        <v>45361</v>
      </c>
      <c r="S419" s="597" t="e">
        <f t="shared" si="123"/>
        <v>#N/A</v>
      </c>
      <c r="T419" s="526" t="e">
        <f t="shared" si="124"/>
        <v>#N/A</v>
      </c>
      <c r="U419" s="598">
        <v>505.95</v>
      </c>
      <c r="V419" s="598">
        <v>0</v>
      </c>
      <c r="X419" s="599">
        <v>5123.6910900000003</v>
      </c>
    </row>
    <row r="420" spans="17:24" ht="11.1" customHeight="1" x14ac:dyDescent="0.45">
      <c r="Q420" s="439">
        <f t="shared" si="121"/>
        <v>768</v>
      </c>
      <c r="R420" s="596">
        <f t="shared" si="122"/>
        <v>45362</v>
      </c>
      <c r="S420" s="597">
        <f t="shared" si="123"/>
        <v>483.59</v>
      </c>
      <c r="T420" s="526">
        <f t="shared" si="124"/>
        <v>9878.9090199999991</v>
      </c>
      <c r="U420" s="598">
        <v>483.59</v>
      </c>
      <c r="V420" s="598">
        <v>9878.9090199999991</v>
      </c>
      <c r="X420" s="599">
        <v>5117.9367599999996</v>
      </c>
    </row>
    <row r="421" spans="17:24" ht="11.1" customHeight="1" x14ac:dyDescent="0.45">
      <c r="Q421" s="439">
        <f t="shared" si="121"/>
        <v>767</v>
      </c>
      <c r="R421" s="596">
        <f t="shared" si="122"/>
        <v>45363</v>
      </c>
      <c r="S421" s="597">
        <f t="shared" si="123"/>
        <v>499.75</v>
      </c>
      <c r="T421" s="526">
        <f t="shared" si="124"/>
        <v>7720.2539399999996</v>
      </c>
      <c r="U421" s="598">
        <v>499.75</v>
      </c>
      <c r="V421" s="598">
        <v>7720.2539399999996</v>
      </c>
      <c r="X421" s="599">
        <v>5175.2676199999996</v>
      </c>
    </row>
    <row r="422" spans="17:24" ht="11.1" customHeight="1" x14ac:dyDescent="0.45">
      <c r="Q422" s="439">
        <f t="shared" si="121"/>
        <v>766</v>
      </c>
      <c r="R422" s="596">
        <f t="shared" si="122"/>
        <v>45364</v>
      </c>
      <c r="S422" s="597">
        <f t="shared" si="123"/>
        <v>495.57</v>
      </c>
      <c r="T422" s="526">
        <f t="shared" si="124"/>
        <v>5991.7663899999998</v>
      </c>
      <c r="U422" s="598">
        <v>495.57</v>
      </c>
      <c r="V422" s="598">
        <v>5991.7663899999998</v>
      </c>
      <c r="X422" s="599">
        <v>5165.31185</v>
      </c>
    </row>
    <row r="423" spans="17:24" ht="11.1" customHeight="1" x14ac:dyDescent="0.45">
      <c r="Q423" s="439">
        <f t="shared" si="121"/>
        <v>765</v>
      </c>
      <c r="R423" s="596">
        <f t="shared" si="122"/>
        <v>45365</v>
      </c>
      <c r="S423" s="597">
        <f t="shared" si="123"/>
        <v>491.83</v>
      </c>
      <c r="T423" s="526">
        <f t="shared" si="124"/>
        <v>6206.9014900000002</v>
      </c>
      <c r="U423" s="598">
        <v>491.83</v>
      </c>
      <c r="V423" s="598">
        <v>6206.9014900000002</v>
      </c>
      <c r="X423" s="599">
        <v>5150.4799199999998</v>
      </c>
    </row>
    <row r="424" spans="17:24" ht="11.1" customHeight="1" x14ac:dyDescent="0.45">
      <c r="Q424" s="439">
        <f t="shared" si="121"/>
        <v>764</v>
      </c>
      <c r="R424" s="596">
        <f t="shared" si="122"/>
        <v>45366</v>
      </c>
      <c r="S424" s="597">
        <f t="shared" si="123"/>
        <v>484.1</v>
      </c>
      <c r="T424" s="526">
        <f t="shared" si="124"/>
        <v>14113.246139999999</v>
      </c>
      <c r="U424" s="598">
        <v>484.1</v>
      </c>
      <c r="V424" s="598">
        <v>14113.246139999999</v>
      </c>
      <c r="X424" s="599">
        <v>5117.0882199999996</v>
      </c>
    </row>
    <row r="425" spans="17:24" ht="11.1" customHeight="1" x14ac:dyDescent="0.45">
      <c r="Q425" s="439">
        <f t="shared" si="121"/>
        <v>763</v>
      </c>
      <c r="R425" s="596">
        <f t="shared" si="122"/>
        <v>45367</v>
      </c>
      <c r="S425" s="597" t="e">
        <f t="shared" si="123"/>
        <v>#N/A</v>
      </c>
      <c r="T425" s="526" t="e">
        <f t="shared" si="124"/>
        <v>#N/A</v>
      </c>
      <c r="U425" s="598">
        <v>484.1</v>
      </c>
      <c r="V425" s="598">
        <v>0</v>
      </c>
      <c r="X425" s="599">
        <v>5117.0882199999996</v>
      </c>
    </row>
    <row r="426" spans="17:24" ht="11.1" customHeight="1" x14ac:dyDescent="0.45">
      <c r="Q426" s="439">
        <f t="shared" si="121"/>
        <v>762</v>
      </c>
      <c r="R426" s="596">
        <f t="shared" si="122"/>
        <v>45368</v>
      </c>
      <c r="S426" s="597" t="e">
        <f t="shared" si="123"/>
        <v>#N/A</v>
      </c>
      <c r="T426" s="526" t="e">
        <f t="shared" si="124"/>
        <v>#N/A</v>
      </c>
      <c r="U426" s="598">
        <v>484.1</v>
      </c>
      <c r="V426" s="598">
        <v>0</v>
      </c>
      <c r="X426" s="599">
        <v>5117.0882199999996</v>
      </c>
    </row>
    <row r="427" spans="17:24" ht="11.1" customHeight="1" x14ac:dyDescent="0.45">
      <c r="Q427" s="439">
        <f t="shared" si="121"/>
        <v>761</v>
      </c>
      <c r="R427" s="596">
        <f t="shared" si="122"/>
        <v>45369</v>
      </c>
      <c r="S427" s="597">
        <f t="shared" si="123"/>
        <v>496.98</v>
      </c>
      <c r="T427" s="526">
        <f t="shared" si="124"/>
        <v>5842.12464</v>
      </c>
      <c r="U427" s="598">
        <v>496.98</v>
      </c>
      <c r="V427" s="598">
        <v>5842.12464</v>
      </c>
      <c r="X427" s="599">
        <v>5149.4174700000003</v>
      </c>
    </row>
    <row r="428" spans="17:24" ht="11.1" customHeight="1" x14ac:dyDescent="0.45">
      <c r="Q428" s="439">
        <f t="shared" si="121"/>
        <v>760</v>
      </c>
      <c r="R428" s="596">
        <f t="shared" si="122"/>
        <v>45370</v>
      </c>
      <c r="S428" s="597">
        <f t="shared" si="123"/>
        <v>496.24</v>
      </c>
      <c r="T428" s="526">
        <f t="shared" si="124"/>
        <v>5410.5503699999999</v>
      </c>
      <c r="U428" s="598">
        <v>496.24</v>
      </c>
      <c r="V428" s="598">
        <v>5410.5503699999999</v>
      </c>
      <c r="X428" s="599">
        <v>5178.5092599999998</v>
      </c>
    </row>
    <row r="429" spans="17:24" ht="11.1" customHeight="1" x14ac:dyDescent="0.45">
      <c r="Q429" s="439">
        <f t="shared" si="121"/>
        <v>759</v>
      </c>
      <c r="R429" s="596">
        <f t="shared" si="122"/>
        <v>45371</v>
      </c>
      <c r="S429" s="597">
        <f t="shared" si="123"/>
        <v>505.52</v>
      </c>
      <c r="T429" s="526">
        <f t="shared" si="124"/>
        <v>5920.1952700000002</v>
      </c>
      <c r="U429" s="598">
        <v>505.52</v>
      </c>
      <c r="V429" s="598">
        <v>5920.1952700000002</v>
      </c>
      <c r="X429" s="599">
        <v>5224.6232399999999</v>
      </c>
    </row>
    <row r="430" spans="17:24" ht="11.1" customHeight="1" x14ac:dyDescent="0.45">
      <c r="Q430" s="439">
        <f t="shared" si="121"/>
        <v>758</v>
      </c>
      <c r="R430" s="596">
        <f t="shared" si="122"/>
        <v>45372</v>
      </c>
      <c r="S430" s="597">
        <f t="shared" si="123"/>
        <v>507.76</v>
      </c>
      <c r="T430" s="526">
        <f t="shared" si="124"/>
        <v>4931.6438799999996</v>
      </c>
      <c r="U430" s="598">
        <v>507.76</v>
      </c>
      <c r="V430" s="598">
        <v>4931.6438799999996</v>
      </c>
      <c r="X430" s="599">
        <v>5241.5328</v>
      </c>
    </row>
    <row r="431" spans="17:24" ht="11.1" customHeight="1" x14ac:dyDescent="0.45">
      <c r="Q431" s="439">
        <f t="shared" si="121"/>
        <v>757</v>
      </c>
      <c r="R431" s="596">
        <f t="shared" si="122"/>
        <v>45373</v>
      </c>
      <c r="S431" s="597">
        <f t="shared" si="123"/>
        <v>509.58</v>
      </c>
      <c r="T431" s="526">
        <f t="shared" si="124"/>
        <v>4138.0917799999997</v>
      </c>
      <c r="U431" s="598">
        <v>509.58</v>
      </c>
      <c r="V431" s="598">
        <v>4138.0917799999997</v>
      </c>
      <c r="X431" s="599">
        <v>5234.1800599999997</v>
      </c>
    </row>
    <row r="432" spans="17:24" ht="11.1" customHeight="1" x14ac:dyDescent="0.45">
      <c r="Q432" s="439">
        <f t="shared" si="121"/>
        <v>756</v>
      </c>
      <c r="R432" s="596">
        <f t="shared" si="122"/>
        <v>45374</v>
      </c>
      <c r="S432" s="597" t="e">
        <f t="shared" si="123"/>
        <v>#N/A</v>
      </c>
      <c r="T432" s="526" t="e">
        <f t="shared" si="124"/>
        <v>#N/A</v>
      </c>
      <c r="U432" s="598">
        <v>509.58</v>
      </c>
      <c r="V432" s="598">
        <v>0</v>
      </c>
      <c r="X432" s="599">
        <v>5234.1800599999997</v>
      </c>
    </row>
    <row r="433" spans="17:24" ht="11.1" customHeight="1" x14ac:dyDescent="0.45">
      <c r="Q433" s="439">
        <f t="shared" si="121"/>
        <v>755</v>
      </c>
      <c r="R433" s="596">
        <f t="shared" si="122"/>
        <v>45375</v>
      </c>
      <c r="S433" s="597" t="e">
        <f t="shared" si="123"/>
        <v>#N/A</v>
      </c>
      <c r="T433" s="526" t="e">
        <f t="shared" si="124"/>
        <v>#N/A</v>
      </c>
      <c r="U433" s="598">
        <v>509.58</v>
      </c>
      <c r="V433" s="598">
        <v>0</v>
      </c>
      <c r="X433" s="599">
        <v>5234.1800599999997</v>
      </c>
    </row>
    <row r="434" spans="17:24" ht="11.1" customHeight="1" x14ac:dyDescent="0.45">
      <c r="Q434" s="439">
        <f t="shared" si="121"/>
        <v>754</v>
      </c>
      <c r="R434" s="596">
        <f t="shared" si="122"/>
        <v>45376</v>
      </c>
      <c r="S434" s="597">
        <f t="shared" si="123"/>
        <v>503.02</v>
      </c>
      <c r="T434" s="526">
        <f t="shared" si="124"/>
        <v>4215.6179599999996</v>
      </c>
      <c r="U434" s="598">
        <v>503.02</v>
      </c>
      <c r="V434" s="598">
        <v>4215.6179599999996</v>
      </c>
      <c r="X434" s="599">
        <v>5218.1866200000004</v>
      </c>
    </row>
    <row r="435" spans="17:24" ht="11.1" customHeight="1" x14ac:dyDescent="0.45">
      <c r="Q435" s="439">
        <f t="shared" si="121"/>
        <v>753</v>
      </c>
      <c r="R435" s="596">
        <f t="shared" si="122"/>
        <v>45377</v>
      </c>
      <c r="S435" s="597">
        <f t="shared" si="123"/>
        <v>495.89</v>
      </c>
      <c r="T435" s="526">
        <f t="shared" si="124"/>
        <v>5556.63688</v>
      </c>
      <c r="U435" s="598">
        <v>495.89</v>
      </c>
      <c r="V435" s="598">
        <v>5556.63688</v>
      </c>
      <c r="X435" s="599">
        <v>5203.5842000000002</v>
      </c>
    </row>
    <row r="436" spans="17:24" ht="11.1" customHeight="1" x14ac:dyDescent="0.45">
      <c r="Q436" s="439">
        <f t="shared" si="121"/>
        <v>752</v>
      </c>
      <c r="R436" s="596">
        <f t="shared" si="122"/>
        <v>45378</v>
      </c>
      <c r="S436" s="597">
        <f t="shared" si="123"/>
        <v>493.86</v>
      </c>
      <c r="T436" s="526">
        <f t="shared" si="124"/>
        <v>4933.5013900000004</v>
      </c>
      <c r="U436" s="598">
        <v>493.86</v>
      </c>
      <c r="V436" s="598">
        <v>4933.5013900000004</v>
      </c>
      <c r="X436" s="599">
        <v>5248.4931299999998</v>
      </c>
    </row>
    <row r="437" spans="17:24" ht="11.1" customHeight="1" x14ac:dyDescent="0.45">
      <c r="Q437" s="439">
        <f t="shared" si="121"/>
        <v>751</v>
      </c>
      <c r="R437" s="596">
        <f t="shared" si="122"/>
        <v>45379</v>
      </c>
      <c r="S437" s="597">
        <f t="shared" si="123"/>
        <v>485.58</v>
      </c>
      <c r="T437" s="526">
        <f t="shared" si="124"/>
        <v>7387.0139399999998</v>
      </c>
      <c r="U437" s="598">
        <v>485.58</v>
      </c>
      <c r="V437" s="598">
        <v>7387.0139399999998</v>
      </c>
      <c r="X437" s="599">
        <v>5254.3544000000002</v>
      </c>
    </row>
    <row r="438" spans="17:24" ht="11.1" customHeight="1" x14ac:dyDescent="0.45">
      <c r="Q438" s="439">
        <f t="shared" si="121"/>
        <v>750</v>
      </c>
      <c r="R438" s="596">
        <f t="shared" si="122"/>
        <v>45380</v>
      </c>
      <c r="S438" s="597" t="e">
        <f t="shared" si="123"/>
        <v>#N/A</v>
      </c>
      <c r="T438" s="526" t="e">
        <f t="shared" si="124"/>
        <v>#N/A</v>
      </c>
      <c r="U438" s="598">
        <v>485.58</v>
      </c>
      <c r="V438" s="598">
        <v>0</v>
      </c>
      <c r="X438" s="599">
        <v>5254.3544000000002</v>
      </c>
    </row>
    <row r="439" spans="17:24" ht="11.1" customHeight="1" x14ac:dyDescent="0.45">
      <c r="Q439" s="439">
        <f t="shared" si="121"/>
        <v>749</v>
      </c>
      <c r="R439" s="596">
        <f t="shared" si="122"/>
        <v>45381</v>
      </c>
      <c r="S439" s="597" t="e">
        <f t="shared" si="123"/>
        <v>#N/A</v>
      </c>
      <c r="T439" s="526" t="e">
        <f t="shared" si="124"/>
        <v>#N/A</v>
      </c>
      <c r="U439" s="598">
        <v>485.58</v>
      </c>
      <c r="V439" s="598">
        <v>0</v>
      </c>
      <c r="X439" s="599">
        <v>5254.3544000000002</v>
      </c>
    </row>
    <row r="440" spans="17:24" ht="11.1" customHeight="1" x14ac:dyDescent="0.45">
      <c r="Q440" s="439">
        <f t="shared" si="121"/>
        <v>748</v>
      </c>
      <c r="R440" s="596">
        <f t="shared" si="122"/>
        <v>45382</v>
      </c>
      <c r="S440" s="597" t="e">
        <f t="shared" si="123"/>
        <v>#N/A</v>
      </c>
      <c r="T440" s="526" t="e">
        <f t="shared" si="124"/>
        <v>#N/A</v>
      </c>
      <c r="U440" s="598">
        <v>485.58</v>
      </c>
      <c r="V440" s="598">
        <v>0</v>
      </c>
      <c r="X440" s="599">
        <v>5254.3544000000002</v>
      </c>
    </row>
    <row r="441" spans="17:24" ht="11.1" customHeight="1" x14ac:dyDescent="0.45">
      <c r="Q441" s="439">
        <f t="shared" si="121"/>
        <v>747</v>
      </c>
      <c r="R441" s="596">
        <f t="shared" si="122"/>
        <v>45383</v>
      </c>
      <c r="S441" s="597">
        <f t="shared" si="123"/>
        <v>491.35</v>
      </c>
      <c r="T441" s="526">
        <f t="shared" si="124"/>
        <v>4543.5168899999999</v>
      </c>
      <c r="U441" s="598">
        <v>491.35</v>
      </c>
      <c r="V441" s="598">
        <v>4543.5168899999999</v>
      </c>
      <c r="X441" s="599">
        <v>5243.7729499999996</v>
      </c>
    </row>
    <row r="442" spans="17:24" ht="11.1" customHeight="1" x14ac:dyDescent="0.45">
      <c r="Q442" s="439">
        <f t="shared" si="121"/>
        <v>746</v>
      </c>
      <c r="R442" s="596">
        <f t="shared" si="122"/>
        <v>45384</v>
      </c>
      <c r="S442" s="597">
        <f t="shared" si="123"/>
        <v>497.37</v>
      </c>
      <c r="T442" s="526">
        <f t="shared" si="124"/>
        <v>5511.3698999999997</v>
      </c>
      <c r="U442" s="598">
        <v>497.37</v>
      </c>
      <c r="V442" s="598">
        <v>5511.3698999999997</v>
      </c>
      <c r="X442" s="599">
        <v>5205.8110900000001</v>
      </c>
    </row>
    <row r="443" spans="17:24" ht="11.1" customHeight="1" x14ac:dyDescent="0.45">
      <c r="Q443" s="439">
        <f t="shared" si="121"/>
        <v>745</v>
      </c>
      <c r="R443" s="596">
        <f t="shared" si="122"/>
        <v>45385</v>
      </c>
      <c r="S443" s="597">
        <f t="shared" si="123"/>
        <v>506.74</v>
      </c>
      <c r="T443" s="526">
        <f t="shared" si="124"/>
        <v>6131.1339099999996</v>
      </c>
      <c r="U443" s="598">
        <v>506.74</v>
      </c>
      <c r="V443" s="598">
        <v>6131.1339099999996</v>
      </c>
      <c r="X443" s="599">
        <v>5211.4860900000003</v>
      </c>
    </row>
    <row r="444" spans="17:24" ht="11.1" customHeight="1" x14ac:dyDescent="0.45">
      <c r="Q444" s="439">
        <f t="shared" si="121"/>
        <v>744</v>
      </c>
      <c r="R444" s="596">
        <f t="shared" si="122"/>
        <v>45386</v>
      </c>
      <c r="S444" s="597">
        <f t="shared" si="123"/>
        <v>510.92</v>
      </c>
      <c r="T444" s="526">
        <f t="shared" si="124"/>
        <v>13527.24718</v>
      </c>
      <c r="U444" s="598">
        <v>510.92</v>
      </c>
      <c r="V444" s="598">
        <v>13527.24718</v>
      </c>
      <c r="X444" s="599">
        <v>5147.2089800000003</v>
      </c>
    </row>
    <row r="445" spans="17:24" ht="11.1" customHeight="1" x14ac:dyDescent="0.45">
      <c r="Q445" s="439">
        <f t="shared" si="121"/>
        <v>743</v>
      </c>
      <c r="R445" s="596">
        <f t="shared" si="122"/>
        <v>45387</v>
      </c>
      <c r="S445" s="597">
        <f t="shared" si="123"/>
        <v>527.34</v>
      </c>
      <c r="T445" s="526">
        <f t="shared" si="124"/>
        <v>10158.29017</v>
      </c>
      <c r="U445" s="598">
        <v>527.34</v>
      </c>
      <c r="V445" s="598">
        <v>10158.29017</v>
      </c>
      <c r="X445" s="599">
        <v>5204.3351400000001</v>
      </c>
    </row>
    <row r="446" spans="17:24" ht="11.1" customHeight="1" x14ac:dyDescent="0.45">
      <c r="Q446" s="439">
        <f t="shared" si="121"/>
        <v>742</v>
      </c>
      <c r="R446" s="596">
        <f t="shared" si="122"/>
        <v>45388</v>
      </c>
      <c r="S446" s="597" t="e">
        <f t="shared" si="123"/>
        <v>#N/A</v>
      </c>
      <c r="T446" s="526" t="e">
        <f t="shared" si="124"/>
        <v>#N/A</v>
      </c>
      <c r="U446" s="598">
        <v>527.34</v>
      </c>
      <c r="V446" s="598">
        <v>0</v>
      </c>
      <c r="X446" s="599">
        <v>5204.3351400000001</v>
      </c>
    </row>
    <row r="447" spans="17:24" ht="11.1" customHeight="1" x14ac:dyDescent="0.45">
      <c r="Q447" s="439">
        <f t="shared" si="121"/>
        <v>741</v>
      </c>
      <c r="R447" s="596">
        <f t="shared" si="122"/>
        <v>45389</v>
      </c>
      <c r="S447" s="597" t="e">
        <f t="shared" si="123"/>
        <v>#N/A</v>
      </c>
      <c r="T447" s="526" t="e">
        <f t="shared" si="124"/>
        <v>#N/A</v>
      </c>
      <c r="U447" s="598">
        <v>527.34</v>
      </c>
      <c r="V447" s="598">
        <v>0</v>
      </c>
      <c r="X447" s="599">
        <v>5204.3351400000001</v>
      </c>
    </row>
    <row r="448" spans="17:24" ht="11.1" customHeight="1" x14ac:dyDescent="0.45">
      <c r="Q448" s="439">
        <f t="shared" si="121"/>
        <v>740</v>
      </c>
      <c r="R448" s="596">
        <f t="shared" si="122"/>
        <v>45390</v>
      </c>
      <c r="S448" s="597">
        <f t="shared" si="123"/>
        <v>519.25</v>
      </c>
      <c r="T448" s="526">
        <f t="shared" si="124"/>
        <v>6885.5556500000002</v>
      </c>
      <c r="U448" s="598">
        <v>519.25</v>
      </c>
      <c r="V448" s="598">
        <v>6885.5556500000002</v>
      </c>
      <c r="X448" s="599">
        <v>5202.3919299999998</v>
      </c>
    </row>
    <row r="449" spans="17:24" ht="11.1" customHeight="1" x14ac:dyDescent="0.45">
      <c r="Q449" s="439">
        <f t="shared" si="121"/>
        <v>739</v>
      </c>
      <c r="R449" s="596">
        <f t="shared" si="122"/>
        <v>45391</v>
      </c>
      <c r="S449" s="597">
        <f t="shared" si="123"/>
        <v>516.9</v>
      </c>
      <c r="T449" s="526">
        <f t="shared" si="124"/>
        <v>5624.6189199999999</v>
      </c>
      <c r="U449" s="598">
        <v>516.9</v>
      </c>
      <c r="V449" s="598">
        <v>5624.6189199999999</v>
      </c>
      <c r="X449" s="599">
        <v>5209.9108399999996</v>
      </c>
    </row>
    <row r="450" spans="17:24" ht="11.1" customHeight="1" x14ac:dyDescent="0.45">
      <c r="Q450" s="439">
        <f t="shared" si="121"/>
        <v>738</v>
      </c>
      <c r="R450" s="596">
        <f t="shared" si="122"/>
        <v>45392</v>
      </c>
      <c r="S450" s="597">
        <f t="shared" si="123"/>
        <v>519.83000000000004</v>
      </c>
      <c r="T450" s="526">
        <f t="shared" si="124"/>
        <v>5935.67418</v>
      </c>
      <c r="U450" s="598">
        <v>519.83000000000004</v>
      </c>
      <c r="V450" s="598">
        <v>5935.67418</v>
      </c>
      <c r="X450" s="599">
        <v>5160.6397900000002</v>
      </c>
    </row>
    <row r="451" spans="17:24" ht="11.1" customHeight="1" x14ac:dyDescent="0.45">
      <c r="Q451" s="439">
        <f t="shared" si="121"/>
        <v>737</v>
      </c>
      <c r="R451" s="596">
        <f t="shared" si="122"/>
        <v>45393</v>
      </c>
      <c r="S451" s="597">
        <f t="shared" si="123"/>
        <v>523.16</v>
      </c>
      <c r="T451" s="526">
        <f t="shared" si="124"/>
        <v>5424.8914000000004</v>
      </c>
      <c r="U451" s="598">
        <v>523.16</v>
      </c>
      <c r="V451" s="598">
        <v>5424.8914000000004</v>
      </c>
      <c r="X451" s="599">
        <v>5199.0567700000001</v>
      </c>
    </row>
    <row r="452" spans="17:24" ht="11.1" customHeight="1" x14ac:dyDescent="0.45">
      <c r="Q452" s="439">
        <f t="shared" si="121"/>
        <v>736</v>
      </c>
      <c r="R452" s="596">
        <f t="shared" si="122"/>
        <v>45394</v>
      </c>
      <c r="S452" s="597">
        <f t="shared" si="123"/>
        <v>511.9</v>
      </c>
      <c r="T452" s="526">
        <f t="shared" si="124"/>
        <v>6134.8834699999998</v>
      </c>
      <c r="U452" s="598">
        <v>511.9</v>
      </c>
      <c r="V452" s="598">
        <v>6134.8834699999998</v>
      </c>
      <c r="X452" s="599">
        <v>5123.4068200000002</v>
      </c>
    </row>
    <row r="453" spans="17:24" ht="11.1" customHeight="1" x14ac:dyDescent="0.45">
      <c r="Q453" s="439">
        <f t="shared" si="121"/>
        <v>735</v>
      </c>
      <c r="R453" s="596">
        <f t="shared" si="122"/>
        <v>45395</v>
      </c>
      <c r="S453" s="597" t="e">
        <f t="shared" si="123"/>
        <v>#N/A</v>
      </c>
      <c r="T453" s="526" t="e">
        <f t="shared" si="124"/>
        <v>#N/A</v>
      </c>
      <c r="U453" s="598">
        <v>511.9</v>
      </c>
      <c r="V453" s="598">
        <v>0</v>
      </c>
      <c r="X453" s="599">
        <v>5123.4068200000002</v>
      </c>
    </row>
    <row r="454" spans="17:24" ht="11.1" customHeight="1" x14ac:dyDescent="0.45">
      <c r="Q454" s="439">
        <f t="shared" si="121"/>
        <v>734</v>
      </c>
      <c r="R454" s="596">
        <f t="shared" si="122"/>
        <v>45396</v>
      </c>
      <c r="S454" s="597" t="e">
        <f t="shared" si="123"/>
        <v>#N/A</v>
      </c>
      <c r="T454" s="526" t="e">
        <f t="shared" si="124"/>
        <v>#N/A</v>
      </c>
      <c r="U454" s="598">
        <v>511.9</v>
      </c>
      <c r="V454" s="598">
        <v>0</v>
      </c>
      <c r="X454" s="599">
        <v>5123.4068200000002</v>
      </c>
    </row>
    <row r="455" spans="17:24" ht="11.1" customHeight="1" x14ac:dyDescent="0.45">
      <c r="Q455" s="439">
        <f t="shared" si="121"/>
        <v>733</v>
      </c>
      <c r="R455" s="596">
        <f t="shared" si="122"/>
        <v>45397</v>
      </c>
      <c r="S455" s="597">
        <f t="shared" si="123"/>
        <v>500.23</v>
      </c>
      <c r="T455" s="526">
        <f t="shared" si="124"/>
        <v>6759.55447</v>
      </c>
      <c r="U455" s="598">
        <v>500.23</v>
      </c>
      <c r="V455" s="598">
        <v>6759.55447</v>
      </c>
      <c r="X455" s="599">
        <v>5061.8155299999999</v>
      </c>
    </row>
    <row r="456" spans="17:24" ht="11.1" customHeight="1" x14ac:dyDescent="0.45">
      <c r="Q456" s="439">
        <f t="shared" si="121"/>
        <v>732</v>
      </c>
      <c r="R456" s="596">
        <f t="shared" si="122"/>
        <v>45398</v>
      </c>
      <c r="S456" s="597">
        <f t="shared" si="123"/>
        <v>499.76</v>
      </c>
      <c r="T456" s="526">
        <f t="shared" si="124"/>
        <v>4921.5990000000002</v>
      </c>
      <c r="U456" s="598">
        <v>499.76</v>
      </c>
      <c r="V456" s="598">
        <v>4921.5990000000002</v>
      </c>
      <c r="X456" s="599">
        <v>5051.4139500000001</v>
      </c>
    </row>
    <row r="457" spans="17:24" ht="11.1" customHeight="1" x14ac:dyDescent="0.45">
      <c r="Q457" s="439">
        <f t="shared" si="121"/>
        <v>731</v>
      </c>
      <c r="R457" s="596">
        <f t="shared" si="122"/>
        <v>45399</v>
      </c>
      <c r="S457" s="597">
        <f t="shared" si="123"/>
        <v>494.17</v>
      </c>
      <c r="T457" s="526">
        <f t="shared" si="124"/>
        <v>6025.7819799999997</v>
      </c>
      <c r="U457" s="598">
        <v>494.17</v>
      </c>
      <c r="V457" s="598">
        <v>6025.7819799999997</v>
      </c>
      <c r="X457" s="599">
        <v>5022.2080400000004</v>
      </c>
    </row>
    <row r="458" spans="17:24" ht="11.1" customHeight="1" x14ac:dyDescent="0.45">
      <c r="Q458" s="439">
        <f t="shared" si="121"/>
        <v>730</v>
      </c>
      <c r="R458" s="596">
        <f t="shared" si="122"/>
        <v>45400</v>
      </c>
      <c r="S458" s="597">
        <f t="shared" si="123"/>
        <v>501.8</v>
      </c>
      <c r="T458" s="526">
        <f t="shared" si="124"/>
        <v>7430.9906099999998</v>
      </c>
      <c r="U458" s="598">
        <v>501.8</v>
      </c>
      <c r="V458" s="598">
        <v>7430.9906099999998</v>
      </c>
      <c r="X458" s="599">
        <v>5011.1227500000005</v>
      </c>
    </row>
    <row r="459" spans="17:24" ht="11.1" customHeight="1" x14ac:dyDescent="0.45">
      <c r="Q459" s="439">
        <f t="shared" si="121"/>
        <v>729</v>
      </c>
      <c r="R459" s="596">
        <f t="shared" si="122"/>
        <v>45401</v>
      </c>
      <c r="S459" s="597">
        <f t="shared" si="123"/>
        <v>481.07</v>
      </c>
      <c r="T459" s="526">
        <f t="shared" si="124"/>
        <v>12130.355159999999</v>
      </c>
      <c r="U459" s="598">
        <v>481.07</v>
      </c>
      <c r="V459" s="598">
        <v>12130.355159999999</v>
      </c>
      <c r="X459" s="599">
        <v>4967.2349000000004</v>
      </c>
    </row>
    <row r="460" spans="17:24" ht="11.1" customHeight="1" x14ac:dyDescent="0.45">
      <c r="Q460" s="439">
        <f t="shared" si="121"/>
        <v>728</v>
      </c>
      <c r="R460" s="596">
        <f t="shared" si="122"/>
        <v>45402</v>
      </c>
      <c r="S460" s="597" t="e">
        <f t="shared" si="123"/>
        <v>#N/A</v>
      </c>
      <c r="T460" s="526" t="e">
        <f t="shared" si="124"/>
        <v>#N/A</v>
      </c>
      <c r="U460" s="598">
        <v>481.07</v>
      </c>
      <c r="V460" s="598">
        <v>0</v>
      </c>
      <c r="X460" s="599">
        <v>4967.2349000000004</v>
      </c>
    </row>
    <row r="461" spans="17:24" ht="11.1" customHeight="1" x14ac:dyDescent="0.45">
      <c r="Q461" s="439">
        <f t="shared" si="121"/>
        <v>727</v>
      </c>
      <c r="R461" s="596">
        <f t="shared" si="122"/>
        <v>45403</v>
      </c>
      <c r="S461" s="597" t="e">
        <f t="shared" si="123"/>
        <v>#N/A</v>
      </c>
      <c r="T461" s="526" t="e">
        <f t="shared" si="124"/>
        <v>#N/A</v>
      </c>
      <c r="U461" s="598">
        <v>481.07</v>
      </c>
      <c r="V461" s="598">
        <v>0</v>
      </c>
      <c r="X461" s="599">
        <v>4967.2349000000004</v>
      </c>
    </row>
    <row r="462" spans="17:24" ht="11.1" customHeight="1" x14ac:dyDescent="0.45">
      <c r="Q462" s="439">
        <f t="shared" si="121"/>
        <v>726</v>
      </c>
      <c r="R462" s="596">
        <f t="shared" si="122"/>
        <v>45404</v>
      </c>
      <c r="S462" s="597">
        <f t="shared" si="123"/>
        <v>481.73</v>
      </c>
      <c r="T462" s="526">
        <f t="shared" si="124"/>
        <v>8320.0190500000008</v>
      </c>
      <c r="U462" s="598">
        <v>481.73</v>
      </c>
      <c r="V462" s="598">
        <v>8320.0190500000008</v>
      </c>
      <c r="X462" s="599">
        <v>5010.6046399999996</v>
      </c>
    </row>
    <row r="463" spans="17:24" ht="11.1" customHeight="1" x14ac:dyDescent="0.45">
      <c r="Q463" s="439">
        <f t="shared" si="121"/>
        <v>725</v>
      </c>
      <c r="R463" s="596">
        <f t="shared" si="122"/>
        <v>45405</v>
      </c>
      <c r="S463" s="597">
        <f t="shared" si="123"/>
        <v>496.1</v>
      </c>
      <c r="T463" s="526">
        <f t="shared" si="124"/>
        <v>7480.7891399999999</v>
      </c>
      <c r="U463" s="598">
        <v>496.1</v>
      </c>
      <c r="V463" s="598">
        <v>7480.7891399999999</v>
      </c>
      <c r="X463" s="599">
        <v>5070.55123</v>
      </c>
    </row>
    <row r="464" spans="17:24" ht="11.1" customHeight="1" x14ac:dyDescent="0.45">
      <c r="Q464" s="439">
        <f t="shared" si="121"/>
        <v>724</v>
      </c>
      <c r="R464" s="596">
        <f t="shared" si="122"/>
        <v>45406</v>
      </c>
      <c r="S464" s="597">
        <f t="shared" si="123"/>
        <v>493.5</v>
      </c>
      <c r="T464" s="526">
        <f t="shared" si="124"/>
        <v>18640.8161</v>
      </c>
      <c r="U464" s="598">
        <v>493.5</v>
      </c>
      <c r="V464" s="598">
        <v>18640.8161</v>
      </c>
      <c r="X464" s="599">
        <v>5071.6284699999997</v>
      </c>
    </row>
    <row r="465" spans="17:24" ht="11.1" customHeight="1" x14ac:dyDescent="0.45">
      <c r="Q465" s="439">
        <f t="shared" si="121"/>
        <v>723</v>
      </c>
      <c r="R465" s="596">
        <f t="shared" si="122"/>
        <v>45407</v>
      </c>
      <c r="S465" s="597">
        <f t="shared" si="123"/>
        <v>441.38</v>
      </c>
      <c r="T465" s="526">
        <f t="shared" si="124"/>
        <v>36586.315260000003</v>
      </c>
      <c r="U465" s="598">
        <v>441.38</v>
      </c>
      <c r="V465" s="598">
        <v>36586.315260000003</v>
      </c>
      <c r="X465" s="599">
        <v>5048.4157100000002</v>
      </c>
    </row>
    <row r="466" spans="17:24" ht="11.1" customHeight="1" x14ac:dyDescent="0.45">
      <c r="Q466" s="439">
        <f t="shared" si="121"/>
        <v>722</v>
      </c>
      <c r="R466" s="596">
        <f t="shared" si="122"/>
        <v>45408</v>
      </c>
      <c r="S466" s="597">
        <f t="shared" si="123"/>
        <v>443.29</v>
      </c>
      <c r="T466" s="526">
        <f t="shared" si="124"/>
        <v>14491.789769999999</v>
      </c>
      <c r="U466" s="598">
        <v>443.29</v>
      </c>
      <c r="V466" s="598">
        <v>14491.789769999999</v>
      </c>
      <c r="X466" s="599">
        <v>5099.96245</v>
      </c>
    </row>
    <row r="467" spans="17:24" ht="11.1" customHeight="1" x14ac:dyDescent="0.45">
      <c r="Q467" s="439">
        <f t="shared" si="121"/>
        <v>721</v>
      </c>
      <c r="R467" s="596">
        <f t="shared" si="122"/>
        <v>45409</v>
      </c>
      <c r="S467" s="597" t="e">
        <f t="shared" si="123"/>
        <v>#N/A</v>
      </c>
      <c r="T467" s="526" t="e">
        <f t="shared" si="124"/>
        <v>#N/A</v>
      </c>
      <c r="U467" s="598">
        <v>443.29</v>
      </c>
      <c r="V467" s="598">
        <v>0</v>
      </c>
      <c r="X467" s="599">
        <v>5099.96245</v>
      </c>
    </row>
    <row r="468" spans="17:24" ht="11.1" customHeight="1" x14ac:dyDescent="0.45">
      <c r="Q468" s="439">
        <f t="shared" si="121"/>
        <v>720</v>
      </c>
      <c r="R468" s="596">
        <f t="shared" si="122"/>
        <v>45410</v>
      </c>
      <c r="S468" s="597" t="e">
        <f t="shared" si="123"/>
        <v>#N/A</v>
      </c>
      <c r="T468" s="526" t="e">
        <f t="shared" si="124"/>
        <v>#N/A</v>
      </c>
      <c r="U468" s="598">
        <v>443.29</v>
      </c>
      <c r="V468" s="598">
        <v>0</v>
      </c>
      <c r="X468" s="599">
        <v>5099.96245</v>
      </c>
    </row>
    <row r="469" spans="17:24" ht="11.1" customHeight="1" x14ac:dyDescent="0.45">
      <c r="Q469" s="439">
        <f t="shared" si="121"/>
        <v>719</v>
      </c>
      <c r="R469" s="596">
        <f t="shared" si="122"/>
        <v>45411</v>
      </c>
      <c r="S469" s="597">
        <f t="shared" si="123"/>
        <v>432.62</v>
      </c>
      <c r="T469" s="526">
        <f t="shared" si="124"/>
        <v>9302.4747100000004</v>
      </c>
      <c r="U469" s="598">
        <v>432.62</v>
      </c>
      <c r="V469" s="598">
        <v>9302.4747100000004</v>
      </c>
      <c r="X469" s="599">
        <v>5116.1675599999999</v>
      </c>
    </row>
    <row r="470" spans="17:24" ht="11.1" customHeight="1" x14ac:dyDescent="0.45">
      <c r="Q470" s="439">
        <f t="shared" si="121"/>
        <v>718</v>
      </c>
      <c r="R470" s="596">
        <f t="shared" si="122"/>
        <v>45412</v>
      </c>
      <c r="S470" s="597">
        <f t="shared" si="123"/>
        <v>430.17</v>
      </c>
      <c r="T470" s="526">
        <f t="shared" si="124"/>
        <v>7927.8162899999998</v>
      </c>
      <c r="U470" s="598">
        <v>430.17</v>
      </c>
      <c r="V470" s="598">
        <v>7927.8162899999998</v>
      </c>
      <c r="X470" s="599">
        <v>5035.6916799999999</v>
      </c>
    </row>
    <row r="471" spans="17:24" ht="11.1" customHeight="1" x14ac:dyDescent="0.45">
      <c r="Q471" s="439">
        <f t="shared" si="121"/>
        <v>717</v>
      </c>
      <c r="R471" s="596">
        <f t="shared" si="122"/>
        <v>45413</v>
      </c>
      <c r="S471" s="597">
        <f t="shared" si="123"/>
        <v>439.19</v>
      </c>
      <c r="T471" s="526">
        <f t="shared" si="124"/>
        <v>8935.2972699999991</v>
      </c>
      <c r="U471" s="598">
        <v>439.19</v>
      </c>
      <c r="V471" s="598">
        <v>8935.2972699999991</v>
      </c>
      <c r="X471" s="599">
        <v>5018.3850000000002</v>
      </c>
    </row>
    <row r="472" spans="17:24" ht="11.1" customHeight="1" x14ac:dyDescent="0.45">
      <c r="Q472" s="439">
        <f t="shared" si="121"/>
        <v>716</v>
      </c>
      <c r="R472" s="596">
        <f t="shared" si="122"/>
        <v>45414</v>
      </c>
      <c r="S472" s="597">
        <f t="shared" si="123"/>
        <v>441.68</v>
      </c>
      <c r="T472" s="526">
        <f t="shared" si="124"/>
        <v>6722.9534999999996</v>
      </c>
      <c r="U472" s="598">
        <v>441.68</v>
      </c>
      <c r="V472" s="598">
        <v>6722.9534999999996</v>
      </c>
      <c r="X472" s="599">
        <v>5064.1952700000002</v>
      </c>
    </row>
    <row r="473" spans="17:24" ht="11.1" customHeight="1" x14ac:dyDescent="0.45">
      <c r="Q473" s="439">
        <f t="shared" si="121"/>
        <v>715</v>
      </c>
      <c r="R473" s="596">
        <f t="shared" si="122"/>
        <v>45415</v>
      </c>
      <c r="S473" s="597">
        <f t="shared" si="123"/>
        <v>451.96</v>
      </c>
      <c r="T473" s="526">
        <f t="shared" si="124"/>
        <v>7452.3941999999997</v>
      </c>
      <c r="U473" s="598">
        <v>451.96</v>
      </c>
      <c r="V473" s="598">
        <v>7452.3941999999997</v>
      </c>
      <c r="X473" s="599">
        <v>5127.7866299999996</v>
      </c>
    </row>
    <row r="474" spans="17:24" ht="11.1" customHeight="1" x14ac:dyDescent="0.45">
      <c r="Q474" s="439">
        <f t="shared" si="121"/>
        <v>714</v>
      </c>
      <c r="R474" s="596">
        <f t="shared" si="122"/>
        <v>45416</v>
      </c>
      <c r="S474" s="597" t="e">
        <f t="shared" si="123"/>
        <v>#N/A</v>
      </c>
      <c r="T474" s="526" t="e">
        <f t="shared" si="124"/>
        <v>#N/A</v>
      </c>
      <c r="U474" s="598">
        <v>451.96</v>
      </c>
      <c r="V474" s="598">
        <v>0</v>
      </c>
      <c r="X474" s="599">
        <v>5127.7866299999996</v>
      </c>
    </row>
    <row r="475" spans="17:24" ht="11.1" customHeight="1" x14ac:dyDescent="0.45">
      <c r="Q475" s="439">
        <f t="shared" si="121"/>
        <v>713</v>
      </c>
      <c r="R475" s="596">
        <f t="shared" si="122"/>
        <v>45417</v>
      </c>
      <c r="S475" s="597" t="e">
        <f t="shared" si="123"/>
        <v>#N/A</v>
      </c>
      <c r="T475" s="526" t="e">
        <f t="shared" si="124"/>
        <v>#N/A</v>
      </c>
      <c r="U475" s="598">
        <v>451.96</v>
      </c>
      <c r="V475" s="598">
        <v>0</v>
      </c>
      <c r="X475" s="599">
        <v>5127.7866299999996</v>
      </c>
    </row>
    <row r="476" spans="17:24" ht="11.1" customHeight="1" x14ac:dyDescent="0.45">
      <c r="Q476" s="439">
        <f t="shared" si="121"/>
        <v>712</v>
      </c>
      <c r="R476" s="596">
        <f t="shared" si="122"/>
        <v>45418</v>
      </c>
      <c r="S476" s="597">
        <f t="shared" si="123"/>
        <v>465.68</v>
      </c>
      <c r="T476" s="526">
        <f t="shared" si="124"/>
        <v>7029.2659000000003</v>
      </c>
      <c r="U476" s="598">
        <v>465.68</v>
      </c>
      <c r="V476" s="598">
        <v>7029.2659000000003</v>
      </c>
      <c r="X476" s="599">
        <v>5180.7406899999996</v>
      </c>
    </row>
    <row r="477" spans="17:24" ht="11.1" customHeight="1" x14ac:dyDescent="0.45">
      <c r="Q477" s="439">
        <f t="shared" ref="Q477:Q540" si="125">Q478+1</f>
        <v>711</v>
      </c>
      <c r="R477" s="596">
        <f t="shared" ref="R477:R540" si="126">R478-1</f>
        <v>45419</v>
      </c>
      <c r="S477" s="597">
        <f t="shared" ref="S477:S540" si="127">IF(U477=U476,#N/A,U477)</f>
        <v>468.24</v>
      </c>
      <c r="T477" s="526">
        <f t="shared" ref="T477:T540" si="128">IF(S477="#NV",#N/A,V477)</f>
        <v>6277.6075199999996</v>
      </c>
      <c r="U477" s="598">
        <v>468.24</v>
      </c>
      <c r="V477" s="598">
        <v>6277.6075199999996</v>
      </c>
      <c r="X477" s="599">
        <v>5187.6978600000002</v>
      </c>
    </row>
    <row r="478" spans="17:24" ht="11.1" customHeight="1" x14ac:dyDescent="0.45">
      <c r="Q478" s="439">
        <f t="shared" si="125"/>
        <v>710</v>
      </c>
      <c r="R478" s="596">
        <f t="shared" si="126"/>
        <v>45420</v>
      </c>
      <c r="S478" s="597">
        <f t="shared" si="127"/>
        <v>472.6</v>
      </c>
      <c r="T478" s="526">
        <f t="shared" si="128"/>
        <v>5521.82485</v>
      </c>
      <c r="U478" s="598">
        <v>472.6</v>
      </c>
      <c r="V478" s="598">
        <v>5521.82485</v>
      </c>
      <c r="X478" s="599">
        <v>5187.6707399999996</v>
      </c>
    </row>
    <row r="479" spans="17:24" ht="11.1" customHeight="1" x14ac:dyDescent="0.45">
      <c r="Q479" s="439">
        <f t="shared" si="125"/>
        <v>709</v>
      </c>
      <c r="R479" s="596">
        <f t="shared" si="126"/>
        <v>45421</v>
      </c>
      <c r="S479" s="597">
        <f t="shared" si="127"/>
        <v>475.42</v>
      </c>
      <c r="T479" s="526">
        <f t="shared" si="128"/>
        <v>4486.8480399999999</v>
      </c>
      <c r="U479" s="598">
        <v>475.42</v>
      </c>
      <c r="V479" s="598">
        <v>4486.8480399999999</v>
      </c>
      <c r="X479" s="599">
        <v>5214.0814300000002</v>
      </c>
    </row>
    <row r="480" spans="17:24" ht="11.1" customHeight="1" x14ac:dyDescent="0.45">
      <c r="Q480" s="439">
        <f t="shared" si="125"/>
        <v>708</v>
      </c>
      <c r="R480" s="596">
        <f t="shared" si="126"/>
        <v>45422</v>
      </c>
      <c r="S480" s="597">
        <f t="shared" si="127"/>
        <v>476.2</v>
      </c>
      <c r="T480" s="526">
        <f t="shared" si="128"/>
        <v>5119.1495199999999</v>
      </c>
      <c r="U480" s="598">
        <v>476.2</v>
      </c>
      <c r="V480" s="598">
        <v>5119.1495199999999</v>
      </c>
      <c r="X480" s="599">
        <v>5222.6753699999999</v>
      </c>
    </row>
    <row r="481" spans="17:24" ht="11.1" customHeight="1" x14ac:dyDescent="0.45">
      <c r="Q481" s="439">
        <f t="shared" si="125"/>
        <v>707</v>
      </c>
      <c r="R481" s="596">
        <f t="shared" si="126"/>
        <v>45423</v>
      </c>
      <c r="S481" s="597" t="e">
        <f t="shared" si="127"/>
        <v>#N/A</v>
      </c>
      <c r="T481" s="526" t="e">
        <f t="shared" si="128"/>
        <v>#N/A</v>
      </c>
      <c r="U481" s="598">
        <v>476.2</v>
      </c>
      <c r="V481" s="598">
        <v>0</v>
      </c>
      <c r="X481" s="599">
        <v>5222.6753699999999</v>
      </c>
    </row>
    <row r="482" spans="17:24" ht="11.1" customHeight="1" x14ac:dyDescent="0.45">
      <c r="Q482" s="439">
        <f t="shared" si="125"/>
        <v>706</v>
      </c>
      <c r="R482" s="596">
        <f t="shared" si="126"/>
        <v>45424</v>
      </c>
      <c r="S482" s="597" t="e">
        <f t="shared" si="127"/>
        <v>#N/A</v>
      </c>
      <c r="T482" s="526" t="e">
        <f t="shared" si="128"/>
        <v>#N/A</v>
      </c>
      <c r="U482" s="598">
        <v>476.2</v>
      </c>
      <c r="V482" s="598">
        <v>0</v>
      </c>
      <c r="X482" s="599">
        <v>5222.6753699999999</v>
      </c>
    </row>
    <row r="483" spans="17:24" ht="11.1" customHeight="1" x14ac:dyDescent="0.45">
      <c r="Q483" s="439">
        <f t="shared" si="125"/>
        <v>705</v>
      </c>
      <c r="R483" s="596">
        <f t="shared" si="126"/>
        <v>45425</v>
      </c>
      <c r="S483" s="597">
        <f t="shared" si="127"/>
        <v>468.01</v>
      </c>
      <c r="T483" s="526">
        <f t="shared" si="128"/>
        <v>6865.1441500000001</v>
      </c>
      <c r="U483" s="598">
        <v>468.01</v>
      </c>
      <c r="V483" s="598">
        <v>6865.1441500000001</v>
      </c>
      <c r="X483" s="599">
        <v>5221.4156400000002</v>
      </c>
    </row>
    <row r="484" spans="17:24" ht="11.1" customHeight="1" x14ac:dyDescent="0.45">
      <c r="Q484" s="439">
        <f t="shared" si="125"/>
        <v>704</v>
      </c>
      <c r="R484" s="596">
        <f t="shared" si="126"/>
        <v>45426</v>
      </c>
      <c r="S484" s="597">
        <f t="shared" si="127"/>
        <v>471.85</v>
      </c>
      <c r="T484" s="526">
        <f t="shared" si="128"/>
        <v>4944.3052299999999</v>
      </c>
      <c r="U484" s="598">
        <v>471.85</v>
      </c>
      <c r="V484" s="598">
        <v>4944.3052299999999</v>
      </c>
      <c r="X484" s="599">
        <v>5246.6805199999999</v>
      </c>
    </row>
    <row r="485" spans="17:24" ht="11.1" customHeight="1" x14ac:dyDescent="0.45">
      <c r="Q485" s="439">
        <f t="shared" si="125"/>
        <v>703</v>
      </c>
      <c r="R485" s="596">
        <f t="shared" si="126"/>
        <v>45427</v>
      </c>
      <c r="S485" s="597">
        <f t="shared" si="127"/>
        <v>481.54</v>
      </c>
      <c r="T485" s="526">
        <f t="shared" si="128"/>
        <v>6308.4003199999997</v>
      </c>
      <c r="U485" s="598">
        <v>481.54</v>
      </c>
      <c r="V485" s="598">
        <v>6308.4003199999997</v>
      </c>
      <c r="X485" s="599">
        <v>5308.14959</v>
      </c>
    </row>
    <row r="486" spans="17:24" ht="11.1" customHeight="1" x14ac:dyDescent="0.45">
      <c r="Q486" s="439">
        <f t="shared" si="125"/>
        <v>702</v>
      </c>
      <c r="R486" s="596">
        <f t="shared" si="126"/>
        <v>45428</v>
      </c>
      <c r="S486" s="597">
        <f t="shared" si="127"/>
        <v>473.23</v>
      </c>
      <c r="T486" s="526">
        <f t="shared" si="128"/>
        <v>7859.48855</v>
      </c>
      <c r="U486" s="598">
        <v>473.23</v>
      </c>
      <c r="V486" s="598">
        <v>7859.48855</v>
      </c>
      <c r="X486" s="599">
        <v>5297.0984500000004</v>
      </c>
    </row>
    <row r="487" spans="17:24" ht="11.1" customHeight="1" x14ac:dyDescent="0.45">
      <c r="Q487" s="439">
        <f t="shared" si="125"/>
        <v>701</v>
      </c>
      <c r="R487" s="596">
        <f t="shared" si="126"/>
        <v>45429</v>
      </c>
      <c r="S487" s="597">
        <f t="shared" si="127"/>
        <v>471.91</v>
      </c>
      <c r="T487" s="526">
        <f t="shared" si="128"/>
        <v>5100.0677500000002</v>
      </c>
      <c r="U487" s="598">
        <v>471.91</v>
      </c>
      <c r="V487" s="598">
        <v>5100.0677500000002</v>
      </c>
      <c r="X487" s="599">
        <v>5303.2696599999999</v>
      </c>
    </row>
    <row r="488" spans="17:24" ht="11.1" customHeight="1" x14ac:dyDescent="0.45">
      <c r="Q488" s="439">
        <f t="shared" si="125"/>
        <v>700</v>
      </c>
      <c r="R488" s="596">
        <f t="shared" si="126"/>
        <v>45430</v>
      </c>
      <c r="S488" s="597" t="e">
        <f t="shared" si="127"/>
        <v>#N/A</v>
      </c>
      <c r="T488" s="526" t="e">
        <f t="shared" si="128"/>
        <v>#N/A</v>
      </c>
      <c r="U488" s="598">
        <v>471.91</v>
      </c>
      <c r="V488" s="598">
        <v>0</v>
      </c>
      <c r="X488" s="599">
        <v>5303.2696599999999</v>
      </c>
    </row>
    <row r="489" spans="17:24" ht="11.1" customHeight="1" x14ac:dyDescent="0.45">
      <c r="Q489" s="439">
        <f t="shared" si="125"/>
        <v>699</v>
      </c>
      <c r="R489" s="596">
        <f t="shared" si="126"/>
        <v>45431</v>
      </c>
      <c r="S489" s="597" t="e">
        <f t="shared" si="127"/>
        <v>#N/A</v>
      </c>
      <c r="T489" s="526" t="e">
        <f t="shared" si="128"/>
        <v>#N/A</v>
      </c>
      <c r="U489" s="598">
        <v>471.91</v>
      </c>
      <c r="V489" s="598">
        <v>0</v>
      </c>
      <c r="X489" s="599">
        <v>5303.2696599999999</v>
      </c>
    </row>
    <row r="490" spans="17:24" ht="11.1" customHeight="1" x14ac:dyDescent="0.45">
      <c r="Q490" s="439">
        <f t="shared" si="125"/>
        <v>698</v>
      </c>
      <c r="R490" s="596">
        <f t="shared" si="126"/>
        <v>45432</v>
      </c>
      <c r="S490" s="597">
        <f t="shared" si="127"/>
        <v>468.84</v>
      </c>
      <c r="T490" s="526">
        <f t="shared" si="128"/>
        <v>5506.5633099999995</v>
      </c>
      <c r="U490" s="598">
        <v>468.84</v>
      </c>
      <c r="V490" s="598">
        <v>5506.5633099999995</v>
      </c>
      <c r="X490" s="599">
        <v>5308.1322700000001</v>
      </c>
    </row>
    <row r="491" spans="17:24" ht="11.1" customHeight="1" x14ac:dyDescent="0.45">
      <c r="Q491" s="439">
        <f t="shared" si="125"/>
        <v>697</v>
      </c>
      <c r="R491" s="596">
        <f t="shared" si="126"/>
        <v>45433</v>
      </c>
      <c r="S491" s="597">
        <f t="shared" si="127"/>
        <v>464.63</v>
      </c>
      <c r="T491" s="526">
        <f t="shared" si="128"/>
        <v>5455.7732800000003</v>
      </c>
      <c r="U491" s="598">
        <v>464.63</v>
      </c>
      <c r="V491" s="598">
        <v>5455.7732800000003</v>
      </c>
      <c r="X491" s="599">
        <v>5321.4120199999998</v>
      </c>
    </row>
    <row r="492" spans="17:24" ht="11.1" customHeight="1" x14ac:dyDescent="0.45">
      <c r="Q492" s="439">
        <f t="shared" si="125"/>
        <v>696</v>
      </c>
      <c r="R492" s="596">
        <f t="shared" si="126"/>
        <v>45434</v>
      </c>
      <c r="S492" s="597">
        <f t="shared" si="127"/>
        <v>467.78</v>
      </c>
      <c r="T492" s="526">
        <f t="shared" si="128"/>
        <v>4714.5726500000001</v>
      </c>
      <c r="U492" s="598">
        <v>467.78</v>
      </c>
      <c r="V492" s="598">
        <v>4714.5726500000001</v>
      </c>
      <c r="X492" s="599">
        <v>5307.00522</v>
      </c>
    </row>
    <row r="493" spans="17:24" ht="11.1" customHeight="1" x14ac:dyDescent="0.45">
      <c r="Q493" s="439">
        <f t="shared" si="125"/>
        <v>695</v>
      </c>
      <c r="R493" s="596">
        <f t="shared" si="126"/>
        <v>45435</v>
      </c>
      <c r="S493" s="597">
        <f t="shared" si="127"/>
        <v>465.78</v>
      </c>
      <c r="T493" s="526">
        <f t="shared" si="128"/>
        <v>5471.9429200000004</v>
      </c>
      <c r="U493" s="598">
        <v>465.78</v>
      </c>
      <c r="V493" s="598">
        <v>5471.9429200000004</v>
      </c>
      <c r="X493" s="599">
        <v>5267.8380699999998</v>
      </c>
    </row>
    <row r="494" spans="17:24" ht="11.1" customHeight="1" x14ac:dyDescent="0.45">
      <c r="Q494" s="439">
        <f t="shared" si="125"/>
        <v>694</v>
      </c>
      <c r="R494" s="596">
        <f t="shared" si="126"/>
        <v>45436</v>
      </c>
      <c r="S494" s="597">
        <f t="shared" si="127"/>
        <v>478.22</v>
      </c>
      <c r="T494" s="526">
        <f t="shared" si="128"/>
        <v>5750.2387500000004</v>
      </c>
      <c r="U494" s="598">
        <v>478.22</v>
      </c>
      <c r="V494" s="598">
        <v>5750.2387500000004</v>
      </c>
      <c r="X494" s="599">
        <v>5304.7175999999999</v>
      </c>
    </row>
    <row r="495" spans="17:24" ht="11.1" customHeight="1" x14ac:dyDescent="0.45">
      <c r="Q495" s="439">
        <f t="shared" si="125"/>
        <v>693</v>
      </c>
      <c r="R495" s="596">
        <f t="shared" si="126"/>
        <v>45437</v>
      </c>
      <c r="S495" s="597" t="e">
        <f t="shared" si="127"/>
        <v>#N/A</v>
      </c>
      <c r="T495" s="526" t="e">
        <f t="shared" si="128"/>
        <v>#N/A</v>
      </c>
      <c r="U495" s="598">
        <v>478.22</v>
      </c>
      <c r="V495" s="598">
        <v>0</v>
      </c>
      <c r="X495" s="599">
        <v>5304.7175999999999</v>
      </c>
    </row>
    <row r="496" spans="17:24" ht="11.1" customHeight="1" x14ac:dyDescent="0.45">
      <c r="Q496" s="439">
        <f t="shared" si="125"/>
        <v>692</v>
      </c>
      <c r="R496" s="596">
        <f t="shared" si="126"/>
        <v>45438</v>
      </c>
      <c r="S496" s="597" t="e">
        <f t="shared" si="127"/>
        <v>#N/A</v>
      </c>
      <c r="T496" s="526" t="e">
        <f t="shared" si="128"/>
        <v>#N/A</v>
      </c>
      <c r="U496" s="598">
        <v>478.22</v>
      </c>
      <c r="V496" s="598">
        <v>0</v>
      </c>
      <c r="X496" s="599">
        <v>5304.7175999999999</v>
      </c>
    </row>
    <row r="497" spans="17:24" ht="11.1" customHeight="1" x14ac:dyDescent="0.45">
      <c r="Q497" s="439">
        <f t="shared" si="125"/>
        <v>691</v>
      </c>
      <c r="R497" s="596">
        <f t="shared" si="126"/>
        <v>45439</v>
      </c>
      <c r="S497" s="597" t="e">
        <f t="shared" si="127"/>
        <v>#N/A</v>
      </c>
      <c r="T497" s="526" t="e">
        <f t="shared" si="128"/>
        <v>#N/A</v>
      </c>
      <c r="U497" s="598">
        <v>478.22</v>
      </c>
      <c r="V497" s="598">
        <v>0</v>
      </c>
      <c r="X497" s="599">
        <v>5304.7175999999999</v>
      </c>
    </row>
    <row r="498" spans="17:24" ht="11.1" customHeight="1" x14ac:dyDescent="0.45">
      <c r="Q498" s="439">
        <f t="shared" si="125"/>
        <v>690</v>
      </c>
      <c r="R498" s="596">
        <f t="shared" si="126"/>
        <v>45440</v>
      </c>
      <c r="S498" s="597">
        <f t="shared" si="127"/>
        <v>479.92</v>
      </c>
      <c r="T498" s="526">
        <f t="shared" si="128"/>
        <v>4883.5555400000003</v>
      </c>
      <c r="U498" s="598">
        <v>479.92</v>
      </c>
      <c r="V498" s="598">
        <v>4883.5555400000003</v>
      </c>
      <c r="X498" s="599">
        <v>5306.0444699999998</v>
      </c>
    </row>
    <row r="499" spans="17:24" ht="11.1" customHeight="1" x14ac:dyDescent="0.45">
      <c r="Q499" s="439">
        <f t="shared" si="125"/>
        <v>689</v>
      </c>
      <c r="R499" s="596">
        <f t="shared" si="126"/>
        <v>45441</v>
      </c>
      <c r="S499" s="597">
        <f t="shared" si="127"/>
        <v>474.36</v>
      </c>
      <c r="T499" s="526">
        <f t="shared" si="128"/>
        <v>4376.5487700000003</v>
      </c>
      <c r="U499" s="598">
        <v>474.36</v>
      </c>
      <c r="V499" s="598">
        <v>4376.5487700000003</v>
      </c>
      <c r="X499" s="599">
        <v>5266.9493599999996</v>
      </c>
    </row>
    <row r="500" spans="17:24" ht="11.1" customHeight="1" x14ac:dyDescent="0.45">
      <c r="Q500" s="439">
        <f t="shared" si="125"/>
        <v>688</v>
      </c>
      <c r="R500" s="596">
        <f t="shared" si="126"/>
        <v>45442</v>
      </c>
      <c r="S500" s="597">
        <f t="shared" si="127"/>
        <v>467.05</v>
      </c>
      <c r="T500" s="526">
        <f t="shared" si="128"/>
        <v>5013.8873000000003</v>
      </c>
      <c r="U500" s="598">
        <v>467.05</v>
      </c>
      <c r="V500" s="598">
        <v>5013.8873000000003</v>
      </c>
      <c r="X500" s="599">
        <v>5235.4772599999997</v>
      </c>
    </row>
    <row r="501" spans="17:24" ht="11.1" customHeight="1" x14ac:dyDescent="0.45">
      <c r="Q501" s="439">
        <f t="shared" si="125"/>
        <v>687</v>
      </c>
      <c r="R501" s="596">
        <f t="shared" si="126"/>
        <v>45443</v>
      </c>
      <c r="S501" s="597">
        <f t="shared" si="127"/>
        <v>466.83</v>
      </c>
      <c r="T501" s="526">
        <f t="shared" si="128"/>
        <v>7898.6725699999997</v>
      </c>
      <c r="U501" s="598">
        <v>466.83</v>
      </c>
      <c r="V501" s="598">
        <v>7898.6725699999997</v>
      </c>
      <c r="X501" s="599">
        <v>5277.5073499999999</v>
      </c>
    </row>
    <row r="502" spans="17:24" ht="11.1" customHeight="1" x14ac:dyDescent="0.45">
      <c r="Q502" s="439">
        <f t="shared" si="125"/>
        <v>686</v>
      </c>
      <c r="R502" s="596">
        <f t="shared" si="126"/>
        <v>45444</v>
      </c>
      <c r="S502" s="597" t="e">
        <f t="shared" si="127"/>
        <v>#N/A</v>
      </c>
      <c r="T502" s="526" t="e">
        <f t="shared" si="128"/>
        <v>#N/A</v>
      </c>
      <c r="U502" s="598">
        <v>466.83</v>
      </c>
      <c r="V502" s="598">
        <v>0</v>
      </c>
      <c r="X502" s="599">
        <v>5277.5073499999999</v>
      </c>
    </row>
    <row r="503" spans="17:24" ht="11.1" customHeight="1" x14ac:dyDescent="0.45">
      <c r="Q503" s="439">
        <f t="shared" si="125"/>
        <v>685</v>
      </c>
      <c r="R503" s="596">
        <f t="shared" si="126"/>
        <v>45445</v>
      </c>
      <c r="S503" s="597" t="e">
        <f t="shared" si="127"/>
        <v>#N/A</v>
      </c>
      <c r="T503" s="526" t="e">
        <f t="shared" si="128"/>
        <v>#N/A</v>
      </c>
      <c r="U503" s="598">
        <v>466.83</v>
      </c>
      <c r="V503" s="598">
        <v>0</v>
      </c>
      <c r="X503" s="599">
        <v>5277.5073499999999</v>
      </c>
    </row>
    <row r="504" spans="17:24" ht="11.1" customHeight="1" x14ac:dyDescent="0.45">
      <c r="Q504" s="439">
        <f t="shared" si="125"/>
        <v>684</v>
      </c>
      <c r="R504" s="596">
        <f t="shared" si="126"/>
        <v>45446</v>
      </c>
      <c r="S504" s="597">
        <f t="shared" si="127"/>
        <v>477.49</v>
      </c>
      <c r="T504" s="526">
        <f t="shared" si="128"/>
        <v>5385.7959300000002</v>
      </c>
      <c r="U504" s="598">
        <v>477.49</v>
      </c>
      <c r="V504" s="598">
        <v>5385.7959300000002</v>
      </c>
      <c r="X504" s="599">
        <v>5283.3968699999996</v>
      </c>
    </row>
    <row r="505" spans="17:24" ht="11.1" customHeight="1" x14ac:dyDescent="0.45">
      <c r="Q505" s="439">
        <f t="shared" si="125"/>
        <v>683</v>
      </c>
      <c r="R505" s="596">
        <f t="shared" si="126"/>
        <v>45447</v>
      </c>
      <c r="S505" s="597">
        <f t="shared" si="127"/>
        <v>476.99</v>
      </c>
      <c r="T505" s="526">
        <f t="shared" si="128"/>
        <v>3381.2476000000001</v>
      </c>
      <c r="U505" s="598">
        <v>476.99</v>
      </c>
      <c r="V505" s="598">
        <v>3381.2476000000001</v>
      </c>
      <c r="X505" s="599">
        <v>5291.3354099999997</v>
      </c>
    </row>
    <row r="506" spans="17:24" ht="11.1" customHeight="1" x14ac:dyDescent="0.45">
      <c r="Q506" s="439">
        <f t="shared" si="125"/>
        <v>682</v>
      </c>
      <c r="R506" s="596">
        <f t="shared" si="126"/>
        <v>45448</v>
      </c>
      <c r="S506" s="597">
        <f t="shared" si="127"/>
        <v>495.06</v>
      </c>
      <c r="T506" s="526">
        <f t="shared" si="128"/>
        <v>7767.7310100000004</v>
      </c>
      <c r="U506" s="598">
        <v>495.06</v>
      </c>
      <c r="V506" s="598">
        <v>7767.7310100000004</v>
      </c>
      <c r="X506" s="599">
        <v>5354.0286500000002</v>
      </c>
    </row>
    <row r="507" spans="17:24" ht="11.1" customHeight="1" x14ac:dyDescent="0.45">
      <c r="Q507" s="439">
        <f t="shared" si="125"/>
        <v>681</v>
      </c>
      <c r="R507" s="596">
        <f t="shared" si="126"/>
        <v>45449</v>
      </c>
      <c r="S507" s="597">
        <f t="shared" si="127"/>
        <v>493.76</v>
      </c>
      <c r="T507" s="526">
        <f t="shared" si="128"/>
        <v>5267.1053099999999</v>
      </c>
      <c r="U507" s="598">
        <v>493.76</v>
      </c>
      <c r="V507" s="598">
        <v>5267.1053099999999</v>
      </c>
      <c r="X507" s="599">
        <v>5352.9622399999998</v>
      </c>
    </row>
    <row r="508" spans="17:24" ht="11.1" customHeight="1" x14ac:dyDescent="0.45">
      <c r="Q508" s="439">
        <f t="shared" si="125"/>
        <v>680</v>
      </c>
      <c r="R508" s="596">
        <f t="shared" si="126"/>
        <v>45450</v>
      </c>
      <c r="S508" s="597">
        <f t="shared" si="127"/>
        <v>492.96</v>
      </c>
      <c r="T508" s="526">
        <f t="shared" si="128"/>
        <v>4624.3320599999997</v>
      </c>
      <c r="U508" s="598">
        <v>492.96</v>
      </c>
      <c r="V508" s="598">
        <v>4624.3320599999997</v>
      </c>
      <c r="X508" s="599">
        <v>5346.9880700000003</v>
      </c>
    </row>
    <row r="509" spans="17:24" ht="11.1" customHeight="1" x14ac:dyDescent="0.45">
      <c r="Q509" s="439">
        <f t="shared" si="125"/>
        <v>679</v>
      </c>
      <c r="R509" s="596">
        <f t="shared" si="126"/>
        <v>45451</v>
      </c>
      <c r="S509" s="597" t="e">
        <f t="shared" si="127"/>
        <v>#N/A</v>
      </c>
      <c r="T509" s="526" t="e">
        <f t="shared" si="128"/>
        <v>#N/A</v>
      </c>
      <c r="U509" s="598">
        <v>492.96</v>
      </c>
      <c r="V509" s="598">
        <v>0</v>
      </c>
      <c r="X509" s="599">
        <v>5346.9880700000003</v>
      </c>
    </row>
    <row r="510" spans="17:24" ht="11.1" customHeight="1" x14ac:dyDescent="0.45">
      <c r="Q510" s="439">
        <f t="shared" si="125"/>
        <v>678</v>
      </c>
      <c r="R510" s="596">
        <f t="shared" si="126"/>
        <v>45452</v>
      </c>
      <c r="S510" s="597" t="e">
        <f t="shared" si="127"/>
        <v>#N/A</v>
      </c>
      <c r="T510" s="526" t="e">
        <f t="shared" si="128"/>
        <v>#N/A</v>
      </c>
      <c r="U510" s="598">
        <v>492.96</v>
      </c>
      <c r="V510" s="598">
        <v>0</v>
      </c>
      <c r="X510" s="599">
        <v>5346.9880700000003</v>
      </c>
    </row>
    <row r="511" spans="17:24" ht="11.1" customHeight="1" x14ac:dyDescent="0.45">
      <c r="Q511" s="439">
        <f t="shared" si="125"/>
        <v>677</v>
      </c>
      <c r="R511" s="596">
        <f t="shared" si="126"/>
        <v>45453</v>
      </c>
      <c r="S511" s="597">
        <f t="shared" si="127"/>
        <v>502.6</v>
      </c>
      <c r="T511" s="526">
        <f t="shared" si="128"/>
        <v>5647.6754899999996</v>
      </c>
      <c r="U511" s="598">
        <v>502.6</v>
      </c>
      <c r="V511" s="598">
        <v>5647.6754899999996</v>
      </c>
      <c r="X511" s="599">
        <v>5360.7884899999999</v>
      </c>
    </row>
    <row r="512" spans="17:24" ht="11.1" customHeight="1" x14ac:dyDescent="0.45">
      <c r="Q512" s="439">
        <f t="shared" si="125"/>
        <v>676</v>
      </c>
      <c r="R512" s="596">
        <f t="shared" si="126"/>
        <v>45454</v>
      </c>
      <c r="S512" s="597">
        <f t="shared" si="127"/>
        <v>507.47</v>
      </c>
      <c r="T512" s="526">
        <f t="shared" si="128"/>
        <v>4909.1201499999997</v>
      </c>
      <c r="U512" s="598">
        <v>507.47</v>
      </c>
      <c r="V512" s="598">
        <v>4909.1201499999997</v>
      </c>
      <c r="X512" s="599">
        <v>5375.3161799999998</v>
      </c>
    </row>
    <row r="513" spans="17:24" ht="11.1" customHeight="1" x14ac:dyDescent="0.45">
      <c r="Q513" s="439">
        <f t="shared" si="125"/>
        <v>675</v>
      </c>
      <c r="R513" s="596">
        <f t="shared" si="126"/>
        <v>45455</v>
      </c>
      <c r="S513" s="597">
        <f t="shared" si="127"/>
        <v>508.84</v>
      </c>
      <c r="T513" s="526">
        <f t="shared" si="128"/>
        <v>6097.5452299999997</v>
      </c>
      <c r="U513" s="598">
        <v>508.84</v>
      </c>
      <c r="V513" s="598">
        <v>6097.5452299999997</v>
      </c>
      <c r="X513" s="599">
        <v>5421.02585</v>
      </c>
    </row>
    <row r="514" spans="17:24" ht="11.1" customHeight="1" x14ac:dyDescent="0.45">
      <c r="Q514" s="439">
        <f t="shared" si="125"/>
        <v>674</v>
      </c>
      <c r="R514" s="596">
        <f t="shared" si="126"/>
        <v>45456</v>
      </c>
      <c r="S514" s="597">
        <f t="shared" si="127"/>
        <v>504.1</v>
      </c>
      <c r="T514" s="526">
        <f t="shared" si="128"/>
        <v>5018.1244500000003</v>
      </c>
      <c r="U514" s="598">
        <v>504.1</v>
      </c>
      <c r="V514" s="598">
        <v>5018.1244500000003</v>
      </c>
      <c r="X514" s="599">
        <v>5433.7431999999999</v>
      </c>
    </row>
    <row r="515" spans="17:24" ht="11.1" customHeight="1" x14ac:dyDescent="0.45">
      <c r="Q515" s="439">
        <f t="shared" si="125"/>
        <v>673</v>
      </c>
      <c r="R515" s="596">
        <f t="shared" si="126"/>
        <v>45457</v>
      </c>
      <c r="S515" s="597">
        <f t="shared" si="127"/>
        <v>504.16</v>
      </c>
      <c r="T515" s="526">
        <f t="shared" si="128"/>
        <v>5164.2858200000001</v>
      </c>
      <c r="U515" s="598">
        <v>504.16</v>
      </c>
      <c r="V515" s="598">
        <v>5164.2858200000001</v>
      </c>
      <c r="X515" s="599">
        <v>5431.6016499999996</v>
      </c>
    </row>
    <row r="516" spans="17:24" ht="11.1" customHeight="1" x14ac:dyDescent="0.45">
      <c r="Q516" s="439">
        <f t="shared" si="125"/>
        <v>672</v>
      </c>
      <c r="R516" s="596">
        <f t="shared" si="126"/>
        <v>45458</v>
      </c>
      <c r="S516" s="597" t="e">
        <f t="shared" si="127"/>
        <v>#N/A</v>
      </c>
      <c r="T516" s="526" t="e">
        <f t="shared" si="128"/>
        <v>#N/A</v>
      </c>
      <c r="U516" s="598">
        <v>504.16</v>
      </c>
      <c r="V516" s="598">
        <v>0</v>
      </c>
      <c r="X516" s="599">
        <v>5431.6016499999996</v>
      </c>
    </row>
    <row r="517" spans="17:24" ht="11.1" customHeight="1" x14ac:dyDescent="0.45">
      <c r="Q517" s="439">
        <f t="shared" si="125"/>
        <v>671</v>
      </c>
      <c r="R517" s="596">
        <f t="shared" si="126"/>
        <v>45459</v>
      </c>
      <c r="S517" s="597" t="e">
        <f t="shared" si="127"/>
        <v>#N/A</v>
      </c>
      <c r="T517" s="526" t="e">
        <f t="shared" si="128"/>
        <v>#N/A</v>
      </c>
      <c r="U517" s="598">
        <v>504.16</v>
      </c>
      <c r="V517" s="598">
        <v>0</v>
      </c>
      <c r="X517" s="599">
        <v>5431.6016499999996</v>
      </c>
    </row>
    <row r="518" spans="17:24" ht="11.1" customHeight="1" x14ac:dyDescent="0.45">
      <c r="Q518" s="439">
        <f t="shared" si="125"/>
        <v>670</v>
      </c>
      <c r="R518" s="596">
        <f t="shared" si="126"/>
        <v>45460</v>
      </c>
      <c r="S518" s="597">
        <f t="shared" si="127"/>
        <v>506.63</v>
      </c>
      <c r="T518" s="526">
        <f t="shared" si="128"/>
        <v>5707.9980699999996</v>
      </c>
      <c r="U518" s="598">
        <v>506.63</v>
      </c>
      <c r="V518" s="598">
        <v>5707.9980699999996</v>
      </c>
      <c r="X518" s="599">
        <v>5473.23315</v>
      </c>
    </row>
    <row r="519" spans="17:24" ht="11.1" customHeight="1" x14ac:dyDescent="0.45">
      <c r="Q519" s="439">
        <f t="shared" si="125"/>
        <v>669</v>
      </c>
      <c r="R519" s="596">
        <f t="shared" si="126"/>
        <v>45461</v>
      </c>
      <c r="S519" s="597">
        <f t="shared" si="127"/>
        <v>499.49</v>
      </c>
      <c r="T519" s="526">
        <f t="shared" si="128"/>
        <v>6523.5516799999996</v>
      </c>
      <c r="U519" s="598">
        <v>499.49</v>
      </c>
      <c r="V519" s="598">
        <v>6523.5516799999996</v>
      </c>
      <c r="X519" s="599">
        <v>5487.0264900000002</v>
      </c>
    </row>
    <row r="520" spans="17:24" ht="11.1" customHeight="1" x14ac:dyDescent="0.45">
      <c r="Q520" s="439">
        <f t="shared" si="125"/>
        <v>668</v>
      </c>
      <c r="R520" s="596">
        <f t="shared" si="126"/>
        <v>45462</v>
      </c>
      <c r="S520" s="597" t="e">
        <f t="shared" si="127"/>
        <v>#N/A</v>
      </c>
      <c r="T520" s="526" t="e">
        <f t="shared" si="128"/>
        <v>#N/A</v>
      </c>
      <c r="U520" s="598">
        <v>499.49</v>
      </c>
      <c r="V520" s="598">
        <v>0</v>
      </c>
      <c r="X520" s="599">
        <v>5487.0264900000002</v>
      </c>
    </row>
    <row r="521" spans="17:24" ht="11.1" customHeight="1" x14ac:dyDescent="0.45">
      <c r="Q521" s="439">
        <f t="shared" si="125"/>
        <v>667</v>
      </c>
      <c r="R521" s="596">
        <f t="shared" si="126"/>
        <v>45463</v>
      </c>
      <c r="S521" s="597">
        <f t="shared" si="127"/>
        <v>501.7</v>
      </c>
      <c r="T521" s="526">
        <f t="shared" si="128"/>
        <v>5920.65301</v>
      </c>
      <c r="U521" s="598">
        <v>501.7</v>
      </c>
      <c r="V521" s="598">
        <v>5920.65301</v>
      </c>
      <c r="X521" s="599">
        <v>5473.1687899999997</v>
      </c>
    </row>
    <row r="522" spans="17:24" ht="11.1" customHeight="1" x14ac:dyDescent="0.45">
      <c r="Q522" s="439">
        <f t="shared" si="125"/>
        <v>666</v>
      </c>
      <c r="R522" s="596">
        <f t="shared" si="126"/>
        <v>45464</v>
      </c>
      <c r="S522" s="597">
        <f t="shared" si="127"/>
        <v>494.78</v>
      </c>
      <c r="T522" s="526">
        <f t="shared" si="128"/>
        <v>11444.623579999999</v>
      </c>
      <c r="U522" s="598">
        <v>494.78</v>
      </c>
      <c r="V522" s="598">
        <v>11444.623579999999</v>
      </c>
      <c r="X522" s="599">
        <v>5464.6213399999997</v>
      </c>
    </row>
    <row r="523" spans="17:24" ht="11.1" customHeight="1" x14ac:dyDescent="0.45">
      <c r="Q523" s="439">
        <f t="shared" si="125"/>
        <v>665</v>
      </c>
      <c r="R523" s="596">
        <f t="shared" si="126"/>
        <v>45465</v>
      </c>
      <c r="S523" s="597" t="e">
        <f t="shared" si="127"/>
        <v>#N/A</v>
      </c>
      <c r="T523" s="526" t="e">
        <f t="shared" si="128"/>
        <v>#N/A</v>
      </c>
      <c r="U523" s="598">
        <v>494.78</v>
      </c>
      <c r="V523" s="598">
        <v>0</v>
      </c>
      <c r="X523" s="599">
        <v>5464.6213399999997</v>
      </c>
    </row>
    <row r="524" spans="17:24" ht="11.1" customHeight="1" x14ac:dyDescent="0.45">
      <c r="Q524" s="439">
        <f t="shared" si="125"/>
        <v>664</v>
      </c>
      <c r="R524" s="596">
        <f t="shared" si="126"/>
        <v>45466</v>
      </c>
      <c r="S524" s="597" t="e">
        <f t="shared" si="127"/>
        <v>#N/A</v>
      </c>
      <c r="T524" s="526" t="e">
        <f t="shared" si="128"/>
        <v>#N/A</v>
      </c>
      <c r="U524" s="598">
        <v>494.78</v>
      </c>
      <c r="V524" s="598">
        <v>0</v>
      </c>
      <c r="X524" s="599">
        <v>5464.6213399999997</v>
      </c>
    </row>
    <row r="525" spans="17:24" ht="11.1" customHeight="1" x14ac:dyDescent="0.45">
      <c r="Q525" s="439">
        <f t="shared" si="125"/>
        <v>663</v>
      </c>
      <c r="R525" s="596">
        <f t="shared" si="126"/>
        <v>45467</v>
      </c>
      <c r="S525" s="597">
        <f t="shared" si="127"/>
        <v>498.91</v>
      </c>
      <c r="T525" s="526">
        <f t="shared" si="128"/>
        <v>6747.8964500000002</v>
      </c>
      <c r="U525" s="598">
        <v>498.91</v>
      </c>
      <c r="V525" s="598">
        <v>6747.8964500000002</v>
      </c>
      <c r="X525" s="599">
        <v>5447.8726500000002</v>
      </c>
    </row>
    <row r="526" spans="17:24" ht="11.1" customHeight="1" x14ac:dyDescent="0.45">
      <c r="Q526" s="439">
        <f t="shared" si="125"/>
        <v>662</v>
      </c>
      <c r="R526" s="596">
        <f t="shared" si="126"/>
        <v>45468</v>
      </c>
      <c r="S526" s="597">
        <f t="shared" si="127"/>
        <v>510.6</v>
      </c>
      <c r="T526" s="526">
        <f t="shared" si="128"/>
        <v>6183.2480500000001</v>
      </c>
      <c r="U526" s="598">
        <v>510.6</v>
      </c>
      <c r="V526" s="598">
        <v>6183.2480500000001</v>
      </c>
      <c r="X526" s="599">
        <v>5469.2974299999996</v>
      </c>
    </row>
    <row r="527" spans="17:24" ht="11.1" customHeight="1" x14ac:dyDescent="0.45">
      <c r="Q527" s="439">
        <f t="shared" si="125"/>
        <v>661</v>
      </c>
      <c r="R527" s="596">
        <f t="shared" si="126"/>
        <v>45469</v>
      </c>
      <c r="S527" s="597">
        <f t="shared" si="127"/>
        <v>513.12</v>
      </c>
      <c r="T527" s="526">
        <f t="shared" si="128"/>
        <v>4557.7047599999996</v>
      </c>
      <c r="U527" s="598">
        <v>513.12</v>
      </c>
      <c r="V527" s="598">
        <v>4557.7047599999996</v>
      </c>
      <c r="X527" s="599">
        <v>5477.90362</v>
      </c>
    </row>
    <row r="528" spans="17:24" ht="11.1" customHeight="1" x14ac:dyDescent="0.45">
      <c r="Q528" s="439">
        <f t="shared" si="125"/>
        <v>660</v>
      </c>
      <c r="R528" s="596">
        <f t="shared" si="126"/>
        <v>45470</v>
      </c>
      <c r="S528" s="597">
        <f t="shared" si="127"/>
        <v>519.55999999999995</v>
      </c>
      <c r="T528" s="526">
        <f t="shared" si="128"/>
        <v>5258.5701499999996</v>
      </c>
      <c r="U528" s="598">
        <v>519.55999999999995</v>
      </c>
      <c r="V528" s="598">
        <v>5258.5701499999996</v>
      </c>
      <c r="X528" s="599">
        <v>5482.8717800000004</v>
      </c>
    </row>
    <row r="529" spans="17:24" ht="11.1" customHeight="1" x14ac:dyDescent="0.45">
      <c r="Q529" s="439">
        <f t="shared" si="125"/>
        <v>659</v>
      </c>
      <c r="R529" s="596">
        <f t="shared" si="126"/>
        <v>45471</v>
      </c>
      <c r="S529" s="597">
        <f t="shared" si="127"/>
        <v>504.22</v>
      </c>
      <c r="T529" s="526">
        <f t="shared" si="128"/>
        <v>7994.4771799999999</v>
      </c>
      <c r="U529" s="598">
        <v>504.22</v>
      </c>
      <c r="V529" s="598">
        <v>7994.4771799999999</v>
      </c>
      <c r="X529" s="599">
        <v>5460.4826199999998</v>
      </c>
    </row>
    <row r="530" spans="17:24" ht="11.1" customHeight="1" x14ac:dyDescent="0.45">
      <c r="Q530" s="439">
        <f t="shared" si="125"/>
        <v>658</v>
      </c>
      <c r="R530" s="596">
        <f t="shared" si="126"/>
        <v>45472</v>
      </c>
      <c r="S530" s="597" t="e">
        <f t="shared" si="127"/>
        <v>#N/A</v>
      </c>
      <c r="T530" s="526" t="e">
        <f t="shared" si="128"/>
        <v>#N/A</v>
      </c>
      <c r="U530" s="598">
        <v>504.22</v>
      </c>
      <c r="V530" s="598">
        <v>0</v>
      </c>
      <c r="X530" s="599">
        <v>5460.4826199999998</v>
      </c>
    </row>
    <row r="531" spans="17:24" ht="11.1" customHeight="1" x14ac:dyDescent="0.45">
      <c r="Q531" s="439">
        <f t="shared" si="125"/>
        <v>657</v>
      </c>
      <c r="R531" s="596">
        <f t="shared" si="126"/>
        <v>45473</v>
      </c>
      <c r="S531" s="597" t="e">
        <f t="shared" si="127"/>
        <v>#N/A</v>
      </c>
      <c r="T531" s="526" t="e">
        <f t="shared" si="128"/>
        <v>#N/A</v>
      </c>
      <c r="U531" s="598">
        <v>504.22</v>
      </c>
      <c r="V531" s="598">
        <v>0</v>
      </c>
      <c r="X531" s="599">
        <v>5460.4826199999998</v>
      </c>
    </row>
    <row r="532" spans="17:24" ht="11.1" customHeight="1" x14ac:dyDescent="0.45">
      <c r="Q532" s="439">
        <f t="shared" si="125"/>
        <v>656</v>
      </c>
      <c r="R532" s="596">
        <f t="shared" si="126"/>
        <v>45474</v>
      </c>
      <c r="S532" s="597">
        <f t="shared" si="127"/>
        <v>504.68</v>
      </c>
      <c r="T532" s="526">
        <f t="shared" si="128"/>
        <v>5212.4107400000003</v>
      </c>
      <c r="U532" s="598">
        <v>504.68</v>
      </c>
      <c r="V532" s="598">
        <v>5212.4107400000003</v>
      </c>
      <c r="X532" s="599">
        <v>5475.08835</v>
      </c>
    </row>
    <row r="533" spans="17:24" ht="11.1" customHeight="1" x14ac:dyDescent="0.45">
      <c r="Q533" s="439">
        <f t="shared" si="125"/>
        <v>655</v>
      </c>
      <c r="R533" s="596">
        <f t="shared" si="126"/>
        <v>45475</v>
      </c>
      <c r="S533" s="597">
        <f t="shared" si="127"/>
        <v>509.5</v>
      </c>
      <c r="T533" s="526">
        <f t="shared" si="128"/>
        <v>3943.2645499999999</v>
      </c>
      <c r="U533" s="598">
        <v>509.5</v>
      </c>
      <c r="V533" s="598">
        <v>3943.2645499999999</v>
      </c>
      <c r="X533" s="599">
        <v>5509.0111100000004</v>
      </c>
    </row>
    <row r="534" spans="17:24" ht="11.1" customHeight="1" x14ac:dyDescent="0.45">
      <c r="Q534" s="439">
        <f t="shared" si="125"/>
        <v>654</v>
      </c>
      <c r="R534" s="596">
        <f t="shared" si="126"/>
        <v>45476</v>
      </c>
      <c r="S534" s="597">
        <f t="shared" si="127"/>
        <v>509.96</v>
      </c>
      <c r="T534" s="526">
        <f t="shared" si="128"/>
        <v>3062.6234300000001</v>
      </c>
      <c r="U534" s="598">
        <v>509.96</v>
      </c>
      <c r="V534" s="598">
        <v>3062.6234300000001</v>
      </c>
      <c r="X534" s="599">
        <v>5537.0191299999997</v>
      </c>
    </row>
    <row r="535" spans="17:24" ht="11.1" customHeight="1" x14ac:dyDescent="0.45">
      <c r="Q535" s="439">
        <f t="shared" si="125"/>
        <v>653</v>
      </c>
      <c r="R535" s="596">
        <f t="shared" si="126"/>
        <v>45477</v>
      </c>
      <c r="S535" s="597" t="e">
        <f t="shared" si="127"/>
        <v>#N/A</v>
      </c>
      <c r="T535" s="526" t="e">
        <f t="shared" si="128"/>
        <v>#N/A</v>
      </c>
      <c r="U535" s="598">
        <v>509.96</v>
      </c>
      <c r="V535" s="598">
        <v>0</v>
      </c>
      <c r="X535" s="599">
        <v>5537.0191299999997</v>
      </c>
    </row>
    <row r="536" spans="17:24" ht="11.1" customHeight="1" x14ac:dyDescent="0.45">
      <c r="Q536" s="439">
        <f t="shared" si="125"/>
        <v>652</v>
      </c>
      <c r="R536" s="596">
        <f t="shared" si="126"/>
        <v>45478</v>
      </c>
      <c r="S536" s="597">
        <f t="shared" si="127"/>
        <v>539.91</v>
      </c>
      <c r="T536" s="526">
        <f t="shared" si="128"/>
        <v>11529.288350000001</v>
      </c>
      <c r="U536" s="598">
        <v>539.91</v>
      </c>
      <c r="V536" s="598">
        <v>11529.288350000001</v>
      </c>
      <c r="X536" s="599">
        <v>5567.1903899999998</v>
      </c>
    </row>
    <row r="537" spans="17:24" ht="11.1" customHeight="1" x14ac:dyDescent="0.45">
      <c r="Q537" s="439">
        <f t="shared" si="125"/>
        <v>651</v>
      </c>
      <c r="R537" s="596">
        <f t="shared" si="126"/>
        <v>45479</v>
      </c>
      <c r="S537" s="597" t="e">
        <f t="shared" si="127"/>
        <v>#N/A</v>
      </c>
      <c r="T537" s="526" t="e">
        <f t="shared" si="128"/>
        <v>#N/A</v>
      </c>
      <c r="U537" s="598">
        <v>539.91</v>
      </c>
      <c r="V537" s="598">
        <v>0</v>
      </c>
      <c r="X537" s="599">
        <v>5567.1903899999998</v>
      </c>
    </row>
    <row r="538" spans="17:24" ht="11.1" customHeight="1" x14ac:dyDescent="0.45">
      <c r="Q538" s="439">
        <f t="shared" si="125"/>
        <v>650</v>
      </c>
      <c r="R538" s="596">
        <f t="shared" si="126"/>
        <v>45480</v>
      </c>
      <c r="S538" s="597" t="e">
        <f t="shared" si="127"/>
        <v>#N/A</v>
      </c>
      <c r="T538" s="526" t="e">
        <f t="shared" si="128"/>
        <v>#N/A</v>
      </c>
      <c r="U538" s="598">
        <v>539.91</v>
      </c>
      <c r="V538" s="598">
        <v>0</v>
      </c>
      <c r="X538" s="599">
        <v>5567.1903899999998</v>
      </c>
    </row>
    <row r="539" spans="17:24" ht="11.1" customHeight="1" x14ac:dyDescent="0.45">
      <c r="Q539" s="439">
        <f t="shared" si="125"/>
        <v>649</v>
      </c>
      <c r="R539" s="596">
        <f t="shared" si="126"/>
        <v>45481</v>
      </c>
      <c r="S539" s="597">
        <f t="shared" si="127"/>
        <v>529.32000000000005</v>
      </c>
      <c r="T539" s="526">
        <f t="shared" si="128"/>
        <v>7896.1284500000002</v>
      </c>
      <c r="U539" s="598">
        <v>529.32000000000005</v>
      </c>
      <c r="V539" s="598">
        <v>7896.1284500000002</v>
      </c>
      <c r="X539" s="599">
        <v>5572.8501999999999</v>
      </c>
    </row>
    <row r="540" spans="17:24" ht="11.1" customHeight="1" x14ac:dyDescent="0.45">
      <c r="Q540" s="439">
        <f t="shared" si="125"/>
        <v>648</v>
      </c>
      <c r="R540" s="596">
        <f t="shared" si="126"/>
        <v>45482</v>
      </c>
      <c r="S540" s="597">
        <f t="shared" si="127"/>
        <v>530</v>
      </c>
      <c r="T540" s="526">
        <f t="shared" si="128"/>
        <v>4647.6166400000002</v>
      </c>
      <c r="U540" s="598">
        <v>530</v>
      </c>
      <c r="V540" s="598">
        <v>4647.6166400000002</v>
      </c>
      <c r="X540" s="599">
        <v>5576.9844999999996</v>
      </c>
    </row>
    <row r="541" spans="17:24" ht="11.1" customHeight="1" x14ac:dyDescent="0.45">
      <c r="Q541" s="439">
        <f t="shared" ref="Q541:Q604" si="129">Q542+1</f>
        <v>647</v>
      </c>
      <c r="R541" s="596">
        <f t="shared" ref="R541:R604" si="130">R542-1</f>
        <v>45483</v>
      </c>
      <c r="S541" s="597">
        <f t="shared" ref="S541:S604" si="131">IF(U541=U540,#N/A,U541)</f>
        <v>534.69000000000005</v>
      </c>
      <c r="T541" s="526">
        <f t="shared" ref="T541:T604" si="132">IF(S541="#NV",#N/A,V541)</f>
        <v>5872.6478399999996</v>
      </c>
      <c r="U541" s="598">
        <v>534.69000000000005</v>
      </c>
      <c r="V541" s="598">
        <v>5872.6478399999996</v>
      </c>
      <c r="X541" s="599">
        <v>5633.9122100000004</v>
      </c>
    </row>
    <row r="542" spans="17:24" ht="11.1" customHeight="1" x14ac:dyDescent="0.45">
      <c r="Q542" s="439">
        <f t="shared" si="129"/>
        <v>646</v>
      </c>
      <c r="R542" s="596">
        <f t="shared" si="130"/>
        <v>45484</v>
      </c>
      <c r="S542" s="597">
        <f t="shared" si="131"/>
        <v>512.70000000000005</v>
      </c>
      <c r="T542" s="526">
        <f t="shared" si="132"/>
        <v>8438.1463100000001</v>
      </c>
      <c r="U542" s="598">
        <v>512.70000000000005</v>
      </c>
      <c r="V542" s="598">
        <v>8438.1463100000001</v>
      </c>
      <c r="X542" s="599">
        <v>5584.5443299999997</v>
      </c>
    </row>
    <row r="543" spans="17:24" ht="11.1" customHeight="1" x14ac:dyDescent="0.45">
      <c r="Q543" s="439">
        <f t="shared" si="129"/>
        <v>645</v>
      </c>
      <c r="R543" s="596">
        <f t="shared" si="130"/>
        <v>45485</v>
      </c>
      <c r="S543" s="597">
        <f t="shared" si="131"/>
        <v>498.87</v>
      </c>
      <c r="T543" s="526">
        <f t="shared" si="132"/>
        <v>9852.9538900000007</v>
      </c>
      <c r="U543" s="598">
        <v>498.87</v>
      </c>
      <c r="V543" s="598">
        <v>9852.9538900000007</v>
      </c>
      <c r="X543" s="599">
        <v>5615.3487599999999</v>
      </c>
    </row>
    <row r="544" spans="17:24" ht="11.1" customHeight="1" x14ac:dyDescent="0.45">
      <c r="Q544" s="439">
        <f t="shared" si="129"/>
        <v>644</v>
      </c>
      <c r="R544" s="596">
        <f t="shared" si="130"/>
        <v>45486</v>
      </c>
      <c r="S544" s="597" t="e">
        <f t="shared" si="131"/>
        <v>#N/A</v>
      </c>
      <c r="T544" s="526" t="e">
        <f t="shared" si="132"/>
        <v>#N/A</v>
      </c>
      <c r="U544" s="598">
        <v>498.87</v>
      </c>
      <c r="V544" s="598">
        <v>0</v>
      </c>
      <c r="X544" s="599">
        <v>5615.3487599999999</v>
      </c>
    </row>
    <row r="545" spans="17:24" ht="11.1" customHeight="1" x14ac:dyDescent="0.45">
      <c r="Q545" s="439">
        <f t="shared" si="129"/>
        <v>643</v>
      </c>
      <c r="R545" s="596">
        <f t="shared" si="130"/>
        <v>45487</v>
      </c>
      <c r="S545" s="597" t="e">
        <f t="shared" si="131"/>
        <v>#N/A</v>
      </c>
      <c r="T545" s="526" t="e">
        <f t="shared" si="132"/>
        <v>#N/A</v>
      </c>
      <c r="U545" s="598">
        <v>498.87</v>
      </c>
      <c r="V545" s="598">
        <v>0</v>
      </c>
      <c r="X545" s="599">
        <v>5615.3487599999999</v>
      </c>
    </row>
    <row r="546" spans="17:24" ht="11.1" customHeight="1" x14ac:dyDescent="0.45">
      <c r="Q546" s="439">
        <f t="shared" si="129"/>
        <v>642</v>
      </c>
      <c r="R546" s="596">
        <f t="shared" si="130"/>
        <v>45488</v>
      </c>
      <c r="S546" s="597">
        <f t="shared" si="131"/>
        <v>496.16</v>
      </c>
      <c r="T546" s="526">
        <f t="shared" si="132"/>
        <v>6221.4311100000004</v>
      </c>
      <c r="U546" s="598">
        <v>496.16</v>
      </c>
      <c r="V546" s="598">
        <v>6221.4311100000004</v>
      </c>
      <c r="X546" s="599">
        <v>5631.2160400000002</v>
      </c>
    </row>
    <row r="547" spans="17:24" ht="11.1" customHeight="1" x14ac:dyDescent="0.45">
      <c r="Q547" s="439">
        <f t="shared" si="129"/>
        <v>641</v>
      </c>
      <c r="R547" s="596">
        <f t="shared" si="130"/>
        <v>45489</v>
      </c>
      <c r="S547" s="597">
        <f t="shared" si="131"/>
        <v>489.79</v>
      </c>
      <c r="T547" s="526">
        <f t="shared" si="132"/>
        <v>6894.2022500000003</v>
      </c>
      <c r="U547" s="598">
        <v>489.79</v>
      </c>
      <c r="V547" s="598">
        <v>6894.2022500000003</v>
      </c>
      <c r="X547" s="599">
        <v>5667.19769</v>
      </c>
    </row>
    <row r="548" spans="17:24" ht="11.1" customHeight="1" x14ac:dyDescent="0.45">
      <c r="Q548" s="439">
        <f t="shared" si="129"/>
        <v>640</v>
      </c>
      <c r="R548" s="596">
        <f t="shared" si="130"/>
        <v>45490</v>
      </c>
      <c r="S548" s="597">
        <f t="shared" si="131"/>
        <v>461.99</v>
      </c>
      <c r="T548" s="526">
        <f t="shared" si="132"/>
        <v>12971.10612</v>
      </c>
      <c r="U548" s="598">
        <v>461.99</v>
      </c>
      <c r="V548" s="598">
        <v>12971.10612</v>
      </c>
      <c r="X548" s="599">
        <v>5588.2716899999996</v>
      </c>
    </row>
    <row r="549" spans="17:24" ht="11.1" customHeight="1" x14ac:dyDescent="0.45">
      <c r="Q549" s="439">
        <f t="shared" si="129"/>
        <v>639</v>
      </c>
      <c r="R549" s="596">
        <f t="shared" si="130"/>
        <v>45491</v>
      </c>
      <c r="S549" s="597">
        <f t="shared" si="131"/>
        <v>475.85</v>
      </c>
      <c r="T549" s="526">
        <f t="shared" si="132"/>
        <v>9168.2780899999998</v>
      </c>
      <c r="U549" s="598">
        <v>475.85</v>
      </c>
      <c r="V549" s="598">
        <v>9168.2780899999998</v>
      </c>
      <c r="X549" s="599">
        <v>5544.5932400000002</v>
      </c>
    </row>
    <row r="550" spans="17:24" ht="11.1" customHeight="1" x14ac:dyDescent="0.45">
      <c r="Q550" s="439">
        <f t="shared" si="129"/>
        <v>638</v>
      </c>
      <c r="R550" s="596">
        <f t="shared" si="130"/>
        <v>45492</v>
      </c>
      <c r="S550" s="597">
        <f t="shared" si="131"/>
        <v>476.79</v>
      </c>
      <c r="T550" s="526">
        <f t="shared" si="132"/>
        <v>7223.0900600000004</v>
      </c>
      <c r="U550" s="598">
        <v>476.79</v>
      </c>
      <c r="V550" s="598">
        <v>7223.0900600000004</v>
      </c>
      <c r="X550" s="599">
        <v>5505.0030900000002</v>
      </c>
    </row>
    <row r="551" spans="17:24" ht="11.1" customHeight="1" x14ac:dyDescent="0.45">
      <c r="Q551" s="439">
        <f t="shared" si="129"/>
        <v>637</v>
      </c>
      <c r="R551" s="596">
        <f t="shared" si="130"/>
        <v>45493</v>
      </c>
      <c r="S551" s="597" t="e">
        <f t="shared" si="131"/>
        <v>#N/A</v>
      </c>
      <c r="T551" s="526" t="e">
        <f t="shared" si="132"/>
        <v>#N/A</v>
      </c>
      <c r="U551" s="598">
        <v>476.79</v>
      </c>
      <c r="V551" s="598">
        <v>0</v>
      </c>
      <c r="X551" s="599">
        <v>5505.0030900000002</v>
      </c>
    </row>
    <row r="552" spans="17:24" ht="11.1" customHeight="1" x14ac:dyDescent="0.45">
      <c r="Q552" s="439">
        <f t="shared" si="129"/>
        <v>636</v>
      </c>
      <c r="R552" s="596">
        <f t="shared" si="130"/>
        <v>45494</v>
      </c>
      <c r="S552" s="597" t="e">
        <f t="shared" si="131"/>
        <v>#N/A</v>
      </c>
      <c r="T552" s="526" t="e">
        <f t="shared" si="132"/>
        <v>#N/A</v>
      </c>
      <c r="U552" s="598">
        <v>476.79</v>
      </c>
      <c r="V552" s="598">
        <v>0</v>
      </c>
      <c r="X552" s="599">
        <v>5505.0030900000002</v>
      </c>
    </row>
    <row r="553" spans="17:24" ht="11.1" customHeight="1" x14ac:dyDescent="0.45">
      <c r="Q553" s="439">
        <f t="shared" si="129"/>
        <v>635</v>
      </c>
      <c r="R553" s="596">
        <f t="shared" si="130"/>
        <v>45495</v>
      </c>
      <c r="S553" s="597">
        <f t="shared" si="131"/>
        <v>487.4</v>
      </c>
      <c r="T553" s="526">
        <f t="shared" si="132"/>
        <v>5860.0530900000003</v>
      </c>
      <c r="U553" s="598">
        <v>487.4</v>
      </c>
      <c r="V553" s="598">
        <v>5860.0530900000003</v>
      </c>
      <c r="X553" s="599">
        <v>5564.4128899999996</v>
      </c>
    </row>
    <row r="554" spans="17:24" ht="11.1" customHeight="1" x14ac:dyDescent="0.45">
      <c r="Q554" s="439">
        <f t="shared" si="129"/>
        <v>634</v>
      </c>
      <c r="R554" s="596">
        <f t="shared" si="130"/>
        <v>45496</v>
      </c>
      <c r="S554" s="597">
        <f t="shared" si="131"/>
        <v>488.69</v>
      </c>
      <c r="T554" s="526">
        <f t="shared" si="132"/>
        <v>4620.8214900000003</v>
      </c>
      <c r="U554" s="598">
        <v>488.69</v>
      </c>
      <c r="V554" s="598">
        <v>4620.8214900000003</v>
      </c>
      <c r="X554" s="599">
        <v>5555.7436699999998</v>
      </c>
    </row>
    <row r="555" spans="17:24" ht="11.1" customHeight="1" x14ac:dyDescent="0.45">
      <c r="Q555" s="439">
        <f t="shared" si="129"/>
        <v>633</v>
      </c>
      <c r="R555" s="596">
        <f t="shared" si="130"/>
        <v>45497</v>
      </c>
      <c r="S555" s="597">
        <f t="shared" si="131"/>
        <v>461.27</v>
      </c>
      <c r="T555" s="526">
        <f t="shared" si="132"/>
        <v>8141.2946499999998</v>
      </c>
      <c r="U555" s="598">
        <v>461.27</v>
      </c>
      <c r="V555" s="598">
        <v>8141.2946499999998</v>
      </c>
      <c r="X555" s="599">
        <v>5427.1276799999996</v>
      </c>
    </row>
    <row r="556" spans="17:24" ht="11.1" customHeight="1" x14ac:dyDescent="0.45">
      <c r="Q556" s="439">
        <f t="shared" si="129"/>
        <v>632</v>
      </c>
      <c r="R556" s="596">
        <f t="shared" si="130"/>
        <v>45498</v>
      </c>
      <c r="S556" s="597">
        <f t="shared" si="131"/>
        <v>453.41</v>
      </c>
      <c r="T556" s="526">
        <f t="shared" si="132"/>
        <v>8270.4201200000007</v>
      </c>
      <c r="U556" s="598">
        <v>453.41</v>
      </c>
      <c r="V556" s="598">
        <v>8270.4201200000007</v>
      </c>
      <c r="X556" s="599">
        <v>5399.2224800000004</v>
      </c>
    </row>
    <row r="557" spans="17:24" ht="11.1" customHeight="1" x14ac:dyDescent="0.45">
      <c r="Q557" s="439">
        <f t="shared" si="129"/>
        <v>631</v>
      </c>
      <c r="R557" s="596">
        <f t="shared" si="130"/>
        <v>45499</v>
      </c>
      <c r="S557" s="597">
        <f t="shared" si="131"/>
        <v>465.7</v>
      </c>
      <c r="T557" s="526">
        <f t="shared" si="132"/>
        <v>6623.3660900000004</v>
      </c>
      <c r="U557" s="598">
        <v>465.7</v>
      </c>
      <c r="V557" s="598">
        <v>6623.3660900000004</v>
      </c>
      <c r="X557" s="599">
        <v>5459.0973999999997</v>
      </c>
    </row>
    <row r="558" spans="17:24" ht="11.1" customHeight="1" x14ac:dyDescent="0.45">
      <c r="Q558" s="439">
        <f t="shared" si="129"/>
        <v>630</v>
      </c>
      <c r="R558" s="596">
        <f t="shared" si="130"/>
        <v>45500</v>
      </c>
      <c r="S558" s="597" t="e">
        <f t="shared" si="131"/>
        <v>#N/A</v>
      </c>
      <c r="T558" s="526" t="e">
        <f t="shared" si="132"/>
        <v>#N/A</v>
      </c>
      <c r="U558" s="598">
        <v>465.7</v>
      </c>
      <c r="V558" s="598">
        <v>0</v>
      </c>
      <c r="X558" s="599">
        <v>5459.0973999999997</v>
      </c>
    </row>
    <row r="559" spans="17:24" ht="11.1" customHeight="1" x14ac:dyDescent="0.45">
      <c r="Q559" s="439">
        <f t="shared" si="129"/>
        <v>629</v>
      </c>
      <c r="R559" s="596">
        <f t="shared" si="130"/>
        <v>45501</v>
      </c>
      <c r="S559" s="597" t="e">
        <f t="shared" si="131"/>
        <v>#N/A</v>
      </c>
      <c r="T559" s="526" t="e">
        <f t="shared" si="132"/>
        <v>#N/A</v>
      </c>
      <c r="U559" s="598">
        <v>465.7</v>
      </c>
      <c r="V559" s="598">
        <v>0</v>
      </c>
      <c r="X559" s="599">
        <v>5459.0973999999997</v>
      </c>
    </row>
    <row r="560" spans="17:24" ht="11.1" customHeight="1" x14ac:dyDescent="0.45">
      <c r="Q560" s="439">
        <f t="shared" si="129"/>
        <v>628</v>
      </c>
      <c r="R560" s="596">
        <f t="shared" si="130"/>
        <v>45502</v>
      </c>
      <c r="S560" s="597">
        <f t="shared" si="131"/>
        <v>465.71</v>
      </c>
      <c r="T560" s="526">
        <f t="shared" si="132"/>
        <v>5280.9790899999998</v>
      </c>
      <c r="U560" s="598">
        <v>465.71</v>
      </c>
      <c r="V560" s="598">
        <v>5280.9790899999998</v>
      </c>
      <c r="X560" s="599">
        <v>5463.5384700000004</v>
      </c>
    </row>
    <row r="561" spans="17:24" ht="11.1" customHeight="1" x14ac:dyDescent="0.45">
      <c r="Q561" s="439">
        <f t="shared" si="129"/>
        <v>627</v>
      </c>
      <c r="R561" s="596">
        <f t="shared" si="130"/>
        <v>45503</v>
      </c>
      <c r="S561" s="597">
        <f t="shared" si="131"/>
        <v>463.19</v>
      </c>
      <c r="T561" s="526">
        <f t="shared" si="132"/>
        <v>5275.9374399999997</v>
      </c>
      <c r="U561" s="598">
        <v>463.19</v>
      </c>
      <c r="V561" s="598">
        <v>5275.9374399999997</v>
      </c>
      <c r="X561" s="599">
        <v>5436.4440999999997</v>
      </c>
    </row>
    <row r="562" spans="17:24" ht="11.1" customHeight="1" x14ac:dyDescent="0.45">
      <c r="Q562" s="439">
        <f t="shared" si="129"/>
        <v>626</v>
      </c>
      <c r="R562" s="596">
        <f t="shared" si="130"/>
        <v>45504</v>
      </c>
      <c r="S562" s="597">
        <f t="shared" si="131"/>
        <v>474.83</v>
      </c>
      <c r="T562" s="526">
        <f t="shared" si="132"/>
        <v>11531.61549</v>
      </c>
      <c r="U562" s="598">
        <v>474.83</v>
      </c>
      <c r="V562" s="598">
        <v>11531.61549</v>
      </c>
      <c r="X562" s="599">
        <v>5522.3018400000001</v>
      </c>
    </row>
    <row r="563" spans="17:24" ht="11.1" customHeight="1" x14ac:dyDescent="0.45">
      <c r="Q563" s="439">
        <f t="shared" si="129"/>
        <v>625</v>
      </c>
      <c r="R563" s="596">
        <f t="shared" si="130"/>
        <v>45505</v>
      </c>
      <c r="S563" s="597">
        <f t="shared" si="131"/>
        <v>497.74</v>
      </c>
      <c r="T563" s="526">
        <f t="shared" si="132"/>
        <v>21444.17324</v>
      </c>
      <c r="U563" s="598">
        <v>497.74</v>
      </c>
      <c r="V563" s="598">
        <v>21444.17324</v>
      </c>
      <c r="X563" s="599">
        <v>5446.6843200000003</v>
      </c>
    </row>
    <row r="564" spans="17:24" ht="11.1" customHeight="1" x14ac:dyDescent="0.45">
      <c r="Q564" s="439">
        <f t="shared" si="129"/>
        <v>624</v>
      </c>
      <c r="R564" s="596">
        <f t="shared" si="130"/>
        <v>45506</v>
      </c>
      <c r="S564" s="597">
        <f t="shared" si="131"/>
        <v>488.14</v>
      </c>
      <c r="T564" s="526">
        <f t="shared" si="132"/>
        <v>11737.15936</v>
      </c>
      <c r="U564" s="598">
        <v>488.14</v>
      </c>
      <c r="V564" s="598">
        <v>11737.15936</v>
      </c>
      <c r="X564" s="599">
        <v>5346.5632599999999</v>
      </c>
    </row>
    <row r="565" spans="17:24" ht="11.1" customHeight="1" x14ac:dyDescent="0.45">
      <c r="Q565" s="439">
        <f t="shared" si="129"/>
        <v>623</v>
      </c>
      <c r="R565" s="596">
        <f t="shared" si="130"/>
        <v>45507</v>
      </c>
      <c r="S565" s="597" t="e">
        <f t="shared" si="131"/>
        <v>#N/A</v>
      </c>
      <c r="T565" s="526" t="e">
        <f t="shared" si="132"/>
        <v>#N/A</v>
      </c>
      <c r="U565" s="598">
        <v>488.14</v>
      </c>
      <c r="V565" s="598">
        <v>0</v>
      </c>
      <c r="X565" s="599">
        <v>5346.5632599999999</v>
      </c>
    </row>
    <row r="566" spans="17:24" ht="11.1" customHeight="1" x14ac:dyDescent="0.45">
      <c r="Q566" s="439">
        <f t="shared" si="129"/>
        <v>622</v>
      </c>
      <c r="R566" s="596">
        <f t="shared" si="130"/>
        <v>45508</v>
      </c>
      <c r="S566" s="597" t="e">
        <f t="shared" si="131"/>
        <v>#N/A</v>
      </c>
      <c r="T566" s="526" t="e">
        <f t="shared" si="132"/>
        <v>#N/A</v>
      </c>
      <c r="U566" s="598">
        <v>488.14</v>
      </c>
      <c r="V566" s="598">
        <v>0</v>
      </c>
      <c r="X566" s="599">
        <v>5346.5632599999999</v>
      </c>
    </row>
    <row r="567" spans="17:24" ht="11.1" customHeight="1" x14ac:dyDescent="0.45">
      <c r="Q567" s="439">
        <f t="shared" si="129"/>
        <v>621</v>
      </c>
      <c r="R567" s="596">
        <f t="shared" si="130"/>
        <v>45509</v>
      </c>
      <c r="S567" s="597">
        <f t="shared" si="131"/>
        <v>475.73</v>
      </c>
      <c r="T567" s="526">
        <f t="shared" si="132"/>
        <v>10178.809939999999</v>
      </c>
      <c r="U567" s="598">
        <v>475.73</v>
      </c>
      <c r="V567" s="598">
        <v>10178.809939999999</v>
      </c>
      <c r="X567" s="599">
        <v>5186.3304099999996</v>
      </c>
    </row>
    <row r="568" spans="17:24" ht="11.1" customHeight="1" x14ac:dyDescent="0.45">
      <c r="Q568" s="439">
        <f t="shared" si="129"/>
        <v>620</v>
      </c>
      <c r="R568" s="596">
        <f t="shared" si="130"/>
        <v>45510</v>
      </c>
      <c r="S568" s="597">
        <f t="shared" si="131"/>
        <v>494.09</v>
      </c>
      <c r="T568" s="526">
        <f t="shared" si="132"/>
        <v>10353.635689999999</v>
      </c>
      <c r="U568" s="598">
        <v>494.09</v>
      </c>
      <c r="V568" s="598">
        <v>10353.635689999999</v>
      </c>
      <c r="X568" s="599">
        <v>5240.0261499999997</v>
      </c>
    </row>
    <row r="569" spans="17:24" ht="11.1" customHeight="1" x14ac:dyDescent="0.45">
      <c r="Q569" s="439">
        <f t="shared" si="129"/>
        <v>619</v>
      </c>
      <c r="R569" s="596">
        <f t="shared" si="130"/>
        <v>45511</v>
      </c>
      <c r="S569" s="597">
        <f t="shared" si="131"/>
        <v>488.92</v>
      </c>
      <c r="T569" s="526">
        <f t="shared" si="132"/>
        <v>9829.8866999999991</v>
      </c>
      <c r="U569" s="598">
        <v>488.92</v>
      </c>
      <c r="V569" s="598">
        <v>9829.8866999999991</v>
      </c>
      <c r="X569" s="599">
        <v>5199.4999699999998</v>
      </c>
    </row>
    <row r="570" spans="17:24" ht="11.1" customHeight="1" x14ac:dyDescent="0.45">
      <c r="Q570" s="439">
        <f t="shared" si="129"/>
        <v>618</v>
      </c>
      <c r="R570" s="596">
        <f t="shared" si="130"/>
        <v>45512</v>
      </c>
      <c r="S570" s="597">
        <f t="shared" si="131"/>
        <v>509.63</v>
      </c>
      <c r="T570" s="526">
        <f t="shared" si="132"/>
        <v>8234.0118999999995</v>
      </c>
      <c r="U570" s="598">
        <v>509.63</v>
      </c>
      <c r="V570" s="598">
        <v>8234.0118999999995</v>
      </c>
      <c r="X570" s="599">
        <v>5319.3081199999997</v>
      </c>
    </row>
    <row r="571" spans="17:24" ht="11.1" customHeight="1" x14ac:dyDescent="0.45">
      <c r="Q571" s="439">
        <f t="shared" si="129"/>
        <v>617</v>
      </c>
      <c r="R571" s="596">
        <f t="shared" si="130"/>
        <v>45513</v>
      </c>
      <c r="S571" s="597">
        <f t="shared" si="131"/>
        <v>517.77</v>
      </c>
      <c r="T571" s="526">
        <f t="shared" si="132"/>
        <v>7091.7092899999998</v>
      </c>
      <c r="U571" s="598">
        <v>517.77</v>
      </c>
      <c r="V571" s="598">
        <v>7091.7092899999998</v>
      </c>
      <c r="X571" s="599">
        <v>5344.1643599999998</v>
      </c>
    </row>
    <row r="572" spans="17:24" ht="11.1" customHeight="1" x14ac:dyDescent="0.45">
      <c r="Q572" s="439">
        <f t="shared" si="129"/>
        <v>616</v>
      </c>
      <c r="R572" s="596">
        <f t="shared" si="130"/>
        <v>45514</v>
      </c>
      <c r="S572" s="597" t="e">
        <f t="shared" si="131"/>
        <v>#N/A</v>
      </c>
      <c r="T572" s="526" t="e">
        <f t="shared" si="132"/>
        <v>#N/A</v>
      </c>
      <c r="U572" s="598">
        <v>517.77</v>
      </c>
      <c r="V572" s="598">
        <v>0</v>
      </c>
      <c r="X572" s="599">
        <v>5344.1643599999998</v>
      </c>
    </row>
    <row r="573" spans="17:24" ht="11.1" customHeight="1" x14ac:dyDescent="0.45">
      <c r="Q573" s="439">
        <f t="shared" si="129"/>
        <v>615</v>
      </c>
      <c r="R573" s="596">
        <f t="shared" si="130"/>
        <v>45515</v>
      </c>
      <c r="S573" s="597" t="e">
        <f t="shared" si="131"/>
        <v>#N/A</v>
      </c>
      <c r="T573" s="526" t="e">
        <f t="shared" si="132"/>
        <v>#N/A</v>
      </c>
      <c r="U573" s="598">
        <v>517.77</v>
      </c>
      <c r="V573" s="598">
        <v>0</v>
      </c>
      <c r="X573" s="599">
        <v>5344.1643599999998</v>
      </c>
    </row>
    <row r="574" spans="17:24" ht="11.1" customHeight="1" x14ac:dyDescent="0.45">
      <c r="Q574" s="439">
        <f t="shared" si="129"/>
        <v>614</v>
      </c>
      <c r="R574" s="596">
        <f t="shared" si="130"/>
        <v>45516</v>
      </c>
      <c r="S574" s="597">
        <f t="shared" si="131"/>
        <v>515.95000000000005</v>
      </c>
      <c r="T574" s="526">
        <f t="shared" si="132"/>
        <v>5039.5013799999997</v>
      </c>
      <c r="U574" s="598">
        <v>515.95000000000005</v>
      </c>
      <c r="V574" s="598">
        <v>5039.5013799999997</v>
      </c>
      <c r="X574" s="599">
        <v>5344.3851999999997</v>
      </c>
    </row>
    <row r="575" spans="17:24" ht="11.1" customHeight="1" x14ac:dyDescent="0.45">
      <c r="Q575" s="439">
        <f t="shared" si="129"/>
        <v>613</v>
      </c>
      <c r="R575" s="596">
        <f t="shared" si="130"/>
        <v>45517</v>
      </c>
      <c r="S575" s="597">
        <f t="shared" si="131"/>
        <v>528.54</v>
      </c>
      <c r="T575" s="526">
        <f t="shared" si="132"/>
        <v>7264.16867</v>
      </c>
      <c r="U575" s="598">
        <v>528.54</v>
      </c>
      <c r="V575" s="598">
        <v>7264.16867</v>
      </c>
      <c r="X575" s="599">
        <v>5434.4328299999997</v>
      </c>
    </row>
    <row r="576" spans="17:24" ht="11.1" customHeight="1" x14ac:dyDescent="0.45">
      <c r="Q576" s="439">
        <f t="shared" si="129"/>
        <v>612</v>
      </c>
      <c r="R576" s="596">
        <f t="shared" si="130"/>
        <v>45518</v>
      </c>
      <c r="S576" s="597">
        <f t="shared" si="131"/>
        <v>526.76</v>
      </c>
      <c r="T576" s="526">
        <f t="shared" si="132"/>
        <v>6028.3410000000003</v>
      </c>
      <c r="U576" s="598">
        <v>526.76</v>
      </c>
      <c r="V576" s="598">
        <v>6028.3410000000003</v>
      </c>
      <c r="X576" s="599">
        <v>5455.2120000000004</v>
      </c>
    </row>
    <row r="577" spans="17:24" ht="11.1" customHeight="1" x14ac:dyDescent="0.45">
      <c r="Q577" s="439">
        <f t="shared" si="129"/>
        <v>611</v>
      </c>
      <c r="R577" s="596">
        <f t="shared" si="130"/>
        <v>45519</v>
      </c>
      <c r="S577" s="597">
        <f t="shared" si="131"/>
        <v>537.33000000000004</v>
      </c>
      <c r="T577" s="526">
        <f t="shared" si="132"/>
        <v>7244.3588200000004</v>
      </c>
      <c r="U577" s="598">
        <v>537.33000000000004</v>
      </c>
      <c r="V577" s="598">
        <v>7244.3588200000004</v>
      </c>
      <c r="X577" s="599">
        <v>5543.2182300000004</v>
      </c>
    </row>
    <row r="578" spans="17:24" ht="11.1" customHeight="1" x14ac:dyDescent="0.45">
      <c r="Q578" s="439">
        <f t="shared" si="129"/>
        <v>610</v>
      </c>
      <c r="R578" s="596">
        <f t="shared" si="130"/>
        <v>45520</v>
      </c>
      <c r="S578" s="597">
        <f t="shared" si="131"/>
        <v>527.41999999999996</v>
      </c>
      <c r="T578" s="526">
        <f t="shared" si="132"/>
        <v>7793.5186800000001</v>
      </c>
      <c r="U578" s="598">
        <v>527.41999999999996</v>
      </c>
      <c r="V578" s="598">
        <v>7793.5186800000001</v>
      </c>
      <c r="X578" s="599">
        <v>5554.2510599999996</v>
      </c>
    </row>
    <row r="579" spans="17:24" ht="11.1" customHeight="1" x14ac:dyDescent="0.45">
      <c r="Q579" s="439">
        <f t="shared" si="129"/>
        <v>609</v>
      </c>
      <c r="R579" s="596">
        <f t="shared" si="130"/>
        <v>45521</v>
      </c>
      <c r="S579" s="597" t="e">
        <f t="shared" si="131"/>
        <v>#N/A</v>
      </c>
      <c r="T579" s="526" t="e">
        <f t="shared" si="132"/>
        <v>#N/A</v>
      </c>
      <c r="U579" s="598">
        <v>527.41999999999996</v>
      </c>
      <c r="V579" s="598">
        <v>0</v>
      </c>
      <c r="X579" s="599">
        <v>5554.2510599999996</v>
      </c>
    </row>
    <row r="580" spans="17:24" ht="11.1" customHeight="1" x14ac:dyDescent="0.45">
      <c r="Q580" s="439">
        <f t="shared" si="129"/>
        <v>608</v>
      </c>
      <c r="R580" s="596">
        <f t="shared" si="130"/>
        <v>45522</v>
      </c>
      <c r="S580" s="597" t="e">
        <f t="shared" si="131"/>
        <v>#N/A</v>
      </c>
      <c r="T580" s="526" t="e">
        <f t="shared" si="132"/>
        <v>#N/A</v>
      </c>
      <c r="U580" s="598">
        <v>527.41999999999996</v>
      </c>
      <c r="V580" s="598">
        <v>0</v>
      </c>
      <c r="X580" s="599">
        <v>5554.2510599999996</v>
      </c>
    </row>
    <row r="581" spans="17:24" ht="11.1" customHeight="1" x14ac:dyDescent="0.45">
      <c r="Q581" s="439">
        <f t="shared" si="129"/>
        <v>607</v>
      </c>
      <c r="R581" s="596">
        <f t="shared" si="130"/>
        <v>45523</v>
      </c>
      <c r="S581" s="597">
        <f t="shared" si="131"/>
        <v>529.28</v>
      </c>
      <c r="T581" s="526">
        <f t="shared" si="132"/>
        <v>5229.1345000000001</v>
      </c>
      <c r="U581" s="598">
        <v>529.28</v>
      </c>
      <c r="V581" s="598">
        <v>5229.1345000000001</v>
      </c>
      <c r="X581" s="599">
        <v>5608.2472600000001</v>
      </c>
    </row>
    <row r="582" spans="17:24" ht="11.1" customHeight="1" x14ac:dyDescent="0.45">
      <c r="Q582" s="439">
        <f t="shared" si="129"/>
        <v>606</v>
      </c>
      <c r="R582" s="596">
        <f t="shared" si="130"/>
        <v>45524</v>
      </c>
      <c r="S582" s="597">
        <f t="shared" si="131"/>
        <v>526.73</v>
      </c>
      <c r="T582" s="526">
        <f t="shared" si="132"/>
        <v>4184.54907</v>
      </c>
      <c r="U582" s="598">
        <v>526.73</v>
      </c>
      <c r="V582" s="598">
        <v>4184.54907</v>
      </c>
      <c r="X582" s="599">
        <v>5597.12482</v>
      </c>
    </row>
    <row r="583" spans="17:24" ht="11.1" customHeight="1" x14ac:dyDescent="0.45">
      <c r="Q583" s="439">
        <f t="shared" si="129"/>
        <v>605</v>
      </c>
      <c r="R583" s="596">
        <f t="shared" si="130"/>
        <v>45525</v>
      </c>
      <c r="S583" s="597">
        <f t="shared" si="131"/>
        <v>535.16</v>
      </c>
      <c r="T583" s="526">
        <f t="shared" si="132"/>
        <v>7183.6089499999998</v>
      </c>
      <c r="U583" s="598">
        <v>535.16</v>
      </c>
      <c r="V583" s="598">
        <v>7183.6089499999998</v>
      </c>
      <c r="X583" s="599">
        <v>5620.8527199999999</v>
      </c>
    </row>
    <row r="584" spans="17:24" ht="11.1" customHeight="1" x14ac:dyDescent="0.45">
      <c r="Q584" s="439">
        <f t="shared" si="129"/>
        <v>604</v>
      </c>
      <c r="R584" s="596">
        <f t="shared" si="130"/>
        <v>45526</v>
      </c>
      <c r="S584" s="597">
        <f t="shared" si="131"/>
        <v>531.92999999999995</v>
      </c>
      <c r="T584" s="526">
        <f t="shared" si="132"/>
        <v>8355.7117600000001</v>
      </c>
      <c r="U584" s="598">
        <v>531.92999999999995</v>
      </c>
      <c r="V584" s="598">
        <v>8355.7117600000001</v>
      </c>
      <c r="X584" s="599">
        <v>5570.6445700000004</v>
      </c>
    </row>
    <row r="585" spans="17:24" ht="11.1" customHeight="1" x14ac:dyDescent="0.45">
      <c r="Q585" s="439">
        <f t="shared" si="129"/>
        <v>603</v>
      </c>
      <c r="R585" s="596">
        <f t="shared" si="130"/>
        <v>45527</v>
      </c>
      <c r="S585" s="597">
        <f t="shared" si="131"/>
        <v>528</v>
      </c>
      <c r="T585" s="526">
        <f t="shared" si="132"/>
        <v>5979.0382099999997</v>
      </c>
      <c r="U585" s="598">
        <v>528</v>
      </c>
      <c r="V585" s="598">
        <v>5979.0382099999997</v>
      </c>
      <c r="X585" s="599">
        <v>5634.6058499999999</v>
      </c>
    </row>
    <row r="586" spans="17:24" ht="11.1" customHeight="1" x14ac:dyDescent="0.45">
      <c r="Q586" s="439">
        <f t="shared" si="129"/>
        <v>602</v>
      </c>
      <c r="R586" s="596">
        <f t="shared" si="130"/>
        <v>45528</v>
      </c>
      <c r="S586" s="597" t="e">
        <f t="shared" si="131"/>
        <v>#N/A</v>
      </c>
      <c r="T586" s="526" t="e">
        <f t="shared" si="132"/>
        <v>#N/A</v>
      </c>
      <c r="U586" s="598">
        <v>528</v>
      </c>
      <c r="V586" s="598">
        <v>0</v>
      </c>
      <c r="X586" s="599">
        <v>5634.6058499999999</v>
      </c>
    </row>
    <row r="587" spans="17:24" ht="11.1" customHeight="1" x14ac:dyDescent="0.45">
      <c r="Q587" s="439">
        <f t="shared" si="129"/>
        <v>601</v>
      </c>
      <c r="R587" s="596">
        <f t="shared" si="130"/>
        <v>45529</v>
      </c>
      <c r="S587" s="597" t="e">
        <f t="shared" si="131"/>
        <v>#N/A</v>
      </c>
      <c r="T587" s="526" t="e">
        <f t="shared" si="132"/>
        <v>#N/A</v>
      </c>
      <c r="U587" s="598">
        <v>528</v>
      </c>
      <c r="V587" s="598">
        <v>0</v>
      </c>
      <c r="X587" s="599">
        <v>5634.6058499999999</v>
      </c>
    </row>
    <row r="588" spans="17:24" ht="11.1" customHeight="1" x14ac:dyDescent="0.45">
      <c r="Q588" s="439">
        <f t="shared" si="129"/>
        <v>600</v>
      </c>
      <c r="R588" s="596">
        <f t="shared" si="130"/>
        <v>45530</v>
      </c>
      <c r="S588" s="597">
        <f t="shared" si="131"/>
        <v>521.12</v>
      </c>
      <c r="T588" s="526">
        <f t="shared" si="132"/>
        <v>4994.4151199999997</v>
      </c>
      <c r="U588" s="598">
        <v>521.12</v>
      </c>
      <c r="V588" s="598">
        <v>4994.4151199999997</v>
      </c>
      <c r="X588" s="599">
        <v>5616.8358500000004</v>
      </c>
    </row>
    <row r="589" spans="17:24" ht="11.1" customHeight="1" x14ac:dyDescent="0.45">
      <c r="Q589" s="439">
        <f t="shared" si="129"/>
        <v>599</v>
      </c>
      <c r="R589" s="596">
        <f t="shared" si="130"/>
        <v>45531</v>
      </c>
      <c r="S589" s="597">
        <f t="shared" si="131"/>
        <v>519.1</v>
      </c>
      <c r="T589" s="526">
        <f t="shared" si="132"/>
        <v>3261.35995</v>
      </c>
      <c r="U589" s="598">
        <v>519.1</v>
      </c>
      <c r="V589" s="598">
        <v>3261.35995</v>
      </c>
      <c r="X589" s="599">
        <v>5625.8019599999998</v>
      </c>
    </row>
    <row r="590" spans="17:24" ht="11.1" customHeight="1" x14ac:dyDescent="0.45">
      <c r="Q590" s="439">
        <f t="shared" si="129"/>
        <v>598</v>
      </c>
      <c r="R590" s="596">
        <f t="shared" si="130"/>
        <v>45532</v>
      </c>
      <c r="S590" s="597">
        <f t="shared" si="131"/>
        <v>516.78</v>
      </c>
      <c r="T590" s="526">
        <f t="shared" si="132"/>
        <v>4705.8384699999997</v>
      </c>
      <c r="U590" s="598">
        <v>516.78</v>
      </c>
      <c r="V590" s="598">
        <v>4705.8384699999997</v>
      </c>
      <c r="X590" s="599">
        <v>5592.1772099999998</v>
      </c>
    </row>
    <row r="591" spans="17:24" ht="11.1" customHeight="1" x14ac:dyDescent="0.45">
      <c r="Q591" s="439">
        <f t="shared" si="129"/>
        <v>597</v>
      </c>
      <c r="R591" s="596">
        <f t="shared" si="130"/>
        <v>45533</v>
      </c>
      <c r="S591" s="597">
        <f t="shared" si="131"/>
        <v>518.22</v>
      </c>
      <c r="T591" s="526">
        <f t="shared" si="132"/>
        <v>4310.2554700000001</v>
      </c>
      <c r="U591" s="598">
        <v>518.22</v>
      </c>
      <c r="V591" s="598">
        <v>4310.2554700000001</v>
      </c>
      <c r="X591" s="599">
        <v>5591.9637199999997</v>
      </c>
    </row>
    <row r="592" spans="17:24" ht="11.1" customHeight="1" x14ac:dyDescent="0.45">
      <c r="Q592" s="439">
        <f t="shared" si="129"/>
        <v>596</v>
      </c>
      <c r="R592" s="596">
        <f t="shared" si="130"/>
        <v>45534</v>
      </c>
      <c r="S592" s="597">
        <f t="shared" si="131"/>
        <v>521.30999999999995</v>
      </c>
      <c r="T592" s="526">
        <f t="shared" si="132"/>
        <v>4773.9177</v>
      </c>
      <c r="U592" s="598">
        <v>521.30999999999995</v>
      </c>
      <c r="V592" s="598">
        <v>4773.9177</v>
      </c>
      <c r="X592" s="599">
        <v>5648.3972400000002</v>
      </c>
    </row>
    <row r="593" spans="17:24" ht="11.1" customHeight="1" x14ac:dyDescent="0.45">
      <c r="Q593" s="439">
        <f t="shared" si="129"/>
        <v>595</v>
      </c>
      <c r="R593" s="596">
        <f t="shared" si="130"/>
        <v>45535</v>
      </c>
      <c r="S593" s="597" t="e">
        <f t="shared" si="131"/>
        <v>#N/A</v>
      </c>
      <c r="T593" s="526" t="e">
        <f t="shared" si="132"/>
        <v>#N/A</v>
      </c>
      <c r="U593" s="598">
        <v>521.30999999999995</v>
      </c>
      <c r="V593" s="598">
        <v>0</v>
      </c>
      <c r="X593" s="599">
        <v>5648.3972400000002</v>
      </c>
    </row>
    <row r="594" spans="17:24" ht="11.1" customHeight="1" x14ac:dyDescent="0.45">
      <c r="Q594" s="439">
        <f t="shared" si="129"/>
        <v>594</v>
      </c>
      <c r="R594" s="596">
        <f t="shared" si="130"/>
        <v>45536</v>
      </c>
      <c r="S594" s="597" t="e">
        <f t="shared" si="131"/>
        <v>#N/A</v>
      </c>
      <c r="T594" s="526" t="e">
        <f t="shared" si="132"/>
        <v>#N/A</v>
      </c>
      <c r="U594" s="598">
        <v>521.30999999999995</v>
      </c>
      <c r="V594" s="598">
        <v>0</v>
      </c>
      <c r="X594" s="599">
        <v>5648.3972400000002</v>
      </c>
    </row>
    <row r="595" spans="17:24" ht="11.1" customHeight="1" x14ac:dyDescent="0.45">
      <c r="Q595" s="439">
        <f t="shared" si="129"/>
        <v>593</v>
      </c>
      <c r="R595" s="596">
        <f t="shared" si="130"/>
        <v>45537</v>
      </c>
      <c r="S595" s="597" t="e">
        <f t="shared" si="131"/>
        <v>#N/A</v>
      </c>
      <c r="T595" s="526" t="e">
        <f t="shared" si="132"/>
        <v>#N/A</v>
      </c>
      <c r="U595" s="598">
        <v>521.30999999999995</v>
      </c>
      <c r="V595" s="598">
        <v>0</v>
      </c>
      <c r="X595" s="599">
        <v>5648.3972400000002</v>
      </c>
    </row>
    <row r="596" spans="17:24" ht="11.1" customHeight="1" x14ac:dyDescent="0.45">
      <c r="Q596" s="439">
        <f t="shared" si="129"/>
        <v>592</v>
      </c>
      <c r="R596" s="596">
        <f t="shared" si="130"/>
        <v>45538</v>
      </c>
      <c r="S596" s="597">
        <f t="shared" si="131"/>
        <v>511.76</v>
      </c>
      <c r="T596" s="526">
        <f t="shared" si="132"/>
        <v>6376.0756700000002</v>
      </c>
      <c r="U596" s="598">
        <v>511.76</v>
      </c>
      <c r="V596" s="598">
        <v>6376.0756700000002</v>
      </c>
      <c r="X596" s="599">
        <v>5528.9333999999999</v>
      </c>
    </row>
    <row r="597" spans="17:24" ht="11.1" customHeight="1" x14ac:dyDescent="0.45">
      <c r="Q597" s="439">
        <f t="shared" si="129"/>
        <v>591</v>
      </c>
      <c r="R597" s="596">
        <f t="shared" si="130"/>
        <v>45539</v>
      </c>
      <c r="S597" s="597">
        <f t="shared" si="131"/>
        <v>512.74</v>
      </c>
      <c r="T597" s="526">
        <f t="shared" si="132"/>
        <v>4273.7940399999998</v>
      </c>
      <c r="U597" s="598">
        <v>512.74</v>
      </c>
      <c r="V597" s="598">
        <v>4273.7940399999998</v>
      </c>
      <c r="X597" s="599">
        <v>5520.0678200000002</v>
      </c>
    </row>
    <row r="598" spans="17:24" ht="11.1" customHeight="1" x14ac:dyDescent="0.45">
      <c r="Q598" s="439">
        <f t="shared" si="129"/>
        <v>590</v>
      </c>
      <c r="R598" s="596">
        <f t="shared" si="130"/>
        <v>45540</v>
      </c>
      <c r="S598" s="597">
        <f t="shared" si="131"/>
        <v>516.86</v>
      </c>
      <c r="T598" s="526">
        <f t="shared" si="132"/>
        <v>4466.1293699999997</v>
      </c>
      <c r="U598" s="598">
        <v>516.86</v>
      </c>
      <c r="V598" s="598">
        <v>4466.1293699999997</v>
      </c>
      <c r="X598" s="599">
        <v>5503.4085699999996</v>
      </c>
    </row>
    <row r="599" spans="17:24" ht="11.1" customHeight="1" x14ac:dyDescent="0.45">
      <c r="Q599" s="439">
        <f t="shared" si="129"/>
        <v>589</v>
      </c>
      <c r="R599" s="596">
        <f t="shared" si="130"/>
        <v>45541</v>
      </c>
      <c r="S599" s="597">
        <f t="shared" si="131"/>
        <v>500.27</v>
      </c>
      <c r="T599" s="526">
        <f t="shared" si="132"/>
        <v>7376.2415199999996</v>
      </c>
      <c r="U599" s="598">
        <v>500.27</v>
      </c>
      <c r="V599" s="598">
        <v>7376.2415199999996</v>
      </c>
      <c r="X599" s="599">
        <v>5408.4221399999997</v>
      </c>
    </row>
    <row r="600" spans="17:24" ht="11.1" customHeight="1" x14ac:dyDescent="0.45">
      <c r="Q600" s="439">
        <f t="shared" si="129"/>
        <v>588</v>
      </c>
      <c r="R600" s="596">
        <f t="shared" si="130"/>
        <v>45542</v>
      </c>
      <c r="S600" s="597" t="e">
        <f t="shared" si="131"/>
        <v>#N/A</v>
      </c>
      <c r="T600" s="526" t="e">
        <f t="shared" si="132"/>
        <v>#N/A</v>
      </c>
      <c r="U600" s="598">
        <v>500.27</v>
      </c>
      <c r="V600" s="598">
        <v>0</v>
      </c>
      <c r="X600" s="599">
        <v>5408.4221399999997</v>
      </c>
    </row>
    <row r="601" spans="17:24" ht="11.1" customHeight="1" x14ac:dyDescent="0.45">
      <c r="Q601" s="439">
        <f t="shared" si="129"/>
        <v>587</v>
      </c>
      <c r="R601" s="596">
        <f t="shared" si="130"/>
        <v>45543</v>
      </c>
      <c r="S601" s="597" t="e">
        <f t="shared" si="131"/>
        <v>#N/A</v>
      </c>
      <c r="T601" s="526" t="e">
        <f t="shared" si="132"/>
        <v>#N/A</v>
      </c>
      <c r="U601" s="598">
        <v>500.27</v>
      </c>
      <c r="V601" s="598">
        <v>0</v>
      </c>
      <c r="X601" s="599">
        <v>5408.4221399999997</v>
      </c>
    </row>
    <row r="602" spans="17:24" ht="11.1" customHeight="1" x14ac:dyDescent="0.45">
      <c r="Q602" s="439">
        <f t="shared" si="129"/>
        <v>586</v>
      </c>
      <c r="R602" s="596">
        <f t="shared" si="130"/>
        <v>45544</v>
      </c>
      <c r="S602" s="597">
        <f t="shared" si="131"/>
        <v>504.79</v>
      </c>
      <c r="T602" s="526">
        <f t="shared" si="132"/>
        <v>5576.8330999999998</v>
      </c>
      <c r="U602" s="598">
        <v>504.79</v>
      </c>
      <c r="V602" s="598">
        <v>5576.8330999999998</v>
      </c>
      <c r="X602" s="599">
        <v>5471.0514499999999</v>
      </c>
    </row>
    <row r="603" spans="17:24" ht="11.1" customHeight="1" x14ac:dyDescent="0.45">
      <c r="Q603" s="439">
        <f t="shared" si="129"/>
        <v>585</v>
      </c>
      <c r="R603" s="596">
        <f t="shared" si="130"/>
        <v>45545</v>
      </c>
      <c r="S603" s="597" t="e">
        <f t="shared" si="131"/>
        <v>#N/A</v>
      </c>
      <c r="T603" s="526" t="e">
        <f t="shared" si="132"/>
        <v>#N/A</v>
      </c>
      <c r="U603" s="598">
        <v>504.79</v>
      </c>
      <c r="V603" s="598">
        <v>4996.9273199999998</v>
      </c>
      <c r="X603" s="599">
        <v>5495.5194099999999</v>
      </c>
    </row>
    <row r="604" spans="17:24" ht="11.1" customHeight="1" x14ac:dyDescent="0.45">
      <c r="Q604" s="439">
        <f t="shared" si="129"/>
        <v>584</v>
      </c>
      <c r="R604" s="596">
        <f t="shared" si="130"/>
        <v>45546</v>
      </c>
      <c r="S604" s="597">
        <f t="shared" si="131"/>
        <v>511.83</v>
      </c>
      <c r="T604" s="526">
        <f t="shared" si="132"/>
        <v>5518.8233499999997</v>
      </c>
      <c r="U604" s="598">
        <v>511.83</v>
      </c>
      <c r="V604" s="598">
        <v>5518.8233499999997</v>
      </c>
      <c r="X604" s="599">
        <v>5554.1324199999999</v>
      </c>
    </row>
    <row r="605" spans="17:24" ht="11.1" customHeight="1" x14ac:dyDescent="0.45">
      <c r="Q605" s="439">
        <f t="shared" ref="Q605:Q668" si="133">Q606+1</f>
        <v>583</v>
      </c>
      <c r="R605" s="596">
        <f t="shared" ref="R605:R668" si="134">R606-1</f>
        <v>45547</v>
      </c>
      <c r="S605" s="597">
        <f t="shared" ref="S605:S668" si="135">IF(U605=U604,#N/A,U605)</f>
        <v>525.6</v>
      </c>
      <c r="T605" s="526">
        <f t="shared" ref="T605:T668" si="136">IF(S605="#NV",#N/A,V605)</f>
        <v>6303.7005600000002</v>
      </c>
      <c r="U605" s="598">
        <v>525.6</v>
      </c>
      <c r="V605" s="598">
        <v>6303.7005600000002</v>
      </c>
      <c r="X605" s="599">
        <v>5595.7634900000003</v>
      </c>
    </row>
    <row r="606" spans="17:24" ht="11.1" customHeight="1" x14ac:dyDescent="0.45">
      <c r="Q606" s="439">
        <f t="shared" si="133"/>
        <v>582</v>
      </c>
      <c r="R606" s="596">
        <f t="shared" si="134"/>
        <v>45548</v>
      </c>
      <c r="S606" s="597">
        <f t="shared" si="135"/>
        <v>524.62</v>
      </c>
      <c r="T606" s="526">
        <f t="shared" si="136"/>
        <v>5414.8244100000002</v>
      </c>
      <c r="U606" s="598">
        <v>524.62</v>
      </c>
      <c r="V606" s="598">
        <v>5414.8244100000002</v>
      </c>
      <c r="X606" s="599">
        <v>5626.0186000000003</v>
      </c>
    </row>
    <row r="607" spans="17:24" ht="11.1" customHeight="1" x14ac:dyDescent="0.45">
      <c r="Q607" s="439">
        <f t="shared" si="133"/>
        <v>581</v>
      </c>
      <c r="R607" s="596">
        <f t="shared" si="134"/>
        <v>45549</v>
      </c>
      <c r="S607" s="597" t="e">
        <f t="shared" si="135"/>
        <v>#N/A</v>
      </c>
      <c r="T607" s="526" t="e">
        <f t="shared" si="136"/>
        <v>#N/A</v>
      </c>
      <c r="U607" s="598">
        <v>524.62</v>
      </c>
      <c r="V607" s="598">
        <v>0</v>
      </c>
      <c r="X607" s="599">
        <v>5626.0186000000003</v>
      </c>
    </row>
    <row r="608" spans="17:24" ht="11.1" customHeight="1" x14ac:dyDescent="0.45">
      <c r="Q608" s="439">
        <f t="shared" si="133"/>
        <v>580</v>
      </c>
      <c r="R608" s="596">
        <f t="shared" si="134"/>
        <v>45550</v>
      </c>
      <c r="S608" s="597" t="e">
        <f t="shared" si="135"/>
        <v>#N/A</v>
      </c>
      <c r="T608" s="526" t="e">
        <f t="shared" si="136"/>
        <v>#N/A</v>
      </c>
      <c r="U608" s="598">
        <v>524.62</v>
      </c>
      <c r="V608" s="598">
        <v>0</v>
      </c>
      <c r="X608" s="599">
        <v>5626.0186000000003</v>
      </c>
    </row>
    <row r="609" spans="17:24" ht="11.1" customHeight="1" x14ac:dyDescent="0.45">
      <c r="Q609" s="439">
        <f t="shared" si="133"/>
        <v>579</v>
      </c>
      <c r="R609" s="596">
        <f t="shared" si="134"/>
        <v>45551</v>
      </c>
      <c r="S609" s="597">
        <f t="shared" si="135"/>
        <v>533.28</v>
      </c>
      <c r="T609" s="526">
        <f t="shared" si="136"/>
        <v>5080.9030599999996</v>
      </c>
      <c r="U609" s="598">
        <v>533.28</v>
      </c>
      <c r="V609" s="598">
        <v>5080.9030599999996</v>
      </c>
      <c r="X609" s="599">
        <v>5633.0877799999998</v>
      </c>
    </row>
    <row r="610" spans="17:24" ht="11.1" customHeight="1" x14ac:dyDescent="0.45">
      <c r="Q610" s="439">
        <f t="shared" si="133"/>
        <v>578</v>
      </c>
      <c r="R610" s="596">
        <f t="shared" si="134"/>
        <v>45552</v>
      </c>
      <c r="S610" s="597">
        <f t="shared" si="135"/>
        <v>536.31500000000005</v>
      </c>
      <c r="T610" s="526">
        <f t="shared" si="136"/>
        <v>6269.9401399999997</v>
      </c>
      <c r="U610" s="598">
        <v>536.31500000000005</v>
      </c>
      <c r="V610" s="598">
        <v>6269.9401399999997</v>
      </c>
      <c r="X610" s="599">
        <v>5634.5804399999997</v>
      </c>
    </row>
    <row r="611" spans="17:24" ht="11.1" customHeight="1" x14ac:dyDescent="0.45">
      <c r="Q611" s="439">
        <f t="shared" si="133"/>
        <v>577</v>
      </c>
      <c r="R611" s="596">
        <f t="shared" si="134"/>
        <v>45553</v>
      </c>
      <c r="S611" s="597">
        <f t="shared" si="135"/>
        <v>537.95000000000005</v>
      </c>
      <c r="T611" s="526">
        <f t="shared" si="136"/>
        <v>5553.54673</v>
      </c>
      <c r="U611" s="598">
        <v>537.95000000000005</v>
      </c>
      <c r="V611" s="598">
        <v>5553.54673</v>
      </c>
      <c r="X611" s="599">
        <v>5618.2590300000002</v>
      </c>
    </row>
    <row r="612" spans="17:24" ht="11.1" customHeight="1" x14ac:dyDescent="0.45">
      <c r="Q612" s="439">
        <f t="shared" si="133"/>
        <v>576</v>
      </c>
      <c r="R612" s="596">
        <f t="shared" si="134"/>
        <v>45554</v>
      </c>
      <c r="S612" s="597">
        <f t="shared" si="135"/>
        <v>559.1</v>
      </c>
      <c r="T612" s="526">
        <f t="shared" si="136"/>
        <v>8748.2103000000006</v>
      </c>
      <c r="U612" s="598">
        <v>559.1</v>
      </c>
      <c r="V612" s="598">
        <v>8748.2103000000006</v>
      </c>
      <c r="X612" s="599">
        <v>5713.6410900000001</v>
      </c>
    </row>
    <row r="613" spans="17:24" ht="11.1" customHeight="1" x14ac:dyDescent="0.45">
      <c r="Q613" s="439">
        <f t="shared" si="133"/>
        <v>575</v>
      </c>
      <c r="R613" s="596">
        <f t="shared" si="134"/>
        <v>45555</v>
      </c>
      <c r="S613" s="597">
        <f t="shared" si="135"/>
        <v>561.35</v>
      </c>
      <c r="T613" s="526">
        <f t="shared" si="136"/>
        <v>12387.20772</v>
      </c>
      <c r="U613" s="598">
        <v>561.35</v>
      </c>
      <c r="V613" s="598">
        <v>12387.20772</v>
      </c>
      <c r="X613" s="599">
        <v>5702.5476200000003</v>
      </c>
    </row>
    <row r="614" spans="17:24" ht="11.1" customHeight="1" x14ac:dyDescent="0.45">
      <c r="Q614" s="439">
        <f t="shared" si="133"/>
        <v>574</v>
      </c>
      <c r="R614" s="596">
        <f t="shared" si="134"/>
        <v>45556</v>
      </c>
      <c r="S614" s="597" t="e">
        <f t="shared" si="135"/>
        <v>#N/A</v>
      </c>
      <c r="T614" s="526" t="e">
        <f t="shared" si="136"/>
        <v>#N/A</v>
      </c>
      <c r="U614" s="598">
        <v>561.35</v>
      </c>
      <c r="V614" s="598">
        <v>0</v>
      </c>
      <c r="X614" s="599">
        <v>5702.5476200000003</v>
      </c>
    </row>
    <row r="615" spans="17:24" ht="11.1" customHeight="1" x14ac:dyDescent="0.45">
      <c r="Q615" s="439">
        <f t="shared" si="133"/>
        <v>573</v>
      </c>
      <c r="R615" s="596">
        <f t="shared" si="134"/>
        <v>45557</v>
      </c>
      <c r="S615" s="597" t="e">
        <f t="shared" si="135"/>
        <v>#N/A</v>
      </c>
      <c r="T615" s="526" t="e">
        <f t="shared" si="136"/>
        <v>#N/A</v>
      </c>
      <c r="U615" s="598">
        <v>561.35</v>
      </c>
      <c r="V615" s="598">
        <v>0</v>
      </c>
      <c r="X615" s="599">
        <v>5702.5476200000003</v>
      </c>
    </row>
    <row r="616" spans="17:24" ht="11.1" customHeight="1" x14ac:dyDescent="0.45">
      <c r="Q616" s="439">
        <f t="shared" si="133"/>
        <v>572</v>
      </c>
      <c r="R616" s="596">
        <f t="shared" si="134"/>
        <v>45558</v>
      </c>
      <c r="S616" s="597">
        <f t="shared" si="135"/>
        <v>564.41</v>
      </c>
      <c r="T616" s="526">
        <f t="shared" si="136"/>
        <v>7241.7578899999999</v>
      </c>
      <c r="U616" s="598">
        <v>564.41</v>
      </c>
      <c r="V616" s="598">
        <v>7241.7578899999999</v>
      </c>
      <c r="X616" s="599">
        <v>5718.5664900000002</v>
      </c>
    </row>
    <row r="617" spans="17:24" ht="11.1" customHeight="1" x14ac:dyDescent="0.45">
      <c r="Q617" s="439">
        <f t="shared" si="133"/>
        <v>571</v>
      </c>
      <c r="R617" s="596">
        <f t="shared" si="134"/>
        <v>45559</v>
      </c>
      <c r="S617" s="597">
        <f t="shared" si="135"/>
        <v>563.33000000000004</v>
      </c>
      <c r="T617" s="526">
        <f t="shared" si="136"/>
        <v>7319.3218999999999</v>
      </c>
      <c r="U617" s="598">
        <v>563.33000000000004</v>
      </c>
      <c r="V617" s="598">
        <v>7319.3218999999999</v>
      </c>
      <c r="X617" s="599">
        <v>5732.9273499999999</v>
      </c>
    </row>
    <row r="618" spans="17:24" ht="11.1" customHeight="1" x14ac:dyDescent="0.45">
      <c r="Q618" s="439">
        <f t="shared" si="133"/>
        <v>570</v>
      </c>
      <c r="R618" s="596">
        <f t="shared" si="134"/>
        <v>45560</v>
      </c>
      <c r="S618" s="597">
        <f t="shared" si="135"/>
        <v>568.30999999999995</v>
      </c>
      <c r="T618" s="526">
        <f t="shared" si="136"/>
        <v>9401.7512399999996</v>
      </c>
      <c r="U618" s="598">
        <v>568.30999999999995</v>
      </c>
      <c r="V618" s="598">
        <v>9401.7512399999996</v>
      </c>
      <c r="X618" s="599">
        <v>5722.2605999999996</v>
      </c>
    </row>
    <row r="619" spans="17:24" ht="11.1" customHeight="1" x14ac:dyDescent="0.45">
      <c r="Q619" s="439">
        <f t="shared" si="133"/>
        <v>569</v>
      </c>
      <c r="R619" s="596">
        <f t="shared" si="134"/>
        <v>45561</v>
      </c>
      <c r="S619" s="597">
        <f t="shared" si="135"/>
        <v>567.84</v>
      </c>
      <c r="T619" s="526">
        <f t="shared" si="136"/>
        <v>8177.3428899999999</v>
      </c>
      <c r="U619" s="598">
        <v>567.84</v>
      </c>
      <c r="V619" s="598">
        <v>8177.3428899999999</v>
      </c>
      <c r="X619" s="599">
        <v>5745.3660900000004</v>
      </c>
    </row>
    <row r="620" spans="17:24" ht="11.1" customHeight="1" x14ac:dyDescent="0.45">
      <c r="Q620" s="439">
        <f t="shared" si="133"/>
        <v>568</v>
      </c>
      <c r="R620" s="596">
        <f t="shared" si="134"/>
        <v>45562</v>
      </c>
      <c r="S620" s="597">
        <f t="shared" si="135"/>
        <v>567.36</v>
      </c>
      <c r="T620" s="526">
        <f t="shared" si="136"/>
        <v>5332.2574999999997</v>
      </c>
      <c r="U620" s="598">
        <v>567.36</v>
      </c>
      <c r="V620" s="598">
        <v>5332.2574999999997</v>
      </c>
      <c r="X620" s="599">
        <v>5738.1717799999997</v>
      </c>
    </row>
    <row r="621" spans="17:24" ht="11.1" customHeight="1" x14ac:dyDescent="0.45">
      <c r="Q621" s="439">
        <f t="shared" si="133"/>
        <v>567</v>
      </c>
      <c r="R621" s="596">
        <f t="shared" si="134"/>
        <v>45563</v>
      </c>
      <c r="S621" s="597" t="e">
        <f t="shared" si="135"/>
        <v>#N/A</v>
      </c>
      <c r="T621" s="526" t="e">
        <f t="shared" si="136"/>
        <v>#N/A</v>
      </c>
      <c r="U621" s="598">
        <v>567.36</v>
      </c>
      <c r="V621" s="598">
        <v>0</v>
      </c>
      <c r="X621" s="599">
        <v>5738.1717799999997</v>
      </c>
    </row>
    <row r="622" spans="17:24" ht="11.1" customHeight="1" x14ac:dyDescent="0.45">
      <c r="Q622" s="439">
        <f t="shared" si="133"/>
        <v>566</v>
      </c>
      <c r="R622" s="596">
        <f t="shared" si="134"/>
        <v>45564</v>
      </c>
      <c r="S622" s="597" t="e">
        <f t="shared" si="135"/>
        <v>#N/A</v>
      </c>
      <c r="T622" s="526" t="e">
        <f t="shared" si="136"/>
        <v>#N/A</v>
      </c>
      <c r="U622" s="598">
        <v>567.36</v>
      </c>
      <c r="V622" s="598">
        <v>0</v>
      </c>
      <c r="X622" s="599">
        <v>5738.1717799999997</v>
      </c>
    </row>
    <row r="623" spans="17:24" ht="11.1" customHeight="1" x14ac:dyDescent="0.45">
      <c r="Q623" s="439">
        <f t="shared" si="133"/>
        <v>565</v>
      </c>
      <c r="R623" s="596">
        <f t="shared" si="134"/>
        <v>45565</v>
      </c>
      <c r="S623" s="597">
        <f t="shared" si="135"/>
        <v>572.44000000000005</v>
      </c>
      <c r="T623" s="526">
        <f t="shared" si="136"/>
        <v>7331.357</v>
      </c>
      <c r="U623" s="598">
        <v>572.44000000000005</v>
      </c>
      <c r="V623" s="598">
        <v>7331.357</v>
      </c>
      <c r="X623" s="599">
        <v>5762.48488</v>
      </c>
    </row>
    <row r="624" spans="17:24" ht="11.1" customHeight="1" x14ac:dyDescent="0.45">
      <c r="Q624" s="439">
        <f t="shared" si="133"/>
        <v>564</v>
      </c>
      <c r="R624" s="596">
        <f t="shared" si="134"/>
        <v>45566</v>
      </c>
      <c r="S624" s="597">
        <f t="shared" si="135"/>
        <v>576.47</v>
      </c>
      <c r="T624" s="526">
        <f t="shared" si="136"/>
        <v>8796.51368</v>
      </c>
      <c r="U624" s="598">
        <v>576.47</v>
      </c>
      <c r="V624" s="598">
        <v>8796.51368</v>
      </c>
      <c r="X624" s="599">
        <v>5708.7514799999999</v>
      </c>
    </row>
    <row r="625" spans="17:24" ht="11.1" customHeight="1" x14ac:dyDescent="0.45">
      <c r="Q625" s="439">
        <f t="shared" si="133"/>
        <v>563</v>
      </c>
      <c r="R625" s="596">
        <f t="shared" si="134"/>
        <v>45567</v>
      </c>
      <c r="S625" s="597">
        <f t="shared" si="135"/>
        <v>572.80999999999995</v>
      </c>
      <c r="T625" s="526">
        <f t="shared" si="136"/>
        <v>3737.3847700000001</v>
      </c>
      <c r="U625" s="598">
        <v>572.80999999999995</v>
      </c>
      <c r="V625" s="598">
        <v>3737.3847700000001</v>
      </c>
      <c r="X625" s="599">
        <v>5709.5394399999996</v>
      </c>
    </row>
    <row r="626" spans="17:24" ht="11.1" customHeight="1" x14ac:dyDescent="0.45">
      <c r="Q626" s="439">
        <f t="shared" si="133"/>
        <v>562</v>
      </c>
      <c r="R626" s="596">
        <f t="shared" si="134"/>
        <v>45568</v>
      </c>
      <c r="S626" s="597">
        <f t="shared" si="135"/>
        <v>582.77</v>
      </c>
      <c r="T626" s="526">
        <f t="shared" si="136"/>
        <v>6749.0477199999996</v>
      </c>
      <c r="U626" s="598">
        <v>582.77</v>
      </c>
      <c r="V626" s="598">
        <v>6749.0477199999996</v>
      </c>
      <c r="X626" s="599">
        <v>5699.94175</v>
      </c>
    </row>
    <row r="627" spans="17:24" ht="11.1" customHeight="1" x14ac:dyDescent="0.45">
      <c r="Q627" s="439">
        <f t="shared" si="133"/>
        <v>561</v>
      </c>
      <c r="R627" s="596">
        <f t="shared" si="134"/>
        <v>45569</v>
      </c>
      <c r="S627" s="597">
        <f t="shared" si="135"/>
        <v>595.94000000000005</v>
      </c>
      <c r="T627" s="526">
        <f t="shared" si="136"/>
        <v>8462.2216599999992</v>
      </c>
      <c r="U627" s="598">
        <v>595.94000000000005</v>
      </c>
      <c r="V627" s="598">
        <v>8462.2216599999992</v>
      </c>
      <c r="X627" s="599">
        <v>5751.0681999999997</v>
      </c>
    </row>
    <row r="628" spans="17:24" ht="11.1" customHeight="1" x14ac:dyDescent="0.45">
      <c r="Q628" s="439">
        <f t="shared" si="133"/>
        <v>560</v>
      </c>
      <c r="R628" s="596">
        <f t="shared" si="134"/>
        <v>45570</v>
      </c>
      <c r="S628" s="597" t="e">
        <f t="shared" si="135"/>
        <v>#N/A</v>
      </c>
      <c r="T628" s="526" t="e">
        <f t="shared" si="136"/>
        <v>#N/A</v>
      </c>
      <c r="U628" s="598">
        <v>595.94000000000005</v>
      </c>
      <c r="V628" s="598">
        <v>0</v>
      </c>
      <c r="X628" s="599">
        <v>5751.0681999999997</v>
      </c>
    </row>
    <row r="629" spans="17:24" ht="11.1" customHeight="1" x14ac:dyDescent="0.45">
      <c r="Q629" s="439">
        <f t="shared" si="133"/>
        <v>559</v>
      </c>
      <c r="R629" s="596">
        <f t="shared" si="134"/>
        <v>45571</v>
      </c>
      <c r="S629" s="597" t="e">
        <f t="shared" si="135"/>
        <v>#N/A</v>
      </c>
      <c r="T629" s="526" t="e">
        <f t="shared" si="136"/>
        <v>#N/A</v>
      </c>
      <c r="U629" s="598">
        <v>595.94000000000005</v>
      </c>
      <c r="V629" s="598">
        <v>0</v>
      </c>
      <c r="X629" s="599">
        <v>5751.0681999999997</v>
      </c>
    </row>
    <row r="630" spans="17:24" ht="11.1" customHeight="1" x14ac:dyDescent="0.45">
      <c r="Q630" s="439">
        <f t="shared" si="133"/>
        <v>558</v>
      </c>
      <c r="R630" s="596">
        <f t="shared" si="134"/>
        <v>45572</v>
      </c>
      <c r="S630" s="597">
        <f t="shared" si="135"/>
        <v>584.78</v>
      </c>
      <c r="T630" s="526">
        <f t="shared" si="136"/>
        <v>7025.6627099999996</v>
      </c>
      <c r="U630" s="598">
        <v>584.78</v>
      </c>
      <c r="V630" s="598">
        <v>7025.6627099999996</v>
      </c>
      <c r="X630" s="599">
        <v>5695.9434199999996</v>
      </c>
    </row>
    <row r="631" spans="17:24" ht="11.1" customHeight="1" x14ac:dyDescent="0.45">
      <c r="Q631" s="439">
        <f t="shared" si="133"/>
        <v>557</v>
      </c>
      <c r="R631" s="596">
        <f t="shared" si="134"/>
        <v>45573</v>
      </c>
      <c r="S631" s="597">
        <f t="shared" si="135"/>
        <v>592.89</v>
      </c>
      <c r="T631" s="526">
        <f t="shared" si="136"/>
        <v>4658.5602500000005</v>
      </c>
      <c r="U631" s="598">
        <v>592.89</v>
      </c>
      <c r="V631" s="598">
        <v>4658.5602500000005</v>
      </c>
      <c r="X631" s="599">
        <v>5751.1328899999999</v>
      </c>
    </row>
    <row r="632" spans="17:24" ht="11.1" customHeight="1" x14ac:dyDescent="0.45">
      <c r="Q632" s="439">
        <f t="shared" si="133"/>
        <v>556</v>
      </c>
      <c r="R632" s="596">
        <f t="shared" si="134"/>
        <v>45574</v>
      </c>
      <c r="S632" s="597">
        <f t="shared" si="135"/>
        <v>590.51</v>
      </c>
      <c r="T632" s="526">
        <f t="shared" si="136"/>
        <v>5627.3872799999999</v>
      </c>
      <c r="U632" s="598">
        <v>590.51</v>
      </c>
      <c r="V632" s="598">
        <v>5627.3872799999999</v>
      </c>
      <c r="X632" s="599">
        <v>5792.0414799999999</v>
      </c>
    </row>
    <row r="633" spans="17:24" ht="11.1" customHeight="1" x14ac:dyDescent="0.45">
      <c r="Q633" s="439">
        <f t="shared" si="133"/>
        <v>555</v>
      </c>
      <c r="R633" s="596">
        <f t="shared" si="134"/>
        <v>45575</v>
      </c>
      <c r="S633" s="597">
        <f t="shared" si="135"/>
        <v>583.83000000000004</v>
      </c>
      <c r="T633" s="526">
        <f t="shared" si="136"/>
        <v>4519.1063400000003</v>
      </c>
      <c r="U633" s="598">
        <v>583.83000000000004</v>
      </c>
      <c r="V633" s="598">
        <v>4519.1063400000003</v>
      </c>
      <c r="X633" s="599">
        <v>5780.0512900000003</v>
      </c>
    </row>
    <row r="634" spans="17:24" ht="11.1" customHeight="1" x14ac:dyDescent="0.45">
      <c r="Q634" s="439">
        <f t="shared" si="133"/>
        <v>554</v>
      </c>
      <c r="R634" s="596">
        <f t="shared" si="134"/>
        <v>45576</v>
      </c>
      <c r="S634" s="597">
        <f t="shared" si="135"/>
        <v>589.95000000000005</v>
      </c>
      <c r="T634" s="526">
        <f t="shared" si="136"/>
        <v>5065.9307399999998</v>
      </c>
      <c r="U634" s="598">
        <v>589.95000000000005</v>
      </c>
      <c r="V634" s="598">
        <v>5065.9307399999998</v>
      </c>
      <c r="X634" s="599">
        <v>5815.03341</v>
      </c>
    </row>
    <row r="635" spans="17:24" ht="11.1" customHeight="1" x14ac:dyDescent="0.45">
      <c r="Q635" s="439">
        <f t="shared" si="133"/>
        <v>553</v>
      </c>
      <c r="R635" s="596">
        <f t="shared" si="134"/>
        <v>45577</v>
      </c>
      <c r="S635" s="597" t="e">
        <f t="shared" si="135"/>
        <v>#N/A</v>
      </c>
      <c r="T635" s="526" t="e">
        <f t="shared" si="136"/>
        <v>#N/A</v>
      </c>
      <c r="U635" s="598">
        <v>589.95000000000005</v>
      </c>
      <c r="V635" s="598">
        <v>0</v>
      </c>
      <c r="X635" s="599">
        <v>5815.03341</v>
      </c>
    </row>
    <row r="636" spans="17:24" ht="11.1" customHeight="1" x14ac:dyDescent="0.45">
      <c r="Q636" s="439">
        <f t="shared" si="133"/>
        <v>552</v>
      </c>
      <c r="R636" s="596">
        <f t="shared" si="134"/>
        <v>45578</v>
      </c>
      <c r="S636" s="597" t="e">
        <f t="shared" si="135"/>
        <v>#N/A</v>
      </c>
      <c r="T636" s="526" t="e">
        <f t="shared" si="136"/>
        <v>#N/A</v>
      </c>
      <c r="U636" s="598">
        <v>589.95000000000005</v>
      </c>
      <c r="V636" s="598">
        <v>0</v>
      </c>
      <c r="X636" s="599">
        <v>5815.03341</v>
      </c>
    </row>
    <row r="637" spans="17:24" ht="11.1" customHeight="1" x14ac:dyDescent="0.45">
      <c r="Q637" s="439">
        <f t="shared" si="133"/>
        <v>551</v>
      </c>
      <c r="R637" s="596">
        <f t="shared" si="134"/>
        <v>45579</v>
      </c>
      <c r="S637" s="597">
        <f t="shared" si="135"/>
        <v>590.41999999999996</v>
      </c>
      <c r="T637" s="526">
        <f t="shared" si="136"/>
        <v>4872.1287199999997</v>
      </c>
      <c r="U637" s="598">
        <v>590.41999999999996</v>
      </c>
      <c r="V637" s="598">
        <v>4872.1287199999997</v>
      </c>
      <c r="X637" s="599">
        <v>5859.8501500000002</v>
      </c>
    </row>
    <row r="638" spans="17:24" ht="11.1" customHeight="1" x14ac:dyDescent="0.45">
      <c r="Q638" s="439">
        <f t="shared" si="133"/>
        <v>550</v>
      </c>
      <c r="R638" s="596">
        <f t="shared" si="134"/>
        <v>45580</v>
      </c>
      <c r="S638" s="597">
        <f t="shared" si="135"/>
        <v>586.27</v>
      </c>
      <c r="T638" s="526">
        <f t="shared" si="136"/>
        <v>5607.2246400000004</v>
      </c>
      <c r="U638" s="598">
        <v>586.27</v>
      </c>
      <c r="V638" s="598">
        <v>5607.2246400000004</v>
      </c>
      <c r="X638" s="599">
        <v>5815.2599399999999</v>
      </c>
    </row>
    <row r="639" spans="17:24" ht="11.1" customHeight="1" x14ac:dyDescent="0.45">
      <c r="Q639" s="439">
        <f t="shared" si="133"/>
        <v>549</v>
      </c>
      <c r="R639" s="596">
        <f t="shared" si="134"/>
        <v>45581</v>
      </c>
      <c r="S639" s="597">
        <f t="shared" si="135"/>
        <v>576.79</v>
      </c>
      <c r="T639" s="526">
        <f t="shared" si="136"/>
        <v>6499.4912100000001</v>
      </c>
      <c r="U639" s="598">
        <v>576.79</v>
      </c>
      <c r="V639" s="598">
        <v>6499.4912100000001</v>
      </c>
      <c r="X639" s="599">
        <v>5842.4745199999998</v>
      </c>
    </row>
    <row r="640" spans="17:24" ht="11.1" customHeight="1" x14ac:dyDescent="0.45">
      <c r="Q640" s="439">
        <f t="shared" si="133"/>
        <v>548</v>
      </c>
      <c r="R640" s="596">
        <f t="shared" si="134"/>
        <v>45582</v>
      </c>
      <c r="S640" s="597">
        <f t="shared" si="135"/>
        <v>576.92999999999995</v>
      </c>
      <c r="T640" s="526">
        <f t="shared" si="136"/>
        <v>5019.9590900000003</v>
      </c>
      <c r="U640" s="598">
        <v>576.92999999999995</v>
      </c>
      <c r="V640" s="598">
        <v>5019.9590900000003</v>
      </c>
      <c r="X640" s="599">
        <v>5841.4724100000003</v>
      </c>
    </row>
    <row r="641" spans="17:24" ht="11.1" customHeight="1" x14ac:dyDescent="0.45">
      <c r="Q641" s="439">
        <f t="shared" si="133"/>
        <v>547</v>
      </c>
      <c r="R641" s="596">
        <f t="shared" si="134"/>
        <v>45583</v>
      </c>
      <c r="S641" s="597">
        <f t="shared" si="135"/>
        <v>576.47</v>
      </c>
      <c r="T641" s="526">
        <f t="shared" si="136"/>
        <v>4435.5181300000004</v>
      </c>
      <c r="U641" s="598">
        <v>576.47</v>
      </c>
      <c r="V641" s="598">
        <v>4435.5181300000004</v>
      </c>
      <c r="X641" s="599">
        <v>5864.6679100000001</v>
      </c>
    </row>
    <row r="642" spans="17:24" ht="11.1" customHeight="1" x14ac:dyDescent="0.45">
      <c r="Q642" s="439">
        <f t="shared" si="133"/>
        <v>546</v>
      </c>
      <c r="R642" s="596">
        <f t="shared" si="134"/>
        <v>45584</v>
      </c>
      <c r="S642" s="597" t="e">
        <f t="shared" si="135"/>
        <v>#N/A</v>
      </c>
      <c r="T642" s="526" t="e">
        <f t="shared" si="136"/>
        <v>#N/A</v>
      </c>
      <c r="U642" s="598">
        <v>576.47</v>
      </c>
      <c r="V642" s="598">
        <v>0</v>
      </c>
      <c r="X642" s="599">
        <v>5864.6679100000001</v>
      </c>
    </row>
    <row r="643" spans="17:24" ht="11.1" customHeight="1" x14ac:dyDescent="0.45">
      <c r="Q643" s="439">
        <f t="shared" si="133"/>
        <v>545</v>
      </c>
      <c r="R643" s="596">
        <f t="shared" si="134"/>
        <v>45585</v>
      </c>
      <c r="S643" s="597" t="e">
        <f t="shared" si="135"/>
        <v>#N/A</v>
      </c>
      <c r="T643" s="526" t="e">
        <f t="shared" si="136"/>
        <v>#N/A</v>
      </c>
      <c r="U643" s="598">
        <v>576.47</v>
      </c>
      <c r="V643" s="598">
        <v>0</v>
      </c>
      <c r="X643" s="599">
        <v>5864.6679100000001</v>
      </c>
    </row>
    <row r="644" spans="17:24" ht="11.1" customHeight="1" x14ac:dyDescent="0.45">
      <c r="Q644" s="439">
        <f t="shared" si="133"/>
        <v>544</v>
      </c>
      <c r="R644" s="596">
        <f t="shared" si="134"/>
        <v>45586</v>
      </c>
      <c r="S644" s="597">
        <f t="shared" si="135"/>
        <v>575.16</v>
      </c>
      <c r="T644" s="526">
        <f t="shared" si="136"/>
        <v>4700.1379299999999</v>
      </c>
      <c r="U644" s="598">
        <v>575.16</v>
      </c>
      <c r="V644" s="598">
        <v>4700.1379299999999</v>
      </c>
      <c r="X644" s="599">
        <v>5853.9822299999996</v>
      </c>
    </row>
    <row r="645" spans="17:24" ht="11.1" customHeight="1" x14ac:dyDescent="0.45">
      <c r="Q645" s="439">
        <f t="shared" si="133"/>
        <v>543</v>
      </c>
      <c r="R645" s="596">
        <f t="shared" si="134"/>
        <v>45587</v>
      </c>
      <c r="S645" s="597">
        <f t="shared" si="135"/>
        <v>582.01</v>
      </c>
      <c r="T645" s="526">
        <f t="shared" si="136"/>
        <v>4972.9629100000002</v>
      </c>
      <c r="U645" s="598">
        <v>582.01</v>
      </c>
      <c r="V645" s="598">
        <v>4972.9629100000002</v>
      </c>
      <c r="X645" s="599">
        <v>5851.2023600000002</v>
      </c>
    </row>
    <row r="646" spans="17:24" ht="11.1" customHeight="1" x14ac:dyDescent="0.45">
      <c r="Q646" s="439">
        <f t="shared" si="133"/>
        <v>542</v>
      </c>
      <c r="R646" s="596">
        <f t="shared" si="134"/>
        <v>45588</v>
      </c>
      <c r="S646" s="597">
        <f t="shared" si="135"/>
        <v>563.69000000000005</v>
      </c>
      <c r="T646" s="526">
        <f t="shared" si="136"/>
        <v>8031.6913100000002</v>
      </c>
      <c r="U646" s="598">
        <v>563.69000000000005</v>
      </c>
      <c r="V646" s="598">
        <v>8031.6913100000002</v>
      </c>
      <c r="X646" s="599">
        <v>5797.4225900000001</v>
      </c>
    </row>
    <row r="647" spans="17:24" ht="11.1" customHeight="1" x14ac:dyDescent="0.45">
      <c r="Q647" s="439">
        <f t="shared" si="133"/>
        <v>541</v>
      </c>
      <c r="R647" s="596">
        <f t="shared" si="134"/>
        <v>45589</v>
      </c>
      <c r="S647" s="597">
        <f t="shared" si="135"/>
        <v>567.78</v>
      </c>
      <c r="T647" s="526">
        <f t="shared" si="136"/>
        <v>4079.3011499999998</v>
      </c>
      <c r="U647" s="598">
        <v>567.78</v>
      </c>
      <c r="V647" s="598">
        <v>4079.3011499999998</v>
      </c>
      <c r="X647" s="599">
        <v>5809.8592200000003</v>
      </c>
    </row>
    <row r="648" spans="17:24" ht="11.1" customHeight="1" x14ac:dyDescent="0.45">
      <c r="Q648" s="439">
        <f t="shared" si="133"/>
        <v>540</v>
      </c>
      <c r="R648" s="596">
        <f t="shared" si="134"/>
        <v>45590</v>
      </c>
      <c r="S648" s="597">
        <f t="shared" si="135"/>
        <v>573.25</v>
      </c>
      <c r="T648" s="526">
        <f t="shared" si="136"/>
        <v>6499.4362700000001</v>
      </c>
      <c r="U648" s="598">
        <v>573.25</v>
      </c>
      <c r="V648" s="598">
        <v>6499.4362700000001</v>
      </c>
      <c r="X648" s="599">
        <v>5808.1170099999999</v>
      </c>
    </row>
    <row r="649" spans="17:24" ht="11.1" customHeight="1" x14ac:dyDescent="0.45">
      <c r="Q649" s="439">
        <f t="shared" si="133"/>
        <v>539</v>
      </c>
      <c r="R649" s="596">
        <f t="shared" si="134"/>
        <v>45591</v>
      </c>
      <c r="S649" s="597" t="e">
        <f t="shared" si="135"/>
        <v>#N/A</v>
      </c>
      <c r="T649" s="526" t="e">
        <f t="shared" si="136"/>
        <v>#N/A</v>
      </c>
      <c r="U649" s="598">
        <v>573.25</v>
      </c>
      <c r="V649" s="598">
        <v>0</v>
      </c>
      <c r="X649" s="599">
        <v>5808.1170099999999</v>
      </c>
    </row>
    <row r="650" spans="17:24" ht="11.1" customHeight="1" x14ac:dyDescent="0.45">
      <c r="Q650" s="439">
        <f t="shared" si="133"/>
        <v>538</v>
      </c>
      <c r="R650" s="596">
        <f t="shared" si="134"/>
        <v>45592</v>
      </c>
      <c r="S650" s="597" t="e">
        <f t="shared" si="135"/>
        <v>#N/A</v>
      </c>
      <c r="T650" s="526" t="e">
        <f t="shared" si="136"/>
        <v>#N/A</v>
      </c>
      <c r="U650" s="598">
        <v>573.25</v>
      </c>
      <c r="V650" s="598">
        <v>0</v>
      </c>
      <c r="X650" s="599">
        <v>5808.1170099999999</v>
      </c>
    </row>
    <row r="651" spans="17:24" ht="11.1" customHeight="1" x14ac:dyDescent="0.45">
      <c r="Q651" s="439">
        <f t="shared" si="133"/>
        <v>537</v>
      </c>
      <c r="R651" s="596">
        <f t="shared" si="134"/>
        <v>45593</v>
      </c>
      <c r="S651" s="597">
        <f t="shared" si="135"/>
        <v>578.16</v>
      </c>
      <c r="T651" s="526">
        <f t="shared" si="136"/>
        <v>6316.4737400000004</v>
      </c>
      <c r="U651" s="598">
        <v>578.16</v>
      </c>
      <c r="V651" s="598">
        <v>6316.4737400000004</v>
      </c>
      <c r="X651" s="599">
        <v>5823.51775</v>
      </c>
    </row>
    <row r="652" spans="17:24" ht="11.1" customHeight="1" x14ac:dyDescent="0.45">
      <c r="Q652" s="439">
        <f t="shared" si="133"/>
        <v>536</v>
      </c>
      <c r="R652" s="596">
        <f t="shared" si="134"/>
        <v>45594</v>
      </c>
      <c r="S652" s="597">
        <f t="shared" si="135"/>
        <v>593.28</v>
      </c>
      <c r="T652" s="526">
        <f t="shared" si="136"/>
        <v>7723.9669000000004</v>
      </c>
      <c r="U652" s="598">
        <v>593.28</v>
      </c>
      <c r="V652" s="598">
        <v>7723.9669000000004</v>
      </c>
      <c r="X652" s="599">
        <v>5832.91705</v>
      </c>
    </row>
    <row r="653" spans="17:24" ht="11.1" customHeight="1" x14ac:dyDescent="0.45">
      <c r="Q653" s="439">
        <f t="shared" si="133"/>
        <v>535</v>
      </c>
      <c r="R653" s="596">
        <f t="shared" si="134"/>
        <v>45595</v>
      </c>
      <c r="S653" s="597">
        <f t="shared" si="135"/>
        <v>591.79999999999995</v>
      </c>
      <c r="T653" s="526">
        <f t="shared" si="136"/>
        <v>15898.662619999999</v>
      </c>
      <c r="U653" s="598">
        <v>591.79999999999995</v>
      </c>
      <c r="V653" s="598">
        <v>15898.662619999999</v>
      </c>
      <c r="X653" s="599">
        <v>5813.6697000000004</v>
      </c>
    </row>
    <row r="654" spans="17:24" ht="11.1" customHeight="1" x14ac:dyDescent="0.45">
      <c r="Q654" s="439">
        <f t="shared" si="133"/>
        <v>534</v>
      </c>
      <c r="R654" s="596">
        <f t="shared" si="134"/>
        <v>45596</v>
      </c>
      <c r="S654" s="597">
        <f t="shared" si="135"/>
        <v>567.58000000000004</v>
      </c>
      <c r="T654" s="526">
        <f t="shared" si="136"/>
        <v>15232.936229999999</v>
      </c>
      <c r="U654" s="598">
        <v>567.58000000000004</v>
      </c>
      <c r="V654" s="598">
        <v>15232.936229999999</v>
      </c>
      <c r="X654" s="599">
        <v>5705.4479199999996</v>
      </c>
    </row>
    <row r="655" spans="17:24" ht="11.1" customHeight="1" x14ac:dyDescent="0.45">
      <c r="Q655" s="439">
        <f t="shared" si="133"/>
        <v>533</v>
      </c>
      <c r="R655" s="596">
        <f t="shared" si="134"/>
        <v>45597</v>
      </c>
      <c r="S655" s="597">
        <f t="shared" si="135"/>
        <v>567.16</v>
      </c>
      <c r="T655" s="526">
        <f t="shared" si="136"/>
        <v>8679.3827600000004</v>
      </c>
      <c r="U655" s="598">
        <v>567.16</v>
      </c>
      <c r="V655" s="598">
        <v>8679.3827600000004</v>
      </c>
      <c r="X655" s="599">
        <v>5728.8013600000004</v>
      </c>
    </row>
    <row r="656" spans="17:24" ht="11.1" customHeight="1" x14ac:dyDescent="0.45">
      <c r="Q656" s="439">
        <f t="shared" si="133"/>
        <v>532</v>
      </c>
      <c r="R656" s="596">
        <f t="shared" si="134"/>
        <v>45598</v>
      </c>
      <c r="S656" s="597" t="e">
        <f t="shared" si="135"/>
        <v>#N/A</v>
      </c>
      <c r="T656" s="526" t="e">
        <f t="shared" si="136"/>
        <v>#N/A</v>
      </c>
      <c r="U656" s="598">
        <v>567.16</v>
      </c>
      <c r="V656" s="598">
        <v>0</v>
      </c>
      <c r="X656" s="599">
        <v>5728.8013600000004</v>
      </c>
    </row>
    <row r="657" spans="17:24" ht="11.1" customHeight="1" x14ac:dyDescent="0.45">
      <c r="Q657" s="439">
        <f t="shared" si="133"/>
        <v>531</v>
      </c>
      <c r="R657" s="596">
        <f t="shared" si="134"/>
        <v>45599</v>
      </c>
      <c r="S657" s="597" t="e">
        <f t="shared" si="135"/>
        <v>#N/A</v>
      </c>
      <c r="T657" s="526" t="e">
        <f t="shared" si="136"/>
        <v>#N/A</v>
      </c>
      <c r="U657" s="598">
        <v>567.16</v>
      </c>
      <c r="V657" s="598">
        <v>0</v>
      </c>
      <c r="X657" s="599">
        <v>5728.8013600000004</v>
      </c>
    </row>
    <row r="658" spans="17:24" ht="11.1" customHeight="1" x14ac:dyDescent="0.45">
      <c r="Q658" s="439">
        <f t="shared" si="133"/>
        <v>530</v>
      </c>
      <c r="R658" s="596">
        <f t="shared" si="134"/>
        <v>45600</v>
      </c>
      <c r="S658" s="597">
        <f t="shared" si="135"/>
        <v>560.67999999999995</v>
      </c>
      <c r="T658" s="526">
        <f t="shared" si="136"/>
        <v>6764.3804899999996</v>
      </c>
      <c r="U658" s="598">
        <v>560.67999999999995</v>
      </c>
      <c r="V658" s="598">
        <v>6764.3804899999996</v>
      </c>
      <c r="X658" s="599">
        <v>5712.6883399999997</v>
      </c>
    </row>
    <row r="659" spans="17:24" ht="11.1" customHeight="1" x14ac:dyDescent="0.45">
      <c r="Q659" s="439">
        <f t="shared" si="133"/>
        <v>529</v>
      </c>
      <c r="R659" s="596">
        <f t="shared" si="134"/>
        <v>45601</v>
      </c>
      <c r="S659" s="597">
        <f t="shared" si="135"/>
        <v>572.42999999999995</v>
      </c>
      <c r="T659" s="526">
        <f t="shared" si="136"/>
        <v>5595.7201999999997</v>
      </c>
      <c r="U659" s="598">
        <v>572.42999999999995</v>
      </c>
      <c r="V659" s="598">
        <v>5595.7201999999997</v>
      </c>
      <c r="X659" s="599">
        <v>5782.7558099999997</v>
      </c>
    </row>
    <row r="660" spans="17:24" ht="11.1" customHeight="1" x14ac:dyDescent="0.45">
      <c r="Q660" s="439">
        <f t="shared" si="133"/>
        <v>528</v>
      </c>
      <c r="R660" s="596">
        <f t="shared" si="134"/>
        <v>45602</v>
      </c>
      <c r="S660" s="597">
        <f t="shared" si="135"/>
        <v>572.04999999999995</v>
      </c>
      <c r="T660" s="526">
        <f t="shared" si="136"/>
        <v>10471.62066</v>
      </c>
      <c r="U660" s="598">
        <v>572.04999999999995</v>
      </c>
      <c r="V660" s="598">
        <v>10471.62066</v>
      </c>
      <c r="X660" s="599">
        <v>5929.0442400000002</v>
      </c>
    </row>
    <row r="661" spans="17:24" ht="11.1" customHeight="1" x14ac:dyDescent="0.45">
      <c r="Q661" s="439">
        <f t="shared" si="133"/>
        <v>527</v>
      </c>
      <c r="R661" s="596">
        <f t="shared" si="134"/>
        <v>45603</v>
      </c>
      <c r="S661" s="597">
        <f t="shared" si="135"/>
        <v>591.70000000000005</v>
      </c>
      <c r="T661" s="526">
        <f t="shared" si="136"/>
        <v>8670.5990199999997</v>
      </c>
      <c r="U661" s="598">
        <v>591.70000000000005</v>
      </c>
      <c r="V661" s="598">
        <v>8670.5990199999997</v>
      </c>
      <c r="X661" s="599">
        <v>5973.1031599999997</v>
      </c>
    </row>
    <row r="662" spans="17:24" ht="11.1" customHeight="1" x14ac:dyDescent="0.45">
      <c r="Q662" s="439">
        <f t="shared" si="133"/>
        <v>526</v>
      </c>
      <c r="R662" s="596">
        <f t="shared" si="134"/>
        <v>45604</v>
      </c>
      <c r="S662" s="597">
        <f t="shared" si="135"/>
        <v>589.34</v>
      </c>
      <c r="T662" s="526">
        <f t="shared" si="136"/>
        <v>5549.0480500000003</v>
      </c>
      <c r="U662" s="598">
        <v>589.34</v>
      </c>
      <c r="V662" s="598">
        <v>5549.0480500000003</v>
      </c>
      <c r="X662" s="599">
        <v>5995.5373399999999</v>
      </c>
    </row>
    <row r="663" spans="17:24" ht="11.1" customHeight="1" x14ac:dyDescent="0.45">
      <c r="Q663" s="439">
        <f t="shared" si="133"/>
        <v>525</v>
      </c>
      <c r="R663" s="596">
        <f t="shared" si="134"/>
        <v>45605</v>
      </c>
      <c r="S663" s="597" t="e">
        <f t="shared" si="135"/>
        <v>#N/A</v>
      </c>
      <c r="T663" s="526" t="e">
        <f t="shared" si="136"/>
        <v>#N/A</v>
      </c>
      <c r="U663" s="598">
        <v>589.34</v>
      </c>
      <c r="V663" s="598">
        <v>0</v>
      </c>
      <c r="X663" s="599">
        <v>5995.5373399999999</v>
      </c>
    </row>
    <row r="664" spans="17:24" ht="11.1" customHeight="1" x14ac:dyDescent="0.45">
      <c r="Q664" s="439">
        <f t="shared" si="133"/>
        <v>524</v>
      </c>
      <c r="R664" s="596">
        <f t="shared" si="134"/>
        <v>45606</v>
      </c>
      <c r="S664" s="597" t="e">
        <f t="shared" si="135"/>
        <v>#N/A</v>
      </c>
      <c r="T664" s="526" t="e">
        <f t="shared" si="136"/>
        <v>#N/A</v>
      </c>
      <c r="U664" s="598">
        <v>589.34</v>
      </c>
      <c r="V664" s="598">
        <v>0</v>
      </c>
      <c r="X664" s="599">
        <v>5995.5373399999999</v>
      </c>
    </row>
    <row r="665" spans="17:24" ht="11.1" customHeight="1" x14ac:dyDescent="0.45">
      <c r="Q665" s="439">
        <f t="shared" si="133"/>
        <v>523</v>
      </c>
      <c r="R665" s="596">
        <f t="shared" si="134"/>
        <v>45607</v>
      </c>
      <c r="S665" s="597">
        <f t="shared" si="135"/>
        <v>583.16999999999996</v>
      </c>
      <c r="T665" s="526">
        <f t="shared" si="136"/>
        <v>5953.6122699999996</v>
      </c>
      <c r="U665" s="598">
        <v>583.16999999999996</v>
      </c>
      <c r="V665" s="598">
        <v>5953.6122699999996</v>
      </c>
      <c r="X665" s="599">
        <v>6001.34699</v>
      </c>
    </row>
    <row r="666" spans="17:24" ht="11.1" customHeight="1" x14ac:dyDescent="0.45">
      <c r="Q666" s="439">
        <f t="shared" si="133"/>
        <v>522</v>
      </c>
      <c r="R666" s="596">
        <f t="shared" si="134"/>
        <v>45608</v>
      </c>
      <c r="S666" s="597">
        <f t="shared" si="135"/>
        <v>584.82000000000005</v>
      </c>
      <c r="T666" s="526">
        <f t="shared" si="136"/>
        <v>9525.3867499999997</v>
      </c>
      <c r="U666" s="598">
        <v>584.82000000000005</v>
      </c>
      <c r="V666" s="598">
        <v>9525.3867499999997</v>
      </c>
      <c r="X666" s="599">
        <v>5983.9898599999997</v>
      </c>
    </row>
    <row r="667" spans="17:24" ht="11.1" customHeight="1" x14ac:dyDescent="0.45">
      <c r="Q667" s="439">
        <f t="shared" si="133"/>
        <v>521</v>
      </c>
      <c r="R667" s="596">
        <f t="shared" si="134"/>
        <v>45609</v>
      </c>
      <c r="S667" s="597">
        <f t="shared" si="135"/>
        <v>580</v>
      </c>
      <c r="T667" s="526">
        <f t="shared" si="136"/>
        <v>6239.3981400000002</v>
      </c>
      <c r="U667" s="598">
        <v>580</v>
      </c>
      <c r="V667" s="598">
        <v>6239.3981400000002</v>
      </c>
      <c r="X667" s="599">
        <v>5985.3780100000004</v>
      </c>
    </row>
    <row r="668" spans="17:24" ht="11.1" customHeight="1" x14ac:dyDescent="0.45">
      <c r="Q668" s="439">
        <f t="shared" si="133"/>
        <v>520</v>
      </c>
      <c r="R668" s="596">
        <f t="shared" si="134"/>
        <v>45610</v>
      </c>
      <c r="S668" s="597">
        <f t="shared" si="135"/>
        <v>577.16</v>
      </c>
      <c r="T668" s="526">
        <f t="shared" si="136"/>
        <v>6379.7783099999997</v>
      </c>
      <c r="U668" s="598">
        <v>577.16</v>
      </c>
      <c r="V668" s="598">
        <v>6379.7783099999997</v>
      </c>
      <c r="X668" s="599">
        <v>5949.1709199999996</v>
      </c>
    </row>
    <row r="669" spans="17:24" ht="11.1" customHeight="1" x14ac:dyDescent="0.45">
      <c r="Q669" s="439">
        <f t="shared" ref="Q669:Q732" si="137">Q670+1</f>
        <v>519</v>
      </c>
      <c r="R669" s="596">
        <f t="shared" ref="R669:R732" si="138">R670-1</f>
        <v>45611</v>
      </c>
      <c r="S669" s="597">
        <f t="shared" ref="S669:S732" si="139">IF(U669=U668,#N/A,U669)</f>
        <v>554.08000000000004</v>
      </c>
      <c r="T669" s="526">
        <f t="shared" ref="T669:T732" si="140">IF(S669="#NV",#N/A,V669)</f>
        <v>9814.3436899999997</v>
      </c>
      <c r="U669" s="598">
        <v>554.08000000000004</v>
      </c>
      <c r="V669" s="598">
        <v>9814.3436899999997</v>
      </c>
      <c r="X669" s="599">
        <v>5870.6164099999996</v>
      </c>
    </row>
    <row r="670" spans="17:24" ht="11.1" customHeight="1" x14ac:dyDescent="0.45">
      <c r="Q670" s="439">
        <f t="shared" si="137"/>
        <v>518</v>
      </c>
      <c r="R670" s="596">
        <f t="shared" si="138"/>
        <v>45612</v>
      </c>
      <c r="S670" s="597" t="e">
        <f t="shared" si="139"/>
        <v>#N/A</v>
      </c>
      <c r="T670" s="526" t="e">
        <f t="shared" si="140"/>
        <v>#N/A</v>
      </c>
      <c r="U670" s="598">
        <v>554.08000000000004</v>
      </c>
      <c r="V670" s="598">
        <v>0</v>
      </c>
      <c r="X670" s="599">
        <v>5870.6164099999996</v>
      </c>
    </row>
    <row r="671" spans="17:24" ht="11.1" customHeight="1" x14ac:dyDescent="0.45">
      <c r="Q671" s="439">
        <f t="shared" si="137"/>
        <v>517</v>
      </c>
      <c r="R671" s="596">
        <f t="shared" si="138"/>
        <v>45613</v>
      </c>
      <c r="S671" s="597" t="e">
        <f t="shared" si="139"/>
        <v>#N/A</v>
      </c>
      <c r="T671" s="526" t="e">
        <f t="shared" si="140"/>
        <v>#N/A</v>
      </c>
      <c r="U671" s="598">
        <v>554.08000000000004</v>
      </c>
      <c r="V671" s="598">
        <v>0</v>
      </c>
      <c r="X671" s="599">
        <v>5870.6164099999996</v>
      </c>
    </row>
    <row r="672" spans="17:24" ht="11.1" customHeight="1" x14ac:dyDescent="0.45">
      <c r="Q672" s="439">
        <f t="shared" si="137"/>
        <v>516</v>
      </c>
      <c r="R672" s="596">
        <f t="shared" si="138"/>
        <v>45614</v>
      </c>
      <c r="S672" s="597">
        <f t="shared" si="139"/>
        <v>554.4</v>
      </c>
      <c r="T672" s="526">
        <f t="shared" si="140"/>
        <v>7953.8188</v>
      </c>
      <c r="U672" s="598">
        <v>554.4</v>
      </c>
      <c r="V672" s="598">
        <v>7953.8188</v>
      </c>
      <c r="X672" s="599">
        <v>5893.62345</v>
      </c>
    </row>
    <row r="673" spans="17:24" ht="11.1" customHeight="1" x14ac:dyDescent="0.45">
      <c r="Q673" s="439">
        <f t="shared" si="137"/>
        <v>515</v>
      </c>
      <c r="R673" s="596">
        <f t="shared" si="138"/>
        <v>45615</v>
      </c>
      <c r="S673" s="597">
        <f t="shared" si="139"/>
        <v>561.09</v>
      </c>
      <c r="T673" s="526">
        <f t="shared" si="140"/>
        <v>5342.9486699999998</v>
      </c>
      <c r="U673" s="598">
        <v>561.09</v>
      </c>
      <c r="V673" s="598">
        <v>5342.9486699999998</v>
      </c>
      <c r="X673" s="599">
        <v>5916.9773500000001</v>
      </c>
    </row>
    <row r="674" spans="17:24" ht="11.1" customHeight="1" x14ac:dyDescent="0.45">
      <c r="Q674" s="439">
        <f t="shared" si="137"/>
        <v>514</v>
      </c>
      <c r="R674" s="596">
        <f t="shared" si="138"/>
        <v>45616</v>
      </c>
      <c r="S674" s="597">
        <f t="shared" si="139"/>
        <v>565.52</v>
      </c>
      <c r="T674" s="526">
        <f t="shared" si="140"/>
        <v>5540.5911500000002</v>
      </c>
      <c r="U674" s="598">
        <v>565.52</v>
      </c>
      <c r="V674" s="598">
        <v>5540.5911500000002</v>
      </c>
      <c r="X674" s="599">
        <v>5917.1110500000004</v>
      </c>
    </row>
    <row r="675" spans="17:24" ht="11.1" customHeight="1" x14ac:dyDescent="0.45">
      <c r="Q675" s="439">
        <f t="shared" si="137"/>
        <v>513</v>
      </c>
      <c r="R675" s="596">
        <f t="shared" si="138"/>
        <v>45617</v>
      </c>
      <c r="S675" s="597">
        <f t="shared" si="139"/>
        <v>563.09</v>
      </c>
      <c r="T675" s="526">
        <f t="shared" si="140"/>
        <v>6281.1276099999995</v>
      </c>
      <c r="U675" s="598">
        <v>563.09</v>
      </c>
      <c r="V675" s="598">
        <v>6281.1276099999995</v>
      </c>
      <c r="X675" s="599">
        <v>5948.7072200000002</v>
      </c>
    </row>
    <row r="676" spans="17:24" ht="11.1" customHeight="1" x14ac:dyDescent="0.45">
      <c r="Q676" s="439">
        <f t="shared" si="137"/>
        <v>512</v>
      </c>
      <c r="R676" s="596">
        <f t="shared" si="138"/>
        <v>45618</v>
      </c>
      <c r="S676" s="597">
        <f t="shared" si="139"/>
        <v>559.14</v>
      </c>
      <c r="T676" s="526">
        <f t="shared" si="140"/>
        <v>5123.9611999999997</v>
      </c>
      <c r="U676" s="598">
        <v>559.14</v>
      </c>
      <c r="V676" s="598">
        <v>5123.9611999999997</v>
      </c>
      <c r="X676" s="599">
        <v>5969.3430799999996</v>
      </c>
    </row>
    <row r="677" spans="17:24" ht="11.1" customHeight="1" x14ac:dyDescent="0.45">
      <c r="Q677" s="439">
        <f t="shared" si="137"/>
        <v>511</v>
      </c>
      <c r="R677" s="596">
        <f t="shared" si="138"/>
        <v>45619</v>
      </c>
      <c r="S677" s="597" t="e">
        <f t="shared" si="139"/>
        <v>#N/A</v>
      </c>
      <c r="T677" s="526" t="e">
        <f t="shared" si="140"/>
        <v>#N/A</v>
      </c>
      <c r="U677" s="598">
        <v>559.14</v>
      </c>
      <c r="V677" s="598">
        <v>0</v>
      </c>
      <c r="X677" s="599">
        <v>5969.3430799999996</v>
      </c>
    </row>
    <row r="678" spans="17:24" ht="11.1" customHeight="1" x14ac:dyDescent="0.45">
      <c r="Q678" s="439">
        <f t="shared" si="137"/>
        <v>510</v>
      </c>
      <c r="R678" s="596">
        <f t="shared" si="138"/>
        <v>45620</v>
      </c>
      <c r="S678" s="597" t="e">
        <f t="shared" si="139"/>
        <v>#N/A</v>
      </c>
      <c r="T678" s="526" t="e">
        <f t="shared" si="140"/>
        <v>#N/A</v>
      </c>
      <c r="U678" s="598">
        <v>559.14</v>
      </c>
      <c r="V678" s="598">
        <v>0</v>
      </c>
      <c r="X678" s="599">
        <v>5969.3430799999996</v>
      </c>
    </row>
    <row r="679" spans="17:24" ht="11.1" customHeight="1" x14ac:dyDescent="0.45">
      <c r="Q679" s="439">
        <f t="shared" si="137"/>
        <v>509</v>
      </c>
      <c r="R679" s="596">
        <f t="shared" si="138"/>
        <v>45621</v>
      </c>
      <c r="S679" s="597">
        <f t="shared" si="139"/>
        <v>565.11</v>
      </c>
      <c r="T679" s="526">
        <f t="shared" si="140"/>
        <v>7685.3999299999996</v>
      </c>
      <c r="U679" s="598">
        <v>565.11</v>
      </c>
      <c r="V679" s="598">
        <v>7685.3999299999996</v>
      </c>
      <c r="X679" s="599">
        <v>5987.3663500000002</v>
      </c>
    </row>
    <row r="680" spans="17:24" ht="11.1" customHeight="1" x14ac:dyDescent="0.45">
      <c r="Q680" s="439">
        <f t="shared" si="137"/>
        <v>508</v>
      </c>
      <c r="R680" s="596">
        <f t="shared" si="138"/>
        <v>45622</v>
      </c>
      <c r="S680" s="597">
        <f t="shared" si="139"/>
        <v>573.54</v>
      </c>
      <c r="T680" s="526">
        <f t="shared" si="140"/>
        <v>5939.8956900000003</v>
      </c>
      <c r="U680" s="598">
        <v>573.54</v>
      </c>
      <c r="V680" s="598">
        <v>5939.8956900000003</v>
      </c>
      <c r="X680" s="599">
        <v>6021.6325900000002</v>
      </c>
    </row>
    <row r="681" spans="17:24" ht="11.1" customHeight="1" x14ac:dyDescent="0.45">
      <c r="Q681" s="439">
        <f t="shared" si="137"/>
        <v>507</v>
      </c>
      <c r="R681" s="596">
        <f t="shared" si="138"/>
        <v>45623</v>
      </c>
      <c r="S681" s="597">
        <f t="shared" si="139"/>
        <v>569.20000000000005</v>
      </c>
      <c r="T681" s="526">
        <f t="shared" si="140"/>
        <v>4098.36978</v>
      </c>
      <c r="U681" s="598">
        <v>569.20000000000005</v>
      </c>
      <c r="V681" s="598">
        <v>4098.36978</v>
      </c>
      <c r="X681" s="599">
        <v>5998.7380499999999</v>
      </c>
    </row>
    <row r="682" spans="17:24" ht="11.1" customHeight="1" x14ac:dyDescent="0.45">
      <c r="Q682" s="439">
        <f t="shared" si="137"/>
        <v>506</v>
      </c>
      <c r="R682" s="596">
        <f t="shared" si="138"/>
        <v>45624</v>
      </c>
      <c r="S682" s="597" t="e">
        <f t="shared" si="139"/>
        <v>#N/A</v>
      </c>
      <c r="T682" s="526" t="e">
        <f t="shared" si="140"/>
        <v>#N/A</v>
      </c>
      <c r="U682" s="598">
        <v>569.20000000000005</v>
      </c>
      <c r="V682" s="598">
        <v>0</v>
      </c>
      <c r="X682" s="599">
        <v>5998.7380499999999</v>
      </c>
    </row>
    <row r="683" spans="17:24" ht="11.1" customHeight="1" x14ac:dyDescent="0.45">
      <c r="Q683" s="439">
        <f t="shared" si="137"/>
        <v>505</v>
      </c>
      <c r="R683" s="596">
        <f t="shared" si="138"/>
        <v>45625</v>
      </c>
      <c r="S683" s="597">
        <f t="shared" si="139"/>
        <v>574.32000000000005</v>
      </c>
      <c r="T683" s="526">
        <f t="shared" si="140"/>
        <v>4095.19967</v>
      </c>
      <c r="U683" s="598">
        <v>574.32000000000005</v>
      </c>
      <c r="V683" s="598">
        <v>4095.19967</v>
      </c>
      <c r="X683" s="599">
        <v>6032.3844099999997</v>
      </c>
    </row>
    <row r="684" spans="17:24" ht="11.1" customHeight="1" x14ac:dyDescent="0.45">
      <c r="Q684" s="439">
        <f t="shared" si="137"/>
        <v>504</v>
      </c>
      <c r="R684" s="596">
        <f t="shared" si="138"/>
        <v>45626</v>
      </c>
      <c r="S684" s="597" t="e">
        <f t="shared" si="139"/>
        <v>#N/A</v>
      </c>
      <c r="T684" s="526" t="e">
        <f t="shared" si="140"/>
        <v>#N/A</v>
      </c>
      <c r="U684" s="598">
        <v>574.32000000000005</v>
      </c>
      <c r="V684" s="598">
        <v>0</v>
      </c>
      <c r="X684" s="599">
        <v>6032.3844099999997</v>
      </c>
    </row>
    <row r="685" spans="17:24" ht="11.1" customHeight="1" x14ac:dyDescent="0.45">
      <c r="Q685" s="439">
        <f t="shared" si="137"/>
        <v>503</v>
      </c>
      <c r="R685" s="596">
        <f t="shared" si="138"/>
        <v>45627</v>
      </c>
      <c r="S685" s="597" t="e">
        <f t="shared" si="139"/>
        <v>#N/A</v>
      </c>
      <c r="T685" s="526" t="e">
        <f t="shared" si="140"/>
        <v>#N/A</v>
      </c>
      <c r="U685" s="598">
        <v>574.32000000000005</v>
      </c>
      <c r="V685" s="598">
        <v>0</v>
      </c>
      <c r="X685" s="599">
        <v>6032.3844099999997</v>
      </c>
    </row>
    <row r="686" spans="17:24" ht="11.1" customHeight="1" x14ac:dyDescent="0.45">
      <c r="Q686" s="439">
        <f t="shared" si="137"/>
        <v>502</v>
      </c>
      <c r="R686" s="596">
        <f t="shared" si="138"/>
        <v>45628</v>
      </c>
      <c r="S686" s="597">
        <f t="shared" si="139"/>
        <v>592.83000000000004</v>
      </c>
      <c r="T686" s="526">
        <f t="shared" si="140"/>
        <v>7423.6372000000001</v>
      </c>
      <c r="U686" s="598">
        <v>592.83000000000004</v>
      </c>
      <c r="V686" s="598">
        <v>7423.6372000000001</v>
      </c>
      <c r="X686" s="599">
        <v>6047.1458400000001</v>
      </c>
    </row>
    <row r="687" spans="17:24" ht="11.1" customHeight="1" x14ac:dyDescent="0.45">
      <c r="Q687" s="439">
        <f t="shared" si="137"/>
        <v>501</v>
      </c>
      <c r="R687" s="596">
        <f t="shared" si="138"/>
        <v>45629</v>
      </c>
      <c r="S687" s="597">
        <f t="shared" si="139"/>
        <v>613.65</v>
      </c>
      <c r="T687" s="526">
        <f t="shared" si="140"/>
        <v>9147.7811899999997</v>
      </c>
      <c r="U687" s="598">
        <v>613.65</v>
      </c>
      <c r="V687" s="598">
        <v>9147.7811899999997</v>
      </c>
      <c r="X687" s="599">
        <v>6049.8817499999996</v>
      </c>
    </row>
    <row r="688" spans="17:24" ht="11.1" customHeight="1" x14ac:dyDescent="0.45">
      <c r="Q688" s="439">
        <f t="shared" si="137"/>
        <v>500</v>
      </c>
      <c r="R688" s="596">
        <f t="shared" si="138"/>
        <v>45630</v>
      </c>
      <c r="S688" s="597">
        <f t="shared" si="139"/>
        <v>613.78</v>
      </c>
      <c r="T688" s="526">
        <f t="shared" si="140"/>
        <v>9020.7283399999997</v>
      </c>
      <c r="U688" s="598">
        <v>613.78</v>
      </c>
      <c r="V688" s="598">
        <v>9020.7283399999997</v>
      </c>
      <c r="X688" s="599">
        <v>6086.4872599999999</v>
      </c>
    </row>
    <row r="689" spans="17:24" ht="11.1" customHeight="1" x14ac:dyDescent="0.45">
      <c r="Q689" s="439">
        <f t="shared" si="137"/>
        <v>499</v>
      </c>
      <c r="R689" s="596">
        <f t="shared" si="138"/>
        <v>45631</v>
      </c>
      <c r="S689" s="597">
        <f t="shared" si="139"/>
        <v>608.92999999999995</v>
      </c>
      <c r="T689" s="526">
        <f t="shared" si="140"/>
        <v>4920.8924200000001</v>
      </c>
      <c r="U689" s="598">
        <v>608.92999999999995</v>
      </c>
      <c r="V689" s="598">
        <v>4920.8924200000001</v>
      </c>
      <c r="X689" s="599">
        <v>6075.10707</v>
      </c>
    </row>
    <row r="690" spans="17:24" ht="11.1" customHeight="1" x14ac:dyDescent="0.45">
      <c r="Q690" s="439">
        <f t="shared" si="137"/>
        <v>498</v>
      </c>
      <c r="R690" s="596">
        <f t="shared" si="138"/>
        <v>45632</v>
      </c>
      <c r="S690" s="597">
        <f t="shared" si="139"/>
        <v>623.77</v>
      </c>
      <c r="T690" s="526">
        <f t="shared" si="140"/>
        <v>10563.85871</v>
      </c>
      <c r="U690" s="598">
        <v>623.77</v>
      </c>
      <c r="V690" s="598">
        <v>10563.85871</v>
      </c>
      <c r="X690" s="599">
        <v>6090.2704700000004</v>
      </c>
    </row>
    <row r="691" spans="17:24" ht="11.1" customHeight="1" x14ac:dyDescent="0.45">
      <c r="Q691" s="439">
        <f t="shared" si="137"/>
        <v>497</v>
      </c>
      <c r="R691" s="596">
        <f t="shared" si="138"/>
        <v>45633</v>
      </c>
      <c r="S691" s="597" t="e">
        <f t="shared" si="139"/>
        <v>#N/A</v>
      </c>
      <c r="T691" s="526" t="e">
        <f t="shared" si="140"/>
        <v>#N/A</v>
      </c>
      <c r="U691" s="598">
        <v>623.77</v>
      </c>
      <c r="V691" s="598">
        <v>0</v>
      </c>
      <c r="X691" s="599">
        <v>6090.2704700000004</v>
      </c>
    </row>
    <row r="692" spans="17:24" ht="11.1" customHeight="1" x14ac:dyDescent="0.45">
      <c r="Q692" s="439">
        <f t="shared" si="137"/>
        <v>496</v>
      </c>
      <c r="R692" s="596">
        <f t="shared" si="138"/>
        <v>45634</v>
      </c>
      <c r="S692" s="597" t="e">
        <f t="shared" si="139"/>
        <v>#N/A</v>
      </c>
      <c r="T692" s="526" t="e">
        <f t="shared" si="140"/>
        <v>#N/A</v>
      </c>
      <c r="U692" s="598">
        <v>623.77</v>
      </c>
      <c r="V692" s="598">
        <v>0</v>
      </c>
      <c r="X692" s="599">
        <v>6090.2704700000004</v>
      </c>
    </row>
    <row r="693" spans="17:24" ht="11.1" customHeight="1" x14ac:dyDescent="0.45">
      <c r="Q693" s="439">
        <f t="shared" si="137"/>
        <v>495</v>
      </c>
      <c r="R693" s="596">
        <f t="shared" si="138"/>
        <v>45635</v>
      </c>
      <c r="S693" s="597">
        <f t="shared" si="139"/>
        <v>613.57000000000005</v>
      </c>
      <c r="T693" s="526">
        <f t="shared" si="140"/>
        <v>7010.6600200000003</v>
      </c>
      <c r="U693" s="598">
        <v>613.57000000000005</v>
      </c>
      <c r="V693" s="598">
        <v>7010.6600200000003</v>
      </c>
      <c r="X693" s="599">
        <v>6052.8485600000004</v>
      </c>
    </row>
    <row r="694" spans="17:24" ht="11.1" customHeight="1" x14ac:dyDescent="0.45">
      <c r="Q694" s="439">
        <f t="shared" si="137"/>
        <v>494</v>
      </c>
      <c r="R694" s="596">
        <f t="shared" si="138"/>
        <v>45636</v>
      </c>
      <c r="S694" s="597">
        <f t="shared" si="139"/>
        <v>619.32000000000005</v>
      </c>
      <c r="T694" s="526">
        <f t="shared" si="140"/>
        <v>6774.6510600000001</v>
      </c>
      <c r="U694" s="598">
        <v>619.32000000000005</v>
      </c>
      <c r="V694" s="598">
        <v>6774.6510600000001</v>
      </c>
      <c r="X694" s="599">
        <v>6034.9122799999996</v>
      </c>
    </row>
    <row r="695" spans="17:24" ht="11.1" customHeight="1" x14ac:dyDescent="0.45">
      <c r="Q695" s="439">
        <f t="shared" si="137"/>
        <v>493</v>
      </c>
      <c r="R695" s="596">
        <f t="shared" si="138"/>
        <v>45637</v>
      </c>
      <c r="S695" s="597">
        <f t="shared" si="139"/>
        <v>632.67999999999995</v>
      </c>
      <c r="T695" s="526">
        <f t="shared" si="140"/>
        <v>6856.4974099999999</v>
      </c>
      <c r="U695" s="598">
        <v>632.67999999999995</v>
      </c>
      <c r="V695" s="598">
        <v>6856.4974099999999</v>
      </c>
      <c r="X695" s="599">
        <v>6084.1894899999998</v>
      </c>
    </row>
    <row r="696" spans="17:24" ht="11.1" customHeight="1" x14ac:dyDescent="0.45">
      <c r="Q696" s="439">
        <f t="shared" si="137"/>
        <v>492</v>
      </c>
      <c r="R696" s="596">
        <f t="shared" si="138"/>
        <v>45638</v>
      </c>
      <c r="S696" s="597">
        <f t="shared" si="139"/>
        <v>630.79</v>
      </c>
      <c r="T696" s="526">
        <f t="shared" si="140"/>
        <v>4714.9767400000001</v>
      </c>
      <c r="U696" s="598">
        <v>630.79</v>
      </c>
      <c r="V696" s="598">
        <v>4714.9767400000001</v>
      </c>
      <c r="X696" s="599">
        <v>6051.2473</v>
      </c>
    </row>
    <row r="697" spans="17:24" ht="11.1" customHeight="1" x14ac:dyDescent="0.45">
      <c r="Q697" s="439">
        <f t="shared" si="137"/>
        <v>491</v>
      </c>
      <c r="R697" s="596">
        <f t="shared" si="138"/>
        <v>45639</v>
      </c>
      <c r="S697" s="597">
        <f t="shared" si="139"/>
        <v>620.35</v>
      </c>
      <c r="T697" s="526">
        <f t="shared" si="140"/>
        <v>5244.0350500000004</v>
      </c>
      <c r="U697" s="598">
        <v>620.35</v>
      </c>
      <c r="V697" s="598">
        <v>5244.0350500000004</v>
      </c>
      <c r="X697" s="599">
        <v>6051.09202</v>
      </c>
    </row>
    <row r="698" spans="17:24" ht="11.1" customHeight="1" x14ac:dyDescent="0.45">
      <c r="Q698" s="439">
        <f t="shared" si="137"/>
        <v>490</v>
      </c>
      <c r="R698" s="596">
        <f t="shared" si="138"/>
        <v>45640</v>
      </c>
      <c r="S698" s="597" t="e">
        <f t="shared" si="139"/>
        <v>#N/A</v>
      </c>
      <c r="T698" s="526" t="e">
        <f t="shared" si="140"/>
        <v>#N/A</v>
      </c>
      <c r="U698" s="598">
        <v>620.35</v>
      </c>
      <c r="V698" s="598">
        <v>0</v>
      </c>
      <c r="X698" s="599">
        <v>6051.09202</v>
      </c>
    </row>
    <row r="699" spans="17:24" ht="11.1" customHeight="1" x14ac:dyDescent="0.45">
      <c r="Q699" s="439">
        <f t="shared" si="137"/>
        <v>489</v>
      </c>
      <c r="R699" s="596">
        <f t="shared" si="138"/>
        <v>45641</v>
      </c>
      <c r="S699" s="597" t="e">
        <f t="shared" si="139"/>
        <v>#N/A</v>
      </c>
      <c r="T699" s="526" t="e">
        <f t="shared" si="140"/>
        <v>#N/A</v>
      </c>
      <c r="U699" s="598">
        <v>620.35</v>
      </c>
      <c r="V699" s="598">
        <v>0</v>
      </c>
      <c r="X699" s="599">
        <v>6051.09202</v>
      </c>
    </row>
    <row r="700" spans="17:24" ht="11.1" customHeight="1" x14ac:dyDescent="0.45">
      <c r="Q700" s="439">
        <f t="shared" si="137"/>
        <v>488</v>
      </c>
      <c r="R700" s="596">
        <f t="shared" si="138"/>
        <v>45642</v>
      </c>
      <c r="S700" s="597">
        <f t="shared" si="139"/>
        <v>624.24</v>
      </c>
      <c r="T700" s="526">
        <f t="shared" si="140"/>
        <v>6795.2425499999999</v>
      </c>
      <c r="U700" s="598">
        <v>624.24</v>
      </c>
      <c r="V700" s="598">
        <v>6795.2425499999999</v>
      </c>
      <c r="X700" s="599">
        <v>6074.0834699999996</v>
      </c>
    </row>
    <row r="701" spans="17:24" ht="11.1" customHeight="1" x14ac:dyDescent="0.45">
      <c r="Q701" s="439">
        <f t="shared" si="137"/>
        <v>487</v>
      </c>
      <c r="R701" s="596">
        <f t="shared" si="138"/>
        <v>45643</v>
      </c>
      <c r="S701" s="597">
        <f t="shared" si="139"/>
        <v>619.44000000000005</v>
      </c>
      <c r="T701" s="526">
        <f t="shared" si="140"/>
        <v>7989.4392500000004</v>
      </c>
      <c r="U701" s="598">
        <v>619.44000000000005</v>
      </c>
      <c r="V701" s="598">
        <v>7989.4392500000004</v>
      </c>
      <c r="X701" s="599">
        <v>6050.6105399999997</v>
      </c>
    </row>
    <row r="702" spans="17:24" ht="11.1" customHeight="1" x14ac:dyDescent="0.45">
      <c r="Q702" s="439">
        <f t="shared" si="137"/>
        <v>486</v>
      </c>
      <c r="R702" s="596">
        <f t="shared" si="138"/>
        <v>45644</v>
      </c>
      <c r="S702" s="597">
        <f t="shared" si="139"/>
        <v>597.19000000000005</v>
      </c>
      <c r="T702" s="526">
        <f t="shared" si="140"/>
        <v>10197.305899999999</v>
      </c>
      <c r="U702" s="598">
        <v>597.19000000000005</v>
      </c>
      <c r="V702" s="598">
        <v>10197.305899999999</v>
      </c>
      <c r="X702" s="599">
        <v>5872.15985</v>
      </c>
    </row>
    <row r="703" spans="17:24" ht="11.1" customHeight="1" x14ac:dyDescent="0.45">
      <c r="Q703" s="439">
        <f t="shared" si="137"/>
        <v>485</v>
      </c>
      <c r="R703" s="596">
        <f t="shared" si="138"/>
        <v>45645</v>
      </c>
      <c r="S703" s="597">
        <f t="shared" si="139"/>
        <v>595.57000000000005</v>
      </c>
      <c r="T703" s="526">
        <f t="shared" si="140"/>
        <v>8908.5848999999998</v>
      </c>
      <c r="U703" s="598">
        <v>595.57000000000005</v>
      </c>
      <c r="V703" s="598">
        <v>8908.5848999999998</v>
      </c>
      <c r="X703" s="599">
        <v>5867.0769899999996</v>
      </c>
    </row>
    <row r="704" spans="17:24" ht="11.1" customHeight="1" x14ac:dyDescent="0.45">
      <c r="Q704" s="439">
        <f t="shared" si="137"/>
        <v>484</v>
      </c>
      <c r="R704" s="596">
        <f t="shared" si="138"/>
        <v>45646</v>
      </c>
      <c r="S704" s="597">
        <f t="shared" si="139"/>
        <v>585.25</v>
      </c>
      <c r="T704" s="526">
        <f t="shared" si="140"/>
        <v>28671.040499999999</v>
      </c>
      <c r="U704" s="598">
        <v>585.25</v>
      </c>
      <c r="V704" s="598">
        <v>28671.040499999999</v>
      </c>
      <c r="X704" s="599">
        <v>5930.8501399999996</v>
      </c>
    </row>
    <row r="705" spans="17:24" ht="11.1" customHeight="1" x14ac:dyDescent="0.45">
      <c r="Q705" s="439">
        <f t="shared" si="137"/>
        <v>483</v>
      </c>
      <c r="R705" s="596">
        <f t="shared" si="138"/>
        <v>45647</v>
      </c>
      <c r="S705" s="597" t="e">
        <f t="shared" si="139"/>
        <v>#N/A</v>
      </c>
      <c r="T705" s="526" t="e">
        <f t="shared" si="140"/>
        <v>#N/A</v>
      </c>
      <c r="U705" s="598">
        <v>585.25</v>
      </c>
      <c r="V705" s="598">
        <v>0</v>
      </c>
      <c r="X705" s="599">
        <v>5930.8501399999996</v>
      </c>
    </row>
    <row r="706" spans="17:24" ht="11.1" customHeight="1" x14ac:dyDescent="0.45">
      <c r="Q706" s="439">
        <f t="shared" si="137"/>
        <v>482</v>
      </c>
      <c r="R706" s="596">
        <f t="shared" si="138"/>
        <v>45648</v>
      </c>
      <c r="S706" s="597" t="e">
        <f t="shared" si="139"/>
        <v>#N/A</v>
      </c>
      <c r="T706" s="526" t="e">
        <f t="shared" si="140"/>
        <v>#N/A</v>
      </c>
      <c r="U706" s="598">
        <v>585.25</v>
      </c>
      <c r="V706" s="598">
        <v>0</v>
      </c>
      <c r="X706" s="599">
        <v>5930.8501399999996</v>
      </c>
    </row>
    <row r="707" spans="17:24" ht="11.1" customHeight="1" x14ac:dyDescent="0.45">
      <c r="Q707" s="439">
        <f t="shared" si="137"/>
        <v>481</v>
      </c>
      <c r="R707" s="596">
        <f t="shared" si="138"/>
        <v>45649</v>
      </c>
      <c r="S707" s="597">
        <f t="shared" si="139"/>
        <v>599.85</v>
      </c>
      <c r="T707" s="526">
        <f t="shared" si="140"/>
        <v>6121.91914</v>
      </c>
      <c r="U707" s="598">
        <v>599.85</v>
      </c>
      <c r="V707" s="598">
        <v>6121.91914</v>
      </c>
      <c r="X707" s="599">
        <v>5974.0730700000004</v>
      </c>
    </row>
    <row r="708" spans="17:24" ht="11.1" customHeight="1" x14ac:dyDescent="0.45">
      <c r="Q708" s="439">
        <f t="shared" si="137"/>
        <v>480</v>
      </c>
      <c r="R708" s="596">
        <f t="shared" si="138"/>
        <v>45650</v>
      </c>
      <c r="S708" s="597">
        <f t="shared" si="139"/>
        <v>607.75</v>
      </c>
      <c r="T708" s="526">
        <f t="shared" si="140"/>
        <v>2872.26053</v>
      </c>
      <c r="U708" s="598">
        <v>607.75</v>
      </c>
      <c r="V708" s="598">
        <v>2872.26053</v>
      </c>
      <c r="X708" s="599">
        <v>6040.0355799999998</v>
      </c>
    </row>
    <row r="709" spans="17:24" ht="11.1" customHeight="1" x14ac:dyDescent="0.45">
      <c r="Q709" s="439">
        <f t="shared" si="137"/>
        <v>479</v>
      </c>
      <c r="R709" s="596">
        <f t="shared" si="138"/>
        <v>45651</v>
      </c>
      <c r="S709" s="597" t="e">
        <f t="shared" si="139"/>
        <v>#N/A</v>
      </c>
      <c r="T709" s="526" t="e">
        <f t="shared" si="140"/>
        <v>#N/A</v>
      </c>
      <c r="U709" s="598">
        <v>607.75</v>
      </c>
      <c r="V709" s="598">
        <v>0</v>
      </c>
      <c r="X709" s="599">
        <v>6040.0355799999998</v>
      </c>
    </row>
    <row r="710" spans="17:24" ht="11.1" customHeight="1" x14ac:dyDescent="0.45">
      <c r="Q710" s="439">
        <f t="shared" si="137"/>
        <v>478</v>
      </c>
      <c r="R710" s="596">
        <f t="shared" si="138"/>
        <v>45652</v>
      </c>
      <c r="S710" s="597">
        <f t="shared" si="139"/>
        <v>603.35</v>
      </c>
      <c r="T710" s="526">
        <f t="shared" si="140"/>
        <v>3675.14905</v>
      </c>
      <c r="U710" s="598">
        <v>603.35</v>
      </c>
      <c r="V710" s="598">
        <v>3675.14905</v>
      </c>
      <c r="X710" s="599">
        <v>6037.5908600000002</v>
      </c>
    </row>
    <row r="711" spans="17:24" ht="11.1" customHeight="1" x14ac:dyDescent="0.45">
      <c r="Q711" s="439">
        <f t="shared" si="137"/>
        <v>477</v>
      </c>
      <c r="R711" s="596">
        <f t="shared" si="138"/>
        <v>45653</v>
      </c>
      <c r="S711" s="597">
        <f t="shared" si="139"/>
        <v>599.80999999999995</v>
      </c>
      <c r="T711" s="526">
        <f t="shared" si="140"/>
        <v>4849.0014000000001</v>
      </c>
      <c r="U711" s="598">
        <v>599.80999999999995</v>
      </c>
      <c r="V711" s="598">
        <v>4849.0014000000001</v>
      </c>
      <c r="X711" s="599">
        <v>5970.8376399999997</v>
      </c>
    </row>
    <row r="712" spans="17:24" ht="11.1" customHeight="1" x14ac:dyDescent="0.45">
      <c r="Q712" s="439">
        <f t="shared" si="137"/>
        <v>476</v>
      </c>
      <c r="R712" s="596">
        <f t="shared" si="138"/>
        <v>45654</v>
      </c>
      <c r="S712" s="597" t="e">
        <f t="shared" si="139"/>
        <v>#N/A</v>
      </c>
      <c r="T712" s="526" t="e">
        <f t="shared" si="140"/>
        <v>#N/A</v>
      </c>
      <c r="U712" s="598">
        <v>599.80999999999995</v>
      </c>
      <c r="V712" s="598">
        <v>0</v>
      </c>
      <c r="X712" s="599">
        <v>5970.8376399999997</v>
      </c>
    </row>
    <row r="713" spans="17:24" ht="11.1" customHeight="1" x14ac:dyDescent="0.45">
      <c r="Q713" s="439">
        <f t="shared" si="137"/>
        <v>475</v>
      </c>
      <c r="R713" s="596">
        <f t="shared" si="138"/>
        <v>45655</v>
      </c>
      <c r="S713" s="597" t="e">
        <f t="shared" si="139"/>
        <v>#N/A</v>
      </c>
      <c r="T713" s="526" t="e">
        <f t="shared" si="140"/>
        <v>#N/A</v>
      </c>
      <c r="U713" s="598">
        <v>599.80999999999995</v>
      </c>
      <c r="V713" s="598">
        <v>0</v>
      </c>
      <c r="X713" s="599">
        <v>5970.8376399999997</v>
      </c>
    </row>
    <row r="714" spans="17:24" ht="11.1" customHeight="1" x14ac:dyDescent="0.45">
      <c r="Q714" s="439">
        <f t="shared" si="137"/>
        <v>474</v>
      </c>
      <c r="R714" s="596">
        <f t="shared" si="138"/>
        <v>45656</v>
      </c>
      <c r="S714" s="597">
        <f t="shared" si="139"/>
        <v>591.24</v>
      </c>
      <c r="T714" s="526">
        <f t="shared" si="140"/>
        <v>4153.9718300000004</v>
      </c>
      <c r="U714" s="598">
        <v>591.24</v>
      </c>
      <c r="V714" s="598">
        <v>4153.9718300000004</v>
      </c>
      <c r="X714" s="599">
        <v>5906.9355999999998</v>
      </c>
    </row>
    <row r="715" spans="17:24" ht="11.1" customHeight="1" x14ac:dyDescent="0.45">
      <c r="Q715" s="439">
        <f t="shared" si="137"/>
        <v>473</v>
      </c>
      <c r="R715" s="596">
        <f t="shared" si="138"/>
        <v>45657</v>
      </c>
      <c r="S715" s="597">
        <f t="shared" si="139"/>
        <v>585.51</v>
      </c>
      <c r="T715" s="526">
        <f t="shared" si="140"/>
        <v>3524.4891600000001</v>
      </c>
      <c r="U715" s="598">
        <v>585.51</v>
      </c>
      <c r="V715" s="598">
        <v>3524.4891600000001</v>
      </c>
      <c r="X715" s="599">
        <v>5881.6276500000004</v>
      </c>
    </row>
    <row r="716" spans="17:24" ht="11.1" customHeight="1" x14ac:dyDescent="0.45">
      <c r="Q716" s="439">
        <f t="shared" si="137"/>
        <v>472</v>
      </c>
      <c r="R716" s="596">
        <f t="shared" si="138"/>
        <v>45658</v>
      </c>
      <c r="S716" s="597" t="e">
        <f t="shared" si="139"/>
        <v>#N/A</v>
      </c>
      <c r="T716" s="526" t="e">
        <f t="shared" si="140"/>
        <v>#N/A</v>
      </c>
      <c r="U716" s="598">
        <v>585.51</v>
      </c>
      <c r="V716" s="598">
        <v>0</v>
      </c>
      <c r="X716" s="599">
        <v>5881.6276500000004</v>
      </c>
    </row>
    <row r="717" spans="17:24" ht="11.1" customHeight="1" x14ac:dyDescent="0.45">
      <c r="Q717" s="439">
        <f t="shared" si="137"/>
        <v>471</v>
      </c>
      <c r="R717" s="596">
        <f t="shared" si="138"/>
        <v>45659</v>
      </c>
      <c r="S717" s="597">
        <f t="shared" si="139"/>
        <v>599.24</v>
      </c>
      <c r="T717" s="526">
        <f t="shared" si="140"/>
        <v>7599.7228800000003</v>
      </c>
      <c r="U717" s="598">
        <v>599.24</v>
      </c>
      <c r="V717" s="598">
        <v>7599.7228800000003</v>
      </c>
      <c r="X717" s="599">
        <v>5868.5513199999996</v>
      </c>
    </row>
    <row r="718" spans="17:24" ht="11.1" customHeight="1" x14ac:dyDescent="0.45">
      <c r="Q718" s="439">
        <f t="shared" si="137"/>
        <v>470</v>
      </c>
      <c r="R718" s="596">
        <f t="shared" si="138"/>
        <v>45660</v>
      </c>
      <c r="S718" s="597">
        <f t="shared" si="139"/>
        <v>604.63</v>
      </c>
      <c r="T718" s="526">
        <f t="shared" si="140"/>
        <v>6915.0227100000002</v>
      </c>
      <c r="U718" s="598">
        <v>604.63</v>
      </c>
      <c r="V718" s="598">
        <v>6915.0227100000002</v>
      </c>
      <c r="X718" s="599">
        <v>5942.4724999999999</v>
      </c>
    </row>
    <row r="719" spans="17:24" ht="11.1" customHeight="1" x14ac:dyDescent="0.45">
      <c r="Q719" s="439">
        <f t="shared" si="137"/>
        <v>469</v>
      </c>
      <c r="R719" s="596">
        <f t="shared" si="138"/>
        <v>45661</v>
      </c>
      <c r="S719" s="597" t="e">
        <f t="shared" si="139"/>
        <v>#N/A</v>
      </c>
      <c r="T719" s="526" t="e">
        <f t="shared" si="140"/>
        <v>#N/A</v>
      </c>
      <c r="U719" s="598">
        <v>604.63</v>
      </c>
      <c r="V719" s="598">
        <v>0</v>
      </c>
      <c r="X719" s="599">
        <v>5942.4724999999999</v>
      </c>
    </row>
    <row r="720" spans="17:24" ht="11.1" customHeight="1" x14ac:dyDescent="0.45">
      <c r="Q720" s="439">
        <f t="shared" si="137"/>
        <v>468</v>
      </c>
      <c r="R720" s="596">
        <f t="shared" si="138"/>
        <v>45662</v>
      </c>
      <c r="S720" s="597" t="e">
        <f t="shared" si="139"/>
        <v>#N/A</v>
      </c>
      <c r="T720" s="526" t="e">
        <f t="shared" si="140"/>
        <v>#N/A</v>
      </c>
      <c r="U720" s="598">
        <v>604.63</v>
      </c>
      <c r="V720" s="598">
        <v>0</v>
      </c>
      <c r="X720" s="599">
        <v>5942.4724999999999</v>
      </c>
    </row>
    <row r="721" spans="17:24" ht="11.1" customHeight="1" x14ac:dyDescent="0.45">
      <c r="Q721" s="439">
        <f t="shared" si="137"/>
        <v>467</v>
      </c>
      <c r="R721" s="596">
        <f t="shared" si="138"/>
        <v>45663</v>
      </c>
      <c r="S721" s="597">
        <f t="shared" si="139"/>
        <v>630.20000000000005</v>
      </c>
      <c r="T721" s="526">
        <f t="shared" si="140"/>
        <v>9176.1871699999992</v>
      </c>
      <c r="U721" s="598">
        <v>630.20000000000005</v>
      </c>
      <c r="V721" s="598">
        <v>9176.1871699999992</v>
      </c>
      <c r="X721" s="599">
        <v>5975.3755300000003</v>
      </c>
    </row>
    <row r="722" spans="17:24" ht="11.1" customHeight="1" x14ac:dyDescent="0.45">
      <c r="Q722" s="439">
        <f t="shared" si="137"/>
        <v>466</v>
      </c>
      <c r="R722" s="596">
        <f t="shared" si="138"/>
        <v>45664</v>
      </c>
      <c r="S722" s="597">
        <f t="shared" si="139"/>
        <v>617.89</v>
      </c>
      <c r="T722" s="526">
        <f t="shared" si="140"/>
        <v>7458.8461600000001</v>
      </c>
      <c r="U722" s="598">
        <v>617.89</v>
      </c>
      <c r="V722" s="598">
        <v>7458.8461600000001</v>
      </c>
      <c r="X722" s="599">
        <v>5909.0307499999999</v>
      </c>
    </row>
    <row r="723" spans="17:24" ht="11.1" customHeight="1" x14ac:dyDescent="0.45">
      <c r="Q723" s="439">
        <f t="shared" si="137"/>
        <v>465</v>
      </c>
      <c r="R723" s="596">
        <f t="shared" si="138"/>
        <v>45665</v>
      </c>
      <c r="S723" s="597">
        <f t="shared" si="139"/>
        <v>610.72</v>
      </c>
      <c r="T723" s="526">
        <f t="shared" si="140"/>
        <v>6159.6278700000003</v>
      </c>
      <c r="U723" s="598">
        <v>610.72</v>
      </c>
      <c r="V723" s="598">
        <v>6159.6278700000003</v>
      </c>
      <c r="X723" s="599">
        <v>5918.2478300000002</v>
      </c>
    </row>
    <row r="724" spans="17:24" ht="11.1" customHeight="1" x14ac:dyDescent="0.45">
      <c r="Q724" s="439">
        <f t="shared" si="137"/>
        <v>464</v>
      </c>
      <c r="R724" s="596">
        <f t="shared" si="138"/>
        <v>45666</v>
      </c>
      <c r="S724" s="597" t="e">
        <f t="shared" si="139"/>
        <v>#N/A</v>
      </c>
      <c r="T724" s="526" t="e">
        <f t="shared" si="140"/>
        <v>#N/A</v>
      </c>
      <c r="U724" s="598">
        <v>610.72</v>
      </c>
      <c r="V724" s="598">
        <v>0</v>
      </c>
      <c r="X724" s="599">
        <v>5918.2478300000002</v>
      </c>
    </row>
    <row r="725" spans="17:24" ht="11.1" customHeight="1" x14ac:dyDescent="0.45">
      <c r="Q725" s="439">
        <f t="shared" si="137"/>
        <v>463</v>
      </c>
      <c r="R725" s="596">
        <f t="shared" si="138"/>
        <v>45667</v>
      </c>
      <c r="S725" s="597">
        <f t="shared" si="139"/>
        <v>615.86</v>
      </c>
      <c r="T725" s="526">
        <f t="shared" si="140"/>
        <v>11859.34751</v>
      </c>
      <c r="U725" s="598">
        <v>615.86</v>
      </c>
      <c r="V725" s="598">
        <v>11859.34751</v>
      </c>
      <c r="X725" s="599">
        <v>5827.0444299999999</v>
      </c>
    </row>
    <row r="726" spans="17:24" ht="11.1" customHeight="1" x14ac:dyDescent="0.45">
      <c r="Q726" s="439">
        <f t="shared" si="137"/>
        <v>462</v>
      </c>
      <c r="R726" s="596">
        <f t="shared" si="138"/>
        <v>45668</v>
      </c>
      <c r="S726" s="597" t="e">
        <f t="shared" si="139"/>
        <v>#N/A</v>
      </c>
      <c r="T726" s="526" t="e">
        <f t="shared" si="140"/>
        <v>#N/A</v>
      </c>
      <c r="U726" s="598">
        <v>615.86</v>
      </c>
      <c r="V726" s="598">
        <v>0</v>
      </c>
      <c r="X726" s="599">
        <v>5827.0444299999999</v>
      </c>
    </row>
    <row r="727" spans="17:24" ht="11.1" customHeight="1" x14ac:dyDescent="0.45">
      <c r="Q727" s="439">
        <f t="shared" si="137"/>
        <v>461</v>
      </c>
      <c r="R727" s="596">
        <f t="shared" si="138"/>
        <v>45669</v>
      </c>
      <c r="S727" s="597" t="e">
        <f t="shared" si="139"/>
        <v>#N/A</v>
      </c>
      <c r="T727" s="526" t="e">
        <f t="shared" si="140"/>
        <v>#N/A</v>
      </c>
      <c r="U727" s="598">
        <v>615.86</v>
      </c>
      <c r="V727" s="598">
        <v>0</v>
      </c>
      <c r="X727" s="599">
        <v>5827.0444299999999</v>
      </c>
    </row>
    <row r="728" spans="17:24" ht="11.1" customHeight="1" x14ac:dyDescent="0.45">
      <c r="Q728" s="439">
        <f t="shared" si="137"/>
        <v>460</v>
      </c>
      <c r="R728" s="596">
        <f t="shared" si="138"/>
        <v>45670</v>
      </c>
      <c r="S728" s="597">
        <f t="shared" si="139"/>
        <v>608.33000000000004</v>
      </c>
      <c r="T728" s="526">
        <f t="shared" si="140"/>
        <v>6560.8579099999997</v>
      </c>
      <c r="U728" s="598">
        <v>608.33000000000004</v>
      </c>
      <c r="V728" s="598">
        <v>6560.8579099999997</v>
      </c>
      <c r="X728" s="599">
        <v>5836.2178700000004</v>
      </c>
    </row>
    <row r="729" spans="17:24" ht="11.1" customHeight="1" x14ac:dyDescent="0.45">
      <c r="Q729" s="439">
        <f t="shared" si="137"/>
        <v>459</v>
      </c>
      <c r="R729" s="596">
        <f t="shared" si="138"/>
        <v>45671</v>
      </c>
      <c r="S729" s="597">
        <f t="shared" si="139"/>
        <v>594.25</v>
      </c>
      <c r="T729" s="526">
        <f t="shared" si="140"/>
        <v>8080.6067499999999</v>
      </c>
      <c r="U729" s="598">
        <v>594.25</v>
      </c>
      <c r="V729" s="598">
        <v>8080.6067499999999</v>
      </c>
      <c r="X729" s="599">
        <v>5842.9107400000003</v>
      </c>
    </row>
    <row r="730" spans="17:24" ht="11.1" customHeight="1" x14ac:dyDescent="0.45">
      <c r="Q730" s="439">
        <f t="shared" si="137"/>
        <v>458</v>
      </c>
      <c r="R730" s="596">
        <f t="shared" si="138"/>
        <v>45672</v>
      </c>
      <c r="S730" s="597">
        <f t="shared" si="139"/>
        <v>617.12</v>
      </c>
      <c r="T730" s="526">
        <f t="shared" si="140"/>
        <v>9580.3572499999991</v>
      </c>
      <c r="U730" s="598">
        <v>617.12</v>
      </c>
      <c r="V730" s="598">
        <v>9580.3572499999991</v>
      </c>
      <c r="X730" s="599">
        <v>5949.9111199999998</v>
      </c>
    </row>
    <row r="731" spans="17:24" ht="11.1" customHeight="1" x14ac:dyDescent="0.45">
      <c r="Q731" s="439">
        <f t="shared" si="137"/>
        <v>457</v>
      </c>
      <c r="R731" s="596">
        <f t="shared" si="138"/>
        <v>45673</v>
      </c>
      <c r="S731" s="597">
        <f t="shared" si="139"/>
        <v>611.29999999999995</v>
      </c>
      <c r="T731" s="526">
        <f t="shared" si="140"/>
        <v>5107.6248400000004</v>
      </c>
      <c r="U731" s="598">
        <v>611.29999999999995</v>
      </c>
      <c r="V731" s="598">
        <v>5107.6248400000004</v>
      </c>
      <c r="X731" s="599">
        <v>5937.3404899999996</v>
      </c>
    </row>
    <row r="732" spans="17:24" ht="11.1" customHeight="1" x14ac:dyDescent="0.45">
      <c r="Q732" s="439">
        <f t="shared" si="137"/>
        <v>456</v>
      </c>
      <c r="R732" s="596">
        <f t="shared" si="138"/>
        <v>45674</v>
      </c>
      <c r="S732" s="597">
        <f t="shared" si="139"/>
        <v>612.77</v>
      </c>
      <c r="T732" s="526">
        <f t="shared" si="140"/>
        <v>10589.03326</v>
      </c>
      <c r="U732" s="598">
        <v>612.77</v>
      </c>
      <c r="V732" s="598">
        <v>10589.03326</v>
      </c>
      <c r="X732" s="599">
        <v>5996.6647499999999</v>
      </c>
    </row>
    <row r="733" spans="17:24" ht="11.1" customHeight="1" x14ac:dyDescent="0.45">
      <c r="Q733" s="439">
        <f t="shared" ref="Q733:Q796" si="141">Q734+1</f>
        <v>455</v>
      </c>
      <c r="R733" s="596">
        <f t="shared" ref="R733:R796" si="142">R734-1</f>
        <v>45675</v>
      </c>
      <c r="S733" s="597" t="e">
        <f t="shared" ref="S733:S796" si="143">IF(U733=U732,#N/A,U733)</f>
        <v>#N/A</v>
      </c>
      <c r="T733" s="526" t="e">
        <f t="shared" ref="T733:T796" si="144">IF(S733="#NV",#N/A,V733)</f>
        <v>#N/A</v>
      </c>
      <c r="U733" s="598">
        <v>612.77</v>
      </c>
      <c r="V733" s="598">
        <v>0</v>
      </c>
      <c r="X733" s="599">
        <v>5996.6647499999999</v>
      </c>
    </row>
    <row r="734" spans="17:24" ht="11.1" customHeight="1" x14ac:dyDescent="0.45">
      <c r="Q734" s="439">
        <f t="shared" si="141"/>
        <v>454</v>
      </c>
      <c r="R734" s="596">
        <f t="shared" si="142"/>
        <v>45676</v>
      </c>
      <c r="S734" s="597" t="e">
        <f t="shared" si="143"/>
        <v>#N/A</v>
      </c>
      <c r="T734" s="526" t="e">
        <f t="shared" si="144"/>
        <v>#N/A</v>
      </c>
      <c r="U734" s="598">
        <v>612.77</v>
      </c>
      <c r="V734" s="598">
        <v>0</v>
      </c>
      <c r="X734" s="599">
        <v>5996.6647499999999</v>
      </c>
    </row>
    <row r="735" spans="17:24" ht="11.1" customHeight="1" x14ac:dyDescent="0.45">
      <c r="Q735" s="439">
        <f t="shared" si="141"/>
        <v>453</v>
      </c>
      <c r="R735" s="596">
        <f t="shared" si="142"/>
        <v>45677</v>
      </c>
      <c r="S735" s="597" t="e">
        <f t="shared" si="143"/>
        <v>#N/A</v>
      </c>
      <c r="T735" s="526" t="e">
        <f t="shared" si="144"/>
        <v>#N/A</v>
      </c>
      <c r="U735" s="598">
        <v>612.77</v>
      </c>
      <c r="V735" s="598">
        <v>0</v>
      </c>
      <c r="X735" s="599">
        <v>5996.6647499999999</v>
      </c>
    </row>
    <row r="736" spans="17:24" ht="11.1" customHeight="1" x14ac:dyDescent="0.45">
      <c r="Q736" s="439">
        <f t="shared" si="141"/>
        <v>452</v>
      </c>
      <c r="R736" s="596">
        <f t="shared" si="142"/>
        <v>45678</v>
      </c>
      <c r="S736" s="597">
        <f t="shared" si="143"/>
        <v>616.46</v>
      </c>
      <c r="T736" s="526">
        <f t="shared" si="144"/>
        <v>7196.5639000000001</v>
      </c>
      <c r="U736" s="598">
        <v>616.46</v>
      </c>
      <c r="V736" s="598">
        <v>7196.5639000000001</v>
      </c>
      <c r="X736" s="599">
        <v>6049.24208</v>
      </c>
    </row>
    <row r="737" spans="17:24" ht="11.1" customHeight="1" x14ac:dyDescent="0.45">
      <c r="Q737" s="439">
        <f t="shared" si="141"/>
        <v>451</v>
      </c>
      <c r="R737" s="596">
        <f t="shared" si="142"/>
        <v>45679</v>
      </c>
      <c r="S737" s="597">
        <f t="shared" si="143"/>
        <v>623.5</v>
      </c>
      <c r="T737" s="526">
        <f t="shared" si="144"/>
        <v>7652.8458600000004</v>
      </c>
      <c r="U737" s="598">
        <v>623.5</v>
      </c>
      <c r="V737" s="598">
        <v>7652.8458600000004</v>
      </c>
      <c r="X737" s="599">
        <v>6086.3696300000001</v>
      </c>
    </row>
    <row r="738" spans="17:24" ht="11.1" customHeight="1" x14ac:dyDescent="0.45">
      <c r="Q738" s="439">
        <f t="shared" si="141"/>
        <v>450</v>
      </c>
      <c r="R738" s="596">
        <f t="shared" si="142"/>
        <v>45680</v>
      </c>
      <c r="S738" s="597">
        <f t="shared" si="143"/>
        <v>636.45000000000005</v>
      </c>
      <c r="T738" s="526">
        <f t="shared" si="144"/>
        <v>6307.3232399999997</v>
      </c>
      <c r="U738" s="598">
        <v>636.45000000000005</v>
      </c>
      <c r="V738" s="598">
        <v>6307.3232399999997</v>
      </c>
      <c r="X738" s="599">
        <v>6118.7063500000004</v>
      </c>
    </row>
    <row r="739" spans="17:24" ht="11.1" customHeight="1" x14ac:dyDescent="0.45">
      <c r="Q739" s="439">
        <f t="shared" si="141"/>
        <v>449</v>
      </c>
      <c r="R739" s="596">
        <f t="shared" si="142"/>
        <v>45681</v>
      </c>
      <c r="S739" s="597">
        <f t="shared" si="143"/>
        <v>647.49</v>
      </c>
      <c r="T739" s="526">
        <f t="shared" si="144"/>
        <v>12344.60987</v>
      </c>
      <c r="U739" s="598">
        <v>647.49</v>
      </c>
      <c r="V739" s="598">
        <v>12344.60987</v>
      </c>
      <c r="X739" s="599">
        <v>6101.2429300000003</v>
      </c>
    </row>
    <row r="740" spans="17:24" ht="11.1" customHeight="1" x14ac:dyDescent="0.45">
      <c r="Q740" s="439">
        <f t="shared" si="141"/>
        <v>448</v>
      </c>
      <c r="R740" s="596">
        <f t="shared" si="142"/>
        <v>45682</v>
      </c>
      <c r="S740" s="597" t="e">
        <f t="shared" si="143"/>
        <v>#N/A</v>
      </c>
      <c r="T740" s="526" t="e">
        <f t="shared" si="144"/>
        <v>#N/A</v>
      </c>
      <c r="U740" s="598">
        <v>647.49</v>
      </c>
      <c r="V740" s="598">
        <v>0</v>
      </c>
      <c r="X740" s="599">
        <v>6101.2429300000003</v>
      </c>
    </row>
    <row r="741" spans="17:24" ht="11.1" customHeight="1" x14ac:dyDescent="0.45">
      <c r="Q741" s="439">
        <f t="shared" si="141"/>
        <v>447</v>
      </c>
      <c r="R741" s="596">
        <f t="shared" si="142"/>
        <v>45683</v>
      </c>
      <c r="S741" s="597" t="e">
        <f t="shared" si="143"/>
        <v>#N/A</v>
      </c>
      <c r="T741" s="526" t="e">
        <f t="shared" si="144"/>
        <v>#N/A</v>
      </c>
      <c r="U741" s="598">
        <v>647.49</v>
      </c>
      <c r="V741" s="598">
        <v>0</v>
      </c>
      <c r="X741" s="599">
        <v>6101.2429300000003</v>
      </c>
    </row>
    <row r="742" spans="17:24" ht="11.1" customHeight="1" x14ac:dyDescent="0.45">
      <c r="Q742" s="439">
        <f t="shared" si="141"/>
        <v>446</v>
      </c>
      <c r="R742" s="596">
        <f t="shared" si="142"/>
        <v>45684</v>
      </c>
      <c r="S742" s="597">
        <f t="shared" si="143"/>
        <v>659.88</v>
      </c>
      <c r="T742" s="526">
        <f t="shared" si="144"/>
        <v>18740.057499999999</v>
      </c>
      <c r="U742" s="598">
        <v>659.88</v>
      </c>
      <c r="V742" s="598">
        <v>18740.057499999999</v>
      </c>
      <c r="X742" s="599">
        <v>6012.2769200000002</v>
      </c>
    </row>
    <row r="743" spans="17:24" ht="11.1" customHeight="1" x14ac:dyDescent="0.45">
      <c r="Q743" s="439">
        <f t="shared" si="141"/>
        <v>445</v>
      </c>
      <c r="R743" s="596">
        <f t="shared" si="142"/>
        <v>45685</v>
      </c>
      <c r="S743" s="597">
        <f t="shared" si="143"/>
        <v>674.33</v>
      </c>
      <c r="T743" s="526">
        <f t="shared" si="144"/>
        <v>14127.28565</v>
      </c>
      <c r="U743" s="598">
        <v>674.33</v>
      </c>
      <c r="V743" s="598">
        <v>14127.28565</v>
      </c>
      <c r="X743" s="599">
        <v>6067.69949</v>
      </c>
    </row>
    <row r="744" spans="17:24" ht="11.1" customHeight="1" x14ac:dyDescent="0.45">
      <c r="Q744" s="439">
        <f t="shared" si="141"/>
        <v>444</v>
      </c>
      <c r="R744" s="596">
        <f t="shared" si="142"/>
        <v>45686</v>
      </c>
      <c r="S744" s="597">
        <f t="shared" si="143"/>
        <v>676.49</v>
      </c>
      <c r="T744" s="526">
        <f t="shared" si="144"/>
        <v>14461.881450000001</v>
      </c>
      <c r="U744" s="598">
        <v>676.49</v>
      </c>
      <c r="V744" s="598">
        <v>14461.881450000001</v>
      </c>
      <c r="X744" s="599">
        <v>6039.3114999999998</v>
      </c>
    </row>
    <row r="745" spans="17:24" ht="11.1" customHeight="1" x14ac:dyDescent="0.45">
      <c r="Q745" s="439">
        <f t="shared" si="141"/>
        <v>443</v>
      </c>
      <c r="R745" s="596">
        <f t="shared" si="142"/>
        <v>45687</v>
      </c>
      <c r="S745" s="597">
        <f t="shared" si="143"/>
        <v>687</v>
      </c>
      <c r="T745" s="526">
        <f t="shared" si="144"/>
        <v>20144.83093</v>
      </c>
      <c r="U745" s="598">
        <v>687</v>
      </c>
      <c r="V745" s="598">
        <v>20144.83093</v>
      </c>
      <c r="X745" s="599">
        <v>6071.17454</v>
      </c>
    </row>
    <row r="746" spans="17:24" ht="11.1" customHeight="1" x14ac:dyDescent="0.45">
      <c r="Q746" s="439">
        <f t="shared" si="141"/>
        <v>442</v>
      </c>
      <c r="R746" s="596">
        <f t="shared" si="142"/>
        <v>45688</v>
      </c>
      <c r="S746" s="597">
        <f t="shared" si="143"/>
        <v>689.18</v>
      </c>
      <c r="T746" s="526">
        <f t="shared" si="144"/>
        <v>13322.99344</v>
      </c>
      <c r="U746" s="598">
        <v>689.18</v>
      </c>
      <c r="V746" s="598">
        <v>13322.99344</v>
      </c>
      <c r="X746" s="599">
        <v>6040.5259299999998</v>
      </c>
    </row>
    <row r="747" spans="17:24" ht="11.1" customHeight="1" x14ac:dyDescent="0.45">
      <c r="Q747" s="439">
        <f t="shared" si="141"/>
        <v>441</v>
      </c>
      <c r="R747" s="596">
        <f t="shared" si="142"/>
        <v>45689</v>
      </c>
      <c r="S747" s="597" t="e">
        <f t="shared" si="143"/>
        <v>#N/A</v>
      </c>
      <c r="T747" s="526" t="e">
        <f t="shared" si="144"/>
        <v>#N/A</v>
      </c>
      <c r="U747" s="598">
        <v>689.18</v>
      </c>
      <c r="V747" s="598">
        <v>0</v>
      </c>
      <c r="X747" s="599">
        <v>6040.5259299999998</v>
      </c>
    </row>
    <row r="748" spans="17:24" ht="11.1" customHeight="1" x14ac:dyDescent="0.45">
      <c r="Q748" s="439">
        <f t="shared" si="141"/>
        <v>440</v>
      </c>
      <c r="R748" s="596">
        <f t="shared" si="142"/>
        <v>45690</v>
      </c>
      <c r="S748" s="597" t="e">
        <f t="shared" si="143"/>
        <v>#N/A</v>
      </c>
      <c r="T748" s="526" t="e">
        <f t="shared" si="144"/>
        <v>#N/A</v>
      </c>
      <c r="U748" s="598">
        <v>689.18</v>
      </c>
      <c r="V748" s="598">
        <v>0</v>
      </c>
      <c r="X748" s="599">
        <v>6040.5259299999998</v>
      </c>
    </row>
    <row r="749" spans="17:24" ht="11.1" customHeight="1" x14ac:dyDescent="0.45">
      <c r="Q749" s="439">
        <f t="shared" si="141"/>
        <v>439</v>
      </c>
      <c r="R749" s="596">
        <f t="shared" si="142"/>
        <v>45691</v>
      </c>
      <c r="S749" s="597">
        <f t="shared" si="143"/>
        <v>697.46</v>
      </c>
      <c r="T749" s="526">
        <f t="shared" si="144"/>
        <v>14936.62132</v>
      </c>
      <c r="U749" s="598">
        <v>697.46</v>
      </c>
      <c r="V749" s="598">
        <v>14936.62132</v>
      </c>
      <c r="X749" s="599">
        <v>5994.56736</v>
      </c>
    </row>
    <row r="750" spans="17:24" ht="11.1" customHeight="1" x14ac:dyDescent="0.45">
      <c r="Q750" s="439">
        <f t="shared" si="141"/>
        <v>438</v>
      </c>
      <c r="R750" s="596">
        <f t="shared" si="142"/>
        <v>45692</v>
      </c>
      <c r="S750" s="597">
        <f t="shared" si="143"/>
        <v>704.19</v>
      </c>
      <c r="T750" s="526">
        <f t="shared" si="144"/>
        <v>9736.32107</v>
      </c>
      <c r="U750" s="598">
        <v>704.19</v>
      </c>
      <c r="V750" s="598">
        <v>9736.32107</v>
      </c>
      <c r="X750" s="599">
        <v>6037.8771900000002</v>
      </c>
    </row>
    <row r="751" spans="17:24" ht="11.1" customHeight="1" x14ac:dyDescent="0.45">
      <c r="Q751" s="439">
        <f t="shared" si="141"/>
        <v>437</v>
      </c>
      <c r="R751" s="596">
        <f t="shared" si="142"/>
        <v>45693</v>
      </c>
      <c r="S751" s="597">
        <f t="shared" si="143"/>
        <v>704.87</v>
      </c>
      <c r="T751" s="526">
        <f t="shared" si="144"/>
        <v>12542.29184</v>
      </c>
      <c r="U751" s="598">
        <v>704.87</v>
      </c>
      <c r="V751" s="598">
        <v>12542.29184</v>
      </c>
      <c r="X751" s="599">
        <v>6061.4807499999997</v>
      </c>
    </row>
    <row r="752" spans="17:24" ht="11.1" customHeight="1" x14ac:dyDescent="0.45">
      <c r="Q752" s="439">
        <f t="shared" si="141"/>
        <v>436</v>
      </c>
      <c r="R752" s="596">
        <f t="shared" si="142"/>
        <v>45694</v>
      </c>
      <c r="S752" s="597">
        <f t="shared" si="143"/>
        <v>711.99</v>
      </c>
      <c r="T752" s="526">
        <f t="shared" si="144"/>
        <v>9313.3204700000006</v>
      </c>
      <c r="U752" s="598">
        <v>711.99</v>
      </c>
      <c r="V752" s="598">
        <v>9313.3204700000006</v>
      </c>
      <c r="X752" s="599">
        <v>6083.5681299999997</v>
      </c>
    </row>
    <row r="753" spans="17:24" ht="11.1" customHeight="1" x14ac:dyDescent="0.45">
      <c r="Q753" s="439">
        <f t="shared" si="141"/>
        <v>435</v>
      </c>
      <c r="R753" s="596">
        <f t="shared" si="142"/>
        <v>45695</v>
      </c>
      <c r="S753" s="597">
        <f t="shared" si="143"/>
        <v>714.52</v>
      </c>
      <c r="T753" s="526">
        <f t="shared" si="144"/>
        <v>11737.467909999999</v>
      </c>
      <c r="U753" s="598">
        <v>714.52</v>
      </c>
      <c r="V753" s="598">
        <v>11737.467909999999</v>
      </c>
      <c r="X753" s="599">
        <v>6025.9924899999996</v>
      </c>
    </row>
    <row r="754" spans="17:24" ht="11.1" customHeight="1" x14ac:dyDescent="0.45">
      <c r="Q754" s="439">
        <f t="shared" si="141"/>
        <v>434</v>
      </c>
      <c r="R754" s="596">
        <f t="shared" si="142"/>
        <v>45696</v>
      </c>
      <c r="S754" s="597" t="e">
        <f t="shared" si="143"/>
        <v>#N/A</v>
      </c>
      <c r="T754" s="526" t="e">
        <f t="shared" si="144"/>
        <v>#N/A</v>
      </c>
      <c r="U754" s="598">
        <v>714.52</v>
      </c>
      <c r="V754" s="598">
        <v>0</v>
      </c>
      <c r="X754" s="599">
        <v>6025.9924899999996</v>
      </c>
    </row>
    <row r="755" spans="17:24" ht="11.1" customHeight="1" x14ac:dyDescent="0.45">
      <c r="Q755" s="439">
        <f t="shared" si="141"/>
        <v>433</v>
      </c>
      <c r="R755" s="596">
        <f t="shared" si="142"/>
        <v>45697</v>
      </c>
      <c r="S755" s="597" t="e">
        <f t="shared" si="143"/>
        <v>#N/A</v>
      </c>
      <c r="T755" s="526" t="e">
        <f t="shared" si="144"/>
        <v>#N/A</v>
      </c>
      <c r="U755" s="598">
        <v>714.52</v>
      </c>
      <c r="V755" s="598">
        <v>0</v>
      </c>
      <c r="X755" s="599">
        <v>6025.9924899999996</v>
      </c>
    </row>
    <row r="756" spans="17:24" ht="11.1" customHeight="1" x14ac:dyDescent="0.45">
      <c r="Q756" s="439">
        <f t="shared" si="141"/>
        <v>432</v>
      </c>
      <c r="R756" s="596">
        <f t="shared" si="142"/>
        <v>45698</v>
      </c>
      <c r="S756" s="597">
        <f t="shared" si="143"/>
        <v>717.4</v>
      </c>
      <c r="T756" s="526">
        <f t="shared" si="144"/>
        <v>9257.5570200000002</v>
      </c>
      <c r="U756" s="598">
        <v>717.4</v>
      </c>
      <c r="V756" s="598">
        <v>9257.5570200000002</v>
      </c>
      <c r="X756" s="599">
        <v>6066.44254</v>
      </c>
    </row>
    <row r="757" spans="17:24" ht="11.1" customHeight="1" x14ac:dyDescent="0.45">
      <c r="Q757" s="439">
        <f t="shared" si="141"/>
        <v>431</v>
      </c>
      <c r="R757" s="596">
        <f t="shared" si="142"/>
        <v>45699</v>
      </c>
      <c r="S757" s="597">
        <f t="shared" si="143"/>
        <v>719.8</v>
      </c>
      <c r="T757" s="526">
        <f t="shared" si="144"/>
        <v>9355.9308899999996</v>
      </c>
      <c r="U757" s="598">
        <v>719.8</v>
      </c>
      <c r="V757" s="598">
        <v>9355.9308899999996</v>
      </c>
      <c r="X757" s="599">
        <v>6068.50378</v>
      </c>
    </row>
    <row r="758" spans="17:24" ht="11.1" customHeight="1" x14ac:dyDescent="0.45">
      <c r="Q758" s="439">
        <f t="shared" si="141"/>
        <v>430</v>
      </c>
      <c r="R758" s="596">
        <f t="shared" si="142"/>
        <v>45700</v>
      </c>
      <c r="S758" s="597">
        <f t="shared" si="143"/>
        <v>725.38</v>
      </c>
      <c r="T758" s="526">
        <f t="shared" si="144"/>
        <v>8716.5411000000004</v>
      </c>
      <c r="U758" s="598">
        <v>725.38</v>
      </c>
      <c r="V758" s="598">
        <v>8716.5411000000004</v>
      </c>
      <c r="X758" s="599">
        <v>6051.9678100000001</v>
      </c>
    </row>
    <row r="759" spans="17:24" ht="11.1" customHeight="1" x14ac:dyDescent="0.45">
      <c r="Q759" s="439">
        <f t="shared" si="141"/>
        <v>429</v>
      </c>
      <c r="R759" s="596">
        <f t="shared" si="142"/>
        <v>45701</v>
      </c>
      <c r="S759" s="597">
        <f t="shared" si="143"/>
        <v>728.56</v>
      </c>
      <c r="T759" s="526">
        <f t="shared" si="144"/>
        <v>9157.3172699999996</v>
      </c>
      <c r="U759" s="598">
        <v>728.56</v>
      </c>
      <c r="V759" s="598">
        <v>9157.3172699999996</v>
      </c>
      <c r="X759" s="599">
        <v>6115.0715700000001</v>
      </c>
    </row>
    <row r="760" spans="17:24" ht="11.1" customHeight="1" x14ac:dyDescent="0.45">
      <c r="Q760" s="439">
        <f t="shared" si="141"/>
        <v>428</v>
      </c>
      <c r="R760" s="596">
        <f t="shared" si="142"/>
        <v>45702</v>
      </c>
      <c r="S760" s="597">
        <f t="shared" si="143"/>
        <v>736.67</v>
      </c>
      <c r="T760" s="526">
        <f t="shared" si="144"/>
        <v>12450.643099999999</v>
      </c>
      <c r="U760" s="598">
        <v>736.67</v>
      </c>
      <c r="V760" s="598">
        <v>12450.643099999999</v>
      </c>
      <c r="X760" s="599">
        <v>6114.6314700000003</v>
      </c>
    </row>
    <row r="761" spans="17:24" ht="11.1" customHeight="1" x14ac:dyDescent="0.45">
      <c r="Q761" s="439">
        <f t="shared" si="141"/>
        <v>427</v>
      </c>
      <c r="R761" s="596">
        <f t="shared" si="142"/>
        <v>45703</v>
      </c>
      <c r="S761" s="597" t="e">
        <f t="shared" si="143"/>
        <v>#N/A</v>
      </c>
      <c r="T761" s="526" t="e">
        <f t="shared" si="144"/>
        <v>#N/A</v>
      </c>
      <c r="U761" s="598">
        <v>736.67</v>
      </c>
      <c r="V761" s="598">
        <v>0</v>
      </c>
      <c r="X761" s="599">
        <v>6114.6314700000003</v>
      </c>
    </row>
    <row r="762" spans="17:24" ht="11.1" customHeight="1" x14ac:dyDescent="0.45">
      <c r="Q762" s="439">
        <f t="shared" si="141"/>
        <v>426</v>
      </c>
      <c r="R762" s="596">
        <f t="shared" si="142"/>
        <v>45704</v>
      </c>
      <c r="S762" s="597" t="e">
        <f t="shared" si="143"/>
        <v>#N/A</v>
      </c>
      <c r="T762" s="526" t="e">
        <f t="shared" si="144"/>
        <v>#N/A</v>
      </c>
      <c r="U762" s="598">
        <v>736.67</v>
      </c>
      <c r="V762" s="598">
        <v>0</v>
      </c>
      <c r="X762" s="599">
        <v>6114.6314700000003</v>
      </c>
    </row>
    <row r="763" spans="17:24" ht="11.1" customHeight="1" x14ac:dyDescent="0.45">
      <c r="Q763" s="439">
        <f t="shared" si="141"/>
        <v>425</v>
      </c>
      <c r="R763" s="596">
        <f t="shared" si="142"/>
        <v>45705</v>
      </c>
      <c r="S763" s="597" t="e">
        <f t="shared" si="143"/>
        <v>#N/A</v>
      </c>
      <c r="T763" s="526" t="e">
        <f t="shared" si="144"/>
        <v>#N/A</v>
      </c>
      <c r="U763" s="598">
        <v>736.67</v>
      </c>
      <c r="V763" s="598">
        <v>0</v>
      </c>
      <c r="X763" s="599">
        <v>6114.6314700000003</v>
      </c>
    </row>
    <row r="764" spans="17:24" ht="11.1" customHeight="1" x14ac:dyDescent="0.45">
      <c r="Q764" s="439">
        <f t="shared" si="141"/>
        <v>424</v>
      </c>
      <c r="R764" s="596">
        <f t="shared" si="142"/>
        <v>45706</v>
      </c>
      <c r="S764" s="597">
        <f t="shared" si="143"/>
        <v>716.37</v>
      </c>
      <c r="T764" s="526">
        <f t="shared" si="144"/>
        <v>15716.22867</v>
      </c>
      <c r="U764" s="598">
        <v>716.37</v>
      </c>
      <c r="V764" s="598">
        <v>15716.22867</v>
      </c>
      <c r="X764" s="599">
        <v>6129.58403</v>
      </c>
    </row>
    <row r="765" spans="17:24" ht="11.1" customHeight="1" x14ac:dyDescent="0.45">
      <c r="Q765" s="439">
        <f t="shared" si="141"/>
        <v>423</v>
      </c>
      <c r="R765" s="596">
        <f t="shared" si="142"/>
        <v>45707</v>
      </c>
      <c r="S765" s="597">
        <f t="shared" si="143"/>
        <v>703.77</v>
      </c>
      <c r="T765" s="526">
        <f t="shared" si="144"/>
        <v>12340.94476</v>
      </c>
      <c r="U765" s="598">
        <v>703.77</v>
      </c>
      <c r="V765" s="598">
        <v>12340.94476</v>
      </c>
      <c r="X765" s="599">
        <v>6144.1520399999999</v>
      </c>
    </row>
    <row r="766" spans="17:24" ht="11.1" customHeight="1" x14ac:dyDescent="0.45">
      <c r="Q766" s="439">
        <f t="shared" si="141"/>
        <v>422</v>
      </c>
      <c r="R766" s="596">
        <f t="shared" si="142"/>
        <v>45708</v>
      </c>
      <c r="S766" s="597">
        <f t="shared" si="143"/>
        <v>694.84</v>
      </c>
      <c r="T766" s="526">
        <f t="shared" si="144"/>
        <v>8746.2345800000003</v>
      </c>
      <c r="U766" s="598">
        <v>694.84</v>
      </c>
      <c r="V766" s="598">
        <v>8746.2345800000003</v>
      </c>
      <c r="X766" s="599">
        <v>6117.5207399999999</v>
      </c>
    </row>
    <row r="767" spans="17:24" ht="11.1" customHeight="1" x14ac:dyDescent="0.45">
      <c r="Q767" s="439">
        <f t="shared" si="141"/>
        <v>421</v>
      </c>
      <c r="R767" s="596">
        <f t="shared" si="142"/>
        <v>45709</v>
      </c>
      <c r="S767" s="597">
        <f t="shared" si="143"/>
        <v>683.55</v>
      </c>
      <c r="T767" s="526">
        <f t="shared" si="144"/>
        <v>10704.63566</v>
      </c>
      <c r="U767" s="598">
        <v>683.55</v>
      </c>
      <c r="V767" s="598">
        <v>10704.63566</v>
      </c>
      <c r="X767" s="599">
        <v>6013.1278599999996</v>
      </c>
    </row>
    <row r="768" spans="17:24" ht="11.1" customHeight="1" x14ac:dyDescent="0.45">
      <c r="Q768" s="439">
        <f t="shared" si="141"/>
        <v>420</v>
      </c>
      <c r="R768" s="596">
        <f t="shared" si="142"/>
        <v>45710</v>
      </c>
      <c r="S768" s="597" t="e">
        <f t="shared" si="143"/>
        <v>#N/A</v>
      </c>
      <c r="T768" s="526" t="e">
        <f t="shared" si="144"/>
        <v>#N/A</v>
      </c>
      <c r="U768" s="598">
        <v>683.55</v>
      </c>
      <c r="V768" s="598">
        <v>0</v>
      </c>
      <c r="X768" s="599">
        <v>6013.1278599999996</v>
      </c>
    </row>
    <row r="769" spans="17:24" ht="11.1" customHeight="1" x14ac:dyDescent="0.45">
      <c r="Q769" s="439">
        <f t="shared" si="141"/>
        <v>419</v>
      </c>
      <c r="R769" s="596">
        <f t="shared" si="142"/>
        <v>45711</v>
      </c>
      <c r="S769" s="597" t="e">
        <f t="shared" si="143"/>
        <v>#N/A</v>
      </c>
      <c r="T769" s="526" t="e">
        <f t="shared" si="144"/>
        <v>#N/A</v>
      </c>
      <c r="U769" s="598">
        <v>683.55</v>
      </c>
      <c r="V769" s="598">
        <v>0</v>
      </c>
      <c r="X769" s="599">
        <v>6013.1278599999996</v>
      </c>
    </row>
    <row r="770" spans="17:24" ht="11.1" customHeight="1" x14ac:dyDescent="0.45">
      <c r="Q770" s="439">
        <f t="shared" si="141"/>
        <v>418</v>
      </c>
      <c r="R770" s="596">
        <f t="shared" si="142"/>
        <v>45712</v>
      </c>
      <c r="S770" s="597">
        <f t="shared" si="143"/>
        <v>668.13</v>
      </c>
      <c r="T770" s="526">
        <f t="shared" si="144"/>
        <v>10474.27</v>
      </c>
      <c r="U770" s="598">
        <v>668.13</v>
      </c>
      <c r="V770" s="598">
        <v>10474.27</v>
      </c>
      <c r="X770" s="599">
        <v>5983.2468500000004</v>
      </c>
    </row>
    <row r="771" spans="17:24" ht="11.1" customHeight="1" x14ac:dyDescent="0.45">
      <c r="Q771" s="439">
        <f t="shared" si="141"/>
        <v>417</v>
      </c>
      <c r="R771" s="596">
        <f t="shared" si="142"/>
        <v>45713</v>
      </c>
      <c r="S771" s="597">
        <f t="shared" si="143"/>
        <v>657.5</v>
      </c>
      <c r="T771" s="526">
        <f t="shared" si="144"/>
        <v>13531.127769999999</v>
      </c>
      <c r="U771" s="598">
        <v>657.5</v>
      </c>
      <c r="V771" s="598">
        <v>13531.127769999999</v>
      </c>
      <c r="X771" s="599">
        <v>5955.2524299999995</v>
      </c>
    </row>
    <row r="772" spans="17:24" ht="11.1" customHeight="1" x14ac:dyDescent="0.45">
      <c r="Q772" s="439">
        <f t="shared" si="141"/>
        <v>416</v>
      </c>
      <c r="R772" s="596">
        <f t="shared" si="142"/>
        <v>45714</v>
      </c>
      <c r="S772" s="597">
        <f t="shared" si="143"/>
        <v>673.7</v>
      </c>
      <c r="T772" s="526">
        <f t="shared" si="144"/>
        <v>9761.0405599999995</v>
      </c>
      <c r="U772" s="598">
        <v>673.7</v>
      </c>
      <c r="V772" s="598">
        <v>9761.0405599999995</v>
      </c>
      <c r="X772" s="599">
        <v>5956.0586899999998</v>
      </c>
    </row>
    <row r="773" spans="17:24" ht="11.1" customHeight="1" x14ac:dyDescent="0.45">
      <c r="Q773" s="439">
        <f t="shared" si="141"/>
        <v>415</v>
      </c>
      <c r="R773" s="596">
        <f t="shared" si="142"/>
        <v>45715</v>
      </c>
      <c r="S773" s="597">
        <f t="shared" si="143"/>
        <v>658.24</v>
      </c>
      <c r="T773" s="526">
        <f t="shared" si="144"/>
        <v>8228.0085600000002</v>
      </c>
      <c r="U773" s="598">
        <v>658.24</v>
      </c>
      <c r="V773" s="598">
        <v>8228.0085600000002</v>
      </c>
      <c r="X773" s="599">
        <v>5861.5735800000002</v>
      </c>
    </row>
    <row r="774" spans="17:24" ht="11.1" customHeight="1" x14ac:dyDescent="0.45">
      <c r="Q774" s="439">
        <f t="shared" si="141"/>
        <v>414</v>
      </c>
      <c r="R774" s="596">
        <f t="shared" si="142"/>
        <v>45716</v>
      </c>
      <c r="S774" s="597">
        <f t="shared" si="143"/>
        <v>668.2</v>
      </c>
      <c r="T774" s="526">
        <f t="shared" si="144"/>
        <v>11716.33106</v>
      </c>
      <c r="U774" s="598">
        <v>668.2</v>
      </c>
      <c r="V774" s="598">
        <v>11716.33106</v>
      </c>
      <c r="X774" s="599">
        <v>5954.5048299999999</v>
      </c>
    </row>
    <row r="775" spans="17:24" ht="11.1" customHeight="1" x14ac:dyDescent="0.45">
      <c r="Q775" s="439">
        <f t="shared" si="141"/>
        <v>413</v>
      </c>
      <c r="R775" s="596">
        <f t="shared" si="142"/>
        <v>45717</v>
      </c>
      <c r="S775" s="597" t="e">
        <f t="shared" si="143"/>
        <v>#N/A</v>
      </c>
      <c r="T775" s="526" t="e">
        <f t="shared" si="144"/>
        <v>#N/A</v>
      </c>
      <c r="U775" s="598">
        <v>668.2</v>
      </c>
      <c r="V775" s="598">
        <v>0</v>
      </c>
      <c r="X775" s="599">
        <v>5954.5048299999999</v>
      </c>
    </row>
    <row r="776" spans="17:24" ht="11.1" customHeight="1" x14ac:dyDescent="0.45">
      <c r="Q776" s="439">
        <f t="shared" si="141"/>
        <v>412</v>
      </c>
      <c r="R776" s="596">
        <f t="shared" si="142"/>
        <v>45718</v>
      </c>
      <c r="S776" s="597" t="e">
        <f t="shared" si="143"/>
        <v>#N/A</v>
      </c>
      <c r="T776" s="526" t="e">
        <f t="shared" si="144"/>
        <v>#N/A</v>
      </c>
      <c r="U776" s="598">
        <v>668.2</v>
      </c>
      <c r="V776" s="598">
        <v>0</v>
      </c>
      <c r="X776" s="599">
        <v>5954.5048299999999</v>
      </c>
    </row>
    <row r="777" spans="17:24" ht="11.1" customHeight="1" x14ac:dyDescent="0.45">
      <c r="Q777" s="439">
        <f t="shared" si="141"/>
        <v>411</v>
      </c>
      <c r="R777" s="596">
        <f t="shared" si="142"/>
        <v>45719</v>
      </c>
      <c r="S777" s="597">
        <f t="shared" si="143"/>
        <v>655.04999999999995</v>
      </c>
      <c r="T777" s="526">
        <f t="shared" si="144"/>
        <v>7103.2069499999998</v>
      </c>
      <c r="U777" s="598">
        <v>655.04999999999995</v>
      </c>
      <c r="V777" s="598">
        <v>7103.2069499999998</v>
      </c>
      <c r="X777" s="599">
        <v>5849.7194200000004</v>
      </c>
    </row>
    <row r="778" spans="17:24" ht="11.1" customHeight="1" x14ac:dyDescent="0.45">
      <c r="Q778" s="439">
        <f t="shared" si="141"/>
        <v>410</v>
      </c>
      <c r="R778" s="596">
        <f t="shared" si="142"/>
        <v>45720</v>
      </c>
      <c r="S778" s="597">
        <f t="shared" si="143"/>
        <v>640</v>
      </c>
      <c r="T778" s="526">
        <f t="shared" si="144"/>
        <v>13756.93312</v>
      </c>
      <c r="U778" s="598">
        <v>640</v>
      </c>
      <c r="V778" s="598">
        <v>13756.93312</v>
      </c>
      <c r="X778" s="599">
        <v>5778.1491900000001</v>
      </c>
    </row>
    <row r="779" spans="17:24" ht="11.1" customHeight="1" x14ac:dyDescent="0.45">
      <c r="Q779" s="439">
        <f t="shared" si="141"/>
        <v>409</v>
      </c>
      <c r="R779" s="596">
        <f t="shared" si="142"/>
        <v>45721</v>
      </c>
      <c r="S779" s="597">
        <f t="shared" si="143"/>
        <v>656.47</v>
      </c>
      <c r="T779" s="526">
        <f t="shared" si="144"/>
        <v>9039.6089699999993</v>
      </c>
      <c r="U779" s="598">
        <v>656.47</v>
      </c>
      <c r="V779" s="598">
        <v>9039.6089699999993</v>
      </c>
      <c r="X779" s="599">
        <v>5842.6254900000004</v>
      </c>
    </row>
    <row r="780" spans="17:24" ht="11.1" customHeight="1" x14ac:dyDescent="0.45">
      <c r="Q780" s="439">
        <f t="shared" si="141"/>
        <v>408</v>
      </c>
      <c r="R780" s="596">
        <f t="shared" si="142"/>
        <v>45722</v>
      </c>
      <c r="S780" s="597">
        <f t="shared" si="143"/>
        <v>627.92999999999995</v>
      </c>
      <c r="T780" s="526">
        <f t="shared" si="144"/>
        <v>8443.4318600000006</v>
      </c>
      <c r="U780" s="598">
        <v>627.92999999999995</v>
      </c>
      <c r="V780" s="598">
        <v>8443.4318600000006</v>
      </c>
      <c r="X780" s="599">
        <v>5738.5187100000003</v>
      </c>
    </row>
    <row r="781" spans="17:24" ht="11.1" customHeight="1" x14ac:dyDescent="0.45">
      <c r="Q781" s="439">
        <f t="shared" si="141"/>
        <v>407</v>
      </c>
      <c r="R781" s="596">
        <f t="shared" si="142"/>
        <v>45723</v>
      </c>
      <c r="S781" s="597">
        <f t="shared" si="143"/>
        <v>625.66</v>
      </c>
      <c r="T781" s="526">
        <f t="shared" si="144"/>
        <v>13373.902319999999</v>
      </c>
      <c r="U781" s="598">
        <v>625.66</v>
      </c>
      <c r="V781" s="598">
        <v>13373.902319999999</v>
      </c>
      <c r="X781" s="599">
        <v>5770.1956099999998</v>
      </c>
    </row>
    <row r="782" spans="17:24" ht="11.1" customHeight="1" x14ac:dyDescent="0.45">
      <c r="Q782" s="439">
        <f t="shared" si="141"/>
        <v>406</v>
      </c>
      <c r="R782" s="596">
        <f t="shared" si="142"/>
        <v>45724</v>
      </c>
      <c r="S782" s="597" t="e">
        <f t="shared" si="143"/>
        <v>#N/A</v>
      </c>
      <c r="T782" s="526" t="e">
        <f t="shared" si="144"/>
        <v>#N/A</v>
      </c>
      <c r="U782" s="598">
        <v>625.66</v>
      </c>
      <c r="V782" s="598">
        <v>0</v>
      </c>
      <c r="X782" s="599">
        <v>5770.1956099999998</v>
      </c>
    </row>
    <row r="783" spans="17:24" ht="11.1" customHeight="1" x14ac:dyDescent="0.45">
      <c r="Q783" s="439">
        <f t="shared" si="141"/>
        <v>405</v>
      </c>
      <c r="R783" s="596">
        <f t="shared" si="142"/>
        <v>45725</v>
      </c>
      <c r="S783" s="597" t="e">
        <f t="shared" si="143"/>
        <v>#N/A</v>
      </c>
      <c r="T783" s="526" t="e">
        <f t="shared" si="144"/>
        <v>#N/A</v>
      </c>
      <c r="U783" s="598">
        <v>625.66</v>
      </c>
      <c r="V783" s="598">
        <v>0</v>
      </c>
      <c r="X783" s="599">
        <v>5770.1956099999998</v>
      </c>
    </row>
    <row r="784" spans="17:24" ht="11.1" customHeight="1" x14ac:dyDescent="0.45">
      <c r="Q784" s="439">
        <f t="shared" si="141"/>
        <v>404</v>
      </c>
      <c r="R784" s="596">
        <f t="shared" si="142"/>
        <v>45726</v>
      </c>
      <c r="S784" s="597">
        <f t="shared" si="143"/>
        <v>597.99</v>
      </c>
      <c r="T784" s="526">
        <f t="shared" si="144"/>
        <v>13155.745919999999</v>
      </c>
      <c r="U784" s="598">
        <v>597.99</v>
      </c>
      <c r="V784" s="598">
        <v>13155.745919999999</v>
      </c>
      <c r="X784" s="599">
        <v>5614.5635499999999</v>
      </c>
    </row>
    <row r="785" spans="17:24" ht="11.1" customHeight="1" x14ac:dyDescent="0.45">
      <c r="Q785" s="439">
        <f t="shared" si="141"/>
        <v>403</v>
      </c>
      <c r="R785" s="596">
        <f t="shared" si="142"/>
        <v>45727</v>
      </c>
      <c r="S785" s="597">
        <f t="shared" si="143"/>
        <v>605.71</v>
      </c>
      <c r="T785" s="526">
        <f t="shared" si="144"/>
        <v>10540.24379</v>
      </c>
      <c r="U785" s="598">
        <v>605.71</v>
      </c>
      <c r="V785" s="598">
        <v>10540.24379</v>
      </c>
      <c r="X785" s="599">
        <v>5572.0699199999999</v>
      </c>
    </row>
    <row r="786" spans="17:24" ht="11.1" customHeight="1" x14ac:dyDescent="0.45">
      <c r="Q786" s="439">
        <f t="shared" si="141"/>
        <v>402</v>
      </c>
      <c r="R786" s="596">
        <f t="shared" si="142"/>
        <v>45728</v>
      </c>
      <c r="S786" s="597">
        <f t="shared" si="143"/>
        <v>619.55999999999995</v>
      </c>
      <c r="T786" s="526">
        <f t="shared" si="144"/>
        <v>9756.1902599999994</v>
      </c>
      <c r="U786" s="598">
        <v>619.55999999999995</v>
      </c>
      <c r="V786" s="598">
        <v>9756.1902599999994</v>
      </c>
      <c r="X786" s="599">
        <v>5599.30026</v>
      </c>
    </row>
    <row r="787" spans="17:24" ht="11.1" customHeight="1" x14ac:dyDescent="0.45">
      <c r="Q787" s="439">
        <f t="shared" si="141"/>
        <v>401</v>
      </c>
      <c r="R787" s="596">
        <f t="shared" si="142"/>
        <v>45729</v>
      </c>
      <c r="S787" s="597">
        <f t="shared" si="143"/>
        <v>590.64</v>
      </c>
      <c r="T787" s="526">
        <f t="shared" si="144"/>
        <v>9733.9385700000003</v>
      </c>
      <c r="U787" s="598">
        <v>590.64</v>
      </c>
      <c r="V787" s="598">
        <v>9733.9385700000003</v>
      </c>
      <c r="X787" s="599">
        <v>5521.5192999999999</v>
      </c>
    </row>
    <row r="788" spans="17:24" ht="11.1" customHeight="1" x14ac:dyDescent="0.45">
      <c r="Q788" s="439">
        <f t="shared" si="141"/>
        <v>400</v>
      </c>
      <c r="R788" s="596">
        <f t="shared" si="142"/>
        <v>45730</v>
      </c>
      <c r="S788" s="597">
        <f t="shared" si="143"/>
        <v>607.6</v>
      </c>
      <c r="T788" s="526">
        <f t="shared" si="144"/>
        <v>7512.6732400000001</v>
      </c>
      <c r="U788" s="598">
        <v>607.6</v>
      </c>
      <c r="V788" s="598">
        <v>7512.6732400000001</v>
      </c>
      <c r="X788" s="599">
        <v>5638.9401699999999</v>
      </c>
    </row>
    <row r="789" spans="17:24" ht="11.1" customHeight="1" x14ac:dyDescent="0.45">
      <c r="Q789" s="439">
        <f t="shared" si="141"/>
        <v>399</v>
      </c>
      <c r="R789" s="596">
        <f t="shared" si="142"/>
        <v>45731</v>
      </c>
      <c r="S789" s="597" t="e">
        <f t="shared" si="143"/>
        <v>#N/A</v>
      </c>
      <c r="T789" s="526" t="e">
        <f t="shared" si="144"/>
        <v>#N/A</v>
      </c>
      <c r="U789" s="598">
        <v>607.6</v>
      </c>
      <c r="V789" s="598">
        <v>0</v>
      </c>
      <c r="X789" s="599">
        <v>5638.9401699999999</v>
      </c>
    </row>
    <row r="790" spans="17:24" ht="11.1" customHeight="1" x14ac:dyDescent="0.45">
      <c r="Q790" s="439">
        <f t="shared" si="141"/>
        <v>398</v>
      </c>
      <c r="R790" s="596">
        <f t="shared" si="142"/>
        <v>45732</v>
      </c>
      <c r="S790" s="597" t="e">
        <f t="shared" si="143"/>
        <v>#N/A</v>
      </c>
      <c r="T790" s="526" t="e">
        <f t="shared" si="144"/>
        <v>#N/A</v>
      </c>
      <c r="U790" s="598">
        <v>607.6</v>
      </c>
      <c r="V790" s="598">
        <v>0</v>
      </c>
      <c r="X790" s="599">
        <v>5638.9401699999999</v>
      </c>
    </row>
    <row r="791" spans="17:24" ht="11.1" customHeight="1" x14ac:dyDescent="0.45">
      <c r="Q791" s="439">
        <f t="shared" si="141"/>
        <v>397</v>
      </c>
      <c r="R791" s="596">
        <f t="shared" si="142"/>
        <v>45733</v>
      </c>
      <c r="S791" s="597">
        <f t="shared" si="143"/>
        <v>604.9</v>
      </c>
      <c r="T791" s="526">
        <f t="shared" si="144"/>
        <v>9360.1675500000001</v>
      </c>
      <c r="U791" s="598">
        <v>604.9</v>
      </c>
      <c r="V791" s="598">
        <v>9360.1675500000001</v>
      </c>
      <c r="X791" s="599">
        <v>5675.1173200000003</v>
      </c>
    </row>
    <row r="792" spans="17:24" ht="11.1" customHeight="1" x14ac:dyDescent="0.45">
      <c r="Q792" s="439">
        <f t="shared" si="141"/>
        <v>396</v>
      </c>
      <c r="R792" s="596">
        <f t="shared" si="142"/>
        <v>45734</v>
      </c>
      <c r="S792" s="597">
        <f t="shared" si="143"/>
        <v>582.36</v>
      </c>
      <c r="T792" s="526">
        <f t="shared" si="144"/>
        <v>11820.57323</v>
      </c>
      <c r="U792" s="598">
        <v>582.36</v>
      </c>
      <c r="V792" s="598">
        <v>11820.57323</v>
      </c>
      <c r="X792" s="599">
        <v>5614.66201</v>
      </c>
    </row>
    <row r="793" spans="17:24" ht="11.1" customHeight="1" x14ac:dyDescent="0.45">
      <c r="Q793" s="439">
        <f t="shared" si="141"/>
        <v>395</v>
      </c>
      <c r="R793" s="596">
        <f t="shared" si="142"/>
        <v>45735</v>
      </c>
      <c r="S793" s="597">
        <f t="shared" si="143"/>
        <v>584.05999999999995</v>
      </c>
      <c r="T793" s="526">
        <f t="shared" si="144"/>
        <v>11995.131079999999</v>
      </c>
      <c r="U793" s="598">
        <v>584.05999999999995</v>
      </c>
      <c r="V793" s="598">
        <v>11995.131079999999</v>
      </c>
      <c r="X793" s="599">
        <v>5675.2871699999996</v>
      </c>
    </row>
    <row r="794" spans="17:24" ht="11.1" customHeight="1" x14ac:dyDescent="0.45">
      <c r="Q794" s="439">
        <f t="shared" si="141"/>
        <v>394</v>
      </c>
      <c r="R794" s="596">
        <f t="shared" si="142"/>
        <v>45736</v>
      </c>
      <c r="S794" s="597">
        <f t="shared" si="143"/>
        <v>586</v>
      </c>
      <c r="T794" s="526">
        <f t="shared" si="144"/>
        <v>14261.191930000001</v>
      </c>
      <c r="U794" s="598">
        <v>586</v>
      </c>
      <c r="V794" s="598">
        <v>14261.191930000001</v>
      </c>
      <c r="X794" s="599">
        <v>5662.8905299999997</v>
      </c>
    </row>
    <row r="795" spans="17:24" ht="11.1" customHeight="1" x14ac:dyDescent="0.45">
      <c r="Q795" s="439">
        <f t="shared" si="141"/>
        <v>393</v>
      </c>
      <c r="R795" s="596">
        <f t="shared" si="142"/>
        <v>45737</v>
      </c>
      <c r="S795" s="597">
        <f t="shared" si="143"/>
        <v>596.25</v>
      </c>
      <c r="T795" s="526">
        <f t="shared" si="144"/>
        <v>14915.708909999999</v>
      </c>
      <c r="U795" s="598">
        <v>596.25</v>
      </c>
      <c r="V795" s="598">
        <v>14915.708909999999</v>
      </c>
      <c r="X795" s="599">
        <v>5667.5642699999999</v>
      </c>
    </row>
    <row r="796" spans="17:24" ht="11.1" customHeight="1" x14ac:dyDescent="0.45">
      <c r="Q796" s="439">
        <f t="shared" si="141"/>
        <v>392</v>
      </c>
      <c r="R796" s="596">
        <f t="shared" si="142"/>
        <v>45738</v>
      </c>
      <c r="S796" s="597" t="e">
        <f t="shared" si="143"/>
        <v>#N/A</v>
      </c>
      <c r="T796" s="526" t="e">
        <f t="shared" si="144"/>
        <v>#N/A</v>
      </c>
      <c r="U796" s="598">
        <v>596.25</v>
      </c>
      <c r="V796" s="598">
        <v>0</v>
      </c>
      <c r="X796" s="599">
        <v>5667.5642699999999</v>
      </c>
    </row>
    <row r="797" spans="17:24" ht="11.1" customHeight="1" x14ac:dyDescent="0.45">
      <c r="Q797" s="439">
        <f t="shared" ref="Q797:Q860" si="145">Q798+1</f>
        <v>391</v>
      </c>
      <c r="R797" s="596">
        <f t="shared" ref="R797:R860" si="146">R798-1</f>
        <v>45739</v>
      </c>
      <c r="S797" s="597" t="e">
        <f t="shared" ref="S797:S860" si="147">IF(U797=U796,#N/A,U797)</f>
        <v>#N/A</v>
      </c>
      <c r="T797" s="526" t="e">
        <f t="shared" ref="T797:T860" si="148">IF(S797="#NV",#N/A,V797)</f>
        <v>#N/A</v>
      </c>
      <c r="U797" s="598">
        <v>596.25</v>
      </c>
      <c r="V797" s="598">
        <v>0</v>
      </c>
      <c r="X797" s="599">
        <v>5667.5642699999999</v>
      </c>
    </row>
    <row r="798" spans="17:24" ht="11.1" customHeight="1" x14ac:dyDescent="0.45">
      <c r="Q798" s="439">
        <f t="shared" si="145"/>
        <v>390</v>
      </c>
      <c r="R798" s="596">
        <f t="shared" si="146"/>
        <v>45740</v>
      </c>
      <c r="S798" s="597">
        <f t="shared" si="147"/>
        <v>618.85</v>
      </c>
      <c r="T798" s="526">
        <f t="shared" si="148"/>
        <v>9741.4874199999995</v>
      </c>
      <c r="U798" s="598">
        <v>618.85</v>
      </c>
      <c r="V798" s="598">
        <v>9741.4874199999995</v>
      </c>
      <c r="X798" s="599">
        <v>5767.5671000000002</v>
      </c>
    </row>
    <row r="799" spans="17:24" ht="11.1" customHeight="1" x14ac:dyDescent="0.45">
      <c r="Q799" s="439">
        <f t="shared" si="145"/>
        <v>389</v>
      </c>
      <c r="R799" s="596">
        <f t="shared" si="146"/>
        <v>45741</v>
      </c>
      <c r="S799" s="597">
        <f t="shared" si="147"/>
        <v>626.30999999999995</v>
      </c>
      <c r="T799" s="526">
        <f t="shared" si="148"/>
        <v>9590.3969300000008</v>
      </c>
      <c r="U799" s="598">
        <v>626.30999999999995</v>
      </c>
      <c r="V799" s="598">
        <v>9590.3969300000008</v>
      </c>
      <c r="X799" s="599">
        <v>5776.6512899999998</v>
      </c>
    </row>
    <row r="800" spans="17:24" ht="11.1" customHeight="1" x14ac:dyDescent="0.45">
      <c r="Q800" s="439">
        <f t="shared" si="145"/>
        <v>388</v>
      </c>
      <c r="R800" s="596">
        <f t="shared" si="146"/>
        <v>45742</v>
      </c>
      <c r="S800" s="597">
        <f t="shared" si="147"/>
        <v>610.98</v>
      </c>
      <c r="T800" s="526">
        <f t="shared" si="148"/>
        <v>7736.1621599999999</v>
      </c>
      <c r="U800" s="598">
        <v>610.98</v>
      </c>
      <c r="V800" s="598">
        <v>7736.1621599999999</v>
      </c>
      <c r="X800" s="599">
        <v>5712.2034299999996</v>
      </c>
    </row>
    <row r="801" spans="17:24" ht="11.1" customHeight="1" x14ac:dyDescent="0.45">
      <c r="Q801" s="439">
        <f t="shared" si="145"/>
        <v>387</v>
      </c>
      <c r="R801" s="596">
        <f t="shared" si="146"/>
        <v>45743</v>
      </c>
      <c r="S801" s="597">
        <f t="shared" si="147"/>
        <v>602.58000000000004</v>
      </c>
      <c r="T801" s="526">
        <f t="shared" si="148"/>
        <v>6288.8406299999997</v>
      </c>
      <c r="U801" s="598">
        <v>602.58000000000004</v>
      </c>
      <c r="V801" s="598">
        <v>6288.8406299999997</v>
      </c>
      <c r="X801" s="599">
        <v>5693.3126499999998</v>
      </c>
    </row>
    <row r="802" spans="17:24" ht="11.1" customHeight="1" x14ac:dyDescent="0.45">
      <c r="Q802" s="439">
        <f t="shared" si="145"/>
        <v>386</v>
      </c>
      <c r="R802" s="596">
        <f t="shared" si="146"/>
        <v>45744</v>
      </c>
      <c r="S802" s="597">
        <f t="shared" si="147"/>
        <v>576.74</v>
      </c>
      <c r="T802" s="526">
        <f t="shared" si="148"/>
        <v>10152.252140000001</v>
      </c>
      <c r="U802" s="598">
        <v>576.74</v>
      </c>
      <c r="V802" s="598">
        <v>10152.252140000001</v>
      </c>
      <c r="X802" s="599">
        <v>5580.9435800000001</v>
      </c>
    </row>
    <row r="803" spans="17:24" ht="11.1" customHeight="1" x14ac:dyDescent="0.45">
      <c r="Q803" s="439">
        <f t="shared" si="145"/>
        <v>385</v>
      </c>
      <c r="R803" s="596">
        <f t="shared" si="146"/>
        <v>45745</v>
      </c>
      <c r="S803" s="597" t="e">
        <f t="shared" si="147"/>
        <v>#N/A</v>
      </c>
      <c r="T803" s="526" t="e">
        <f t="shared" si="148"/>
        <v>#N/A</v>
      </c>
      <c r="U803" s="598">
        <v>576.74</v>
      </c>
      <c r="V803" s="598">
        <v>0</v>
      </c>
      <c r="X803" s="599">
        <v>5580.9435800000001</v>
      </c>
    </row>
    <row r="804" spans="17:24" ht="11.1" customHeight="1" x14ac:dyDescent="0.45">
      <c r="Q804" s="439">
        <f t="shared" si="145"/>
        <v>384</v>
      </c>
      <c r="R804" s="596">
        <f t="shared" si="146"/>
        <v>45746</v>
      </c>
      <c r="S804" s="597" t="e">
        <f t="shared" si="147"/>
        <v>#N/A</v>
      </c>
      <c r="T804" s="526" t="e">
        <f t="shared" si="148"/>
        <v>#N/A</v>
      </c>
      <c r="U804" s="598">
        <v>576.74</v>
      </c>
      <c r="V804" s="598">
        <v>0</v>
      </c>
      <c r="X804" s="599">
        <v>5580.9435800000001</v>
      </c>
    </row>
    <row r="805" spans="17:24" ht="11.1" customHeight="1" x14ac:dyDescent="0.45">
      <c r="Q805" s="439">
        <f t="shared" si="145"/>
        <v>383</v>
      </c>
      <c r="R805" s="596">
        <f t="shared" si="146"/>
        <v>45747</v>
      </c>
      <c r="S805" s="597">
        <f t="shared" si="147"/>
        <v>576.36</v>
      </c>
      <c r="T805" s="526">
        <f t="shared" si="148"/>
        <v>12175.41884</v>
      </c>
      <c r="U805" s="598">
        <v>576.36</v>
      </c>
      <c r="V805" s="598">
        <v>12175.41884</v>
      </c>
      <c r="X805" s="599">
        <v>5611.8526099999999</v>
      </c>
    </row>
    <row r="806" spans="17:24" ht="11.1" customHeight="1" x14ac:dyDescent="0.45">
      <c r="Q806" s="439">
        <f t="shared" si="145"/>
        <v>382</v>
      </c>
      <c r="R806" s="596">
        <f t="shared" si="146"/>
        <v>45748</v>
      </c>
      <c r="S806" s="597">
        <f t="shared" si="147"/>
        <v>586</v>
      </c>
      <c r="T806" s="526">
        <f t="shared" si="148"/>
        <v>7522.23236</v>
      </c>
      <c r="U806" s="598">
        <v>586</v>
      </c>
      <c r="V806" s="598">
        <v>7522.23236</v>
      </c>
      <c r="X806" s="599">
        <v>5633.0696900000003</v>
      </c>
    </row>
    <row r="807" spans="17:24" ht="11.1" customHeight="1" x14ac:dyDescent="0.45">
      <c r="Q807" s="439">
        <f t="shared" si="145"/>
        <v>381</v>
      </c>
      <c r="R807" s="596">
        <f t="shared" si="146"/>
        <v>45749</v>
      </c>
      <c r="S807" s="597">
        <f t="shared" si="147"/>
        <v>583.92999999999995</v>
      </c>
      <c r="T807" s="526">
        <f t="shared" si="148"/>
        <v>7865.9913999999999</v>
      </c>
      <c r="U807" s="598">
        <v>583.92999999999995</v>
      </c>
      <c r="V807" s="598">
        <v>7865.9913999999999</v>
      </c>
      <c r="X807" s="599">
        <v>5670.9736199999998</v>
      </c>
    </row>
    <row r="808" spans="17:24" ht="11.1" customHeight="1" x14ac:dyDescent="0.45">
      <c r="Q808" s="439">
        <f t="shared" si="145"/>
        <v>380</v>
      </c>
      <c r="R808" s="596">
        <f t="shared" si="146"/>
        <v>45750</v>
      </c>
      <c r="S808" s="597">
        <f t="shared" si="147"/>
        <v>531.62</v>
      </c>
      <c r="T808" s="526">
        <f t="shared" si="148"/>
        <v>18488.39329</v>
      </c>
      <c r="U808" s="598">
        <v>531.62</v>
      </c>
      <c r="V808" s="598">
        <v>18488.39329</v>
      </c>
      <c r="X808" s="599">
        <v>5396.5168000000003</v>
      </c>
    </row>
    <row r="809" spans="17:24" ht="11.1" customHeight="1" x14ac:dyDescent="0.45">
      <c r="Q809" s="439">
        <f t="shared" si="145"/>
        <v>379</v>
      </c>
      <c r="R809" s="596">
        <f t="shared" si="146"/>
        <v>45751</v>
      </c>
      <c r="S809" s="597">
        <f t="shared" si="147"/>
        <v>504.73</v>
      </c>
      <c r="T809" s="526">
        <f t="shared" si="148"/>
        <v>19477.436819999999</v>
      </c>
      <c r="U809" s="598">
        <v>504.73</v>
      </c>
      <c r="V809" s="598">
        <v>19477.436819999999</v>
      </c>
      <c r="X809" s="599">
        <v>5074.0756300000003</v>
      </c>
    </row>
    <row r="810" spans="17:24" ht="11.1" customHeight="1" x14ac:dyDescent="0.45">
      <c r="Q810" s="439">
        <f t="shared" si="145"/>
        <v>378</v>
      </c>
      <c r="R810" s="596">
        <f t="shared" si="146"/>
        <v>45752</v>
      </c>
      <c r="S810" s="597" t="e">
        <f t="shared" si="147"/>
        <v>#N/A</v>
      </c>
      <c r="T810" s="526" t="e">
        <f t="shared" si="148"/>
        <v>#N/A</v>
      </c>
      <c r="U810" s="598">
        <v>504.73</v>
      </c>
      <c r="V810" s="598">
        <v>0</v>
      </c>
      <c r="X810" s="599">
        <v>5074.0756300000003</v>
      </c>
    </row>
    <row r="811" spans="17:24" ht="11.1" customHeight="1" x14ac:dyDescent="0.45">
      <c r="Q811" s="439">
        <f t="shared" si="145"/>
        <v>377</v>
      </c>
      <c r="R811" s="596">
        <f t="shared" si="146"/>
        <v>45753</v>
      </c>
      <c r="S811" s="597" t="e">
        <f t="shared" si="147"/>
        <v>#N/A</v>
      </c>
      <c r="T811" s="526" t="e">
        <f t="shared" si="148"/>
        <v>#N/A</v>
      </c>
      <c r="U811" s="598">
        <v>504.73</v>
      </c>
      <c r="V811" s="598">
        <v>0</v>
      </c>
      <c r="X811" s="599">
        <v>5074.0756300000003</v>
      </c>
    </row>
    <row r="812" spans="17:24" ht="11.1" customHeight="1" x14ac:dyDescent="0.45">
      <c r="Q812" s="439">
        <f t="shared" si="145"/>
        <v>376</v>
      </c>
      <c r="R812" s="596">
        <f t="shared" si="146"/>
        <v>45754</v>
      </c>
      <c r="S812" s="597">
        <f t="shared" si="147"/>
        <v>516.25</v>
      </c>
      <c r="T812" s="526">
        <f t="shared" si="148"/>
        <v>18897.917710000002</v>
      </c>
      <c r="U812" s="598">
        <v>516.25</v>
      </c>
      <c r="V812" s="598">
        <v>18897.917710000002</v>
      </c>
      <c r="X812" s="599">
        <v>5062.2455200000004</v>
      </c>
    </row>
    <row r="813" spans="17:24" ht="11.1" customHeight="1" x14ac:dyDescent="0.45">
      <c r="Q813" s="439">
        <f t="shared" si="145"/>
        <v>375</v>
      </c>
      <c r="R813" s="596">
        <f t="shared" si="146"/>
        <v>45755</v>
      </c>
      <c r="S813" s="597">
        <f t="shared" si="147"/>
        <v>510.45</v>
      </c>
      <c r="T813" s="526">
        <f t="shared" si="148"/>
        <v>14310.06301</v>
      </c>
      <c r="U813" s="598">
        <v>510.45</v>
      </c>
      <c r="V813" s="598">
        <v>14310.06301</v>
      </c>
      <c r="X813" s="599">
        <v>4982.7703099999999</v>
      </c>
    </row>
    <row r="814" spans="17:24" ht="11.1" customHeight="1" x14ac:dyDescent="0.45">
      <c r="Q814" s="439">
        <f t="shared" si="145"/>
        <v>374</v>
      </c>
      <c r="R814" s="596">
        <f t="shared" si="146"/>
        <v>45756</v>
      </c>
      <c r="S814" s="597">
        <f t="shared" si="147"/>
        <v>585.77</v>
      </c>
      <c r="T814" s="526">
        <f t="shared" si="148"/>
        <v>22971.894899999999</v>
      </c>
      <c r="U814" s="598">
        <v>585.77</v>
      </c>
      <c r="V814" s="598">
        <v>22971.894899999999</v>
      </c>
      <c r="X814" s="599">
        <v>5456.9006900000004</v>
      </c>
    </row>
    <row r="815" spans="17:24" ht="11.1" customHeight="1" x14ac:dyDescent="0.45">
      <c r="Q815" s="439">
        <f t="shared" si="145"/>
        <v>373</v>
      </c>
      <c r="R815" s="596">
        <f t="shared" si="146"/>
        <v>45757</v>
      </c>
      <c r="S815" s="597">
        <f t="shared" si="147"/>
        <v>546.29</v>
      </c>
      <c r="T815" s="526">
        <f t="shared" si="148"/>
        <v>15390.8964</v>
      </c>
      <c r="U815" s="598">
        <v>546.29</v>
      </c>
      <c r="V815" s="598">
        <v>15390.8964</v>
      </c>
      <c r="X815" s="599">
        <v>5268.0543799999996</v>
      </c>
    </row>
    <row r="816" spans="17:24" ht="11.1" customHeight="1" x14ac:dyDescent="0.45">
      <c r="Q816" s="439">
        <f t="shared" si="145"/>
        <v>372</v>
      </c>
      <c r="R816" s="596">
        <f t="shared" si="146"/>
        <v>45758</v>
      </c>
      <c r="S816" s="597">
        <f t="shared" si="147"/>
        <v>543.57000000000005</v>
      </c>
      <c r="T816" s="526">
        <f t="shared" si="148"/>
        <v>9589.8396900000007</v>
      </c>
      <c r="U816" s="598">
        <v>543.57000000000005</v>
      </c>
      <c r="V816" s="598">
        <v>9589.8396900000007</v>
      </c>
      <c r="X816" s="599">
        <v>5363.3594800000001</v>
      </c>
    </row>
    <row r="817" spans="17:24" ht="11.1" customHeight="1" x14ac:dyDescent="0.45">
      <c r="Q817" s="439">
        <f t="shared" si="145"/>
        <v>371</v>
      </c>
      <c r="R817" s="596">
        <f t="shared" si="146"/>
        <v>45759</v>
      </c>
      <c r="S817" s="597" t="e">
        <f t="shared" si="147"/>
        <v>#N/A</v>
      </c>
      <c r="T817" s="526" t="e">
        <f t="shared" si="148"/>
        <v>#N/A</v>
      </c>
      <c r="U817" s="598">
        <v>543.57000000000005</v>
      </c>
      <c r="V817" s="598">
        <v>0</v>
      </c>
      <c r="X817" s="599">
        <v>5363.3594800000001</v>
      </c>
    </row>
    <row r="818" spans="17:24" ht="11.1" customHeight="1" x14ac:dyDescent="0.45">
      <c r="Q818" s="439">
        <f t="shared" si="145"/>
        <v>370</v>
      </c>
      <c r="R818" s="596">
        <f t="shared" si="146"/>
        <v>45760</v>
      </c>
      <c r="S818" s="597" t="e">
        <f t="shared" si="147"/>
        <v>#N/A</v>
      </c>
      <c r="T818" s="526" t="e">
        <f t="shared" si="148"/>
        <v>#N/A</v>
      </c>
      <c r="U818" s="598">
        <v>543.57000000000005</v>
      </c>
      <c r="V818" s="598">
        <v>0</v>
      </c>
      <c r="X818" s="599">
        <v>5363.3594800000001</v>
      </c>
    </row>
    <row r="819" spans="17:24" ht="11.1" customHeight="1" x14ac:dyDescent="0.45">
      <c r="Q819" s="439">
        <f t="shared" si="145"/>
        <v>369</v>
      </c>
      <c r="R819" s="596">
        <f t="shared" si="146"/>
        <v>45761</v>
      </c>
      <c r="S819" s="597">
        <f t="shared" si="147"/>
        <v>531.48</v>
      </c>
      <c r="T819" s="526">
        <f t="shared" si="148"/>
        <v>7510.3056100000003</v>
      </c>
      <c r="U819" s="598">
        <v>531.48</v>
      </c>
      <c r="V819" s="598">
        <v>7510.3056100000003</v>
      </c>
      <c r="X819" s="599">
        <v>5405.9711900000002</v>
      </c>
    </row>
    <row r="820" spans="17:24" ht="11.1" customHeight="1" x14ac:dyDescent="0.45">
      <c r="Q820" s="439">
        <f t="shared" si="145"/>
        <v>368</v>
      </c>
      <c r="R820" s="596">
        <f t="shared" si="146"/>
        <v>45762</v>
      </c>
      <c r="S820" s="597">
        <f t="shared" si="147"/>
        <v>521.52</v>
      </c>
      <c r="T820" s="526">
        <f t="shared" si="148"/>
        <v>8114.1518400000004</v>
      </c>
      <c r="U820" s="598">
        <v>521.52</v>
      </c>
      <c r="V820" s="598">
        <v>8114.1518400000004</v>
      </c>
      <c r="X820" s="599">
        <v>5396.6346800000001</v>
      </c>
    </row>
    <row r="821" spans="17:24" ht="11.1" customHeight="1" x14ac:dyDescent="0.45">
      <c r="Q821" s="439">
        <f t="shared" si="145"/>
        <v>367</v>
      </c>
      <c r="R821" s="596">
        <f t="shared" si="146"/>
        <v>45763</v>
      </c>
      <c r="S821" s="597">
        <f t="shared" si="147"/>
        <v>502.31</v>
      </c>
      <c r="T821" s="526">
        <f t="shared" si="148"/>
        <v>9410.8155200000001</v>
      </c>
      <c r="U821" s="598">
        <v>502.31</v>
      </c>
      <c r="V821" s="598">
        <v>9410.8155200000001</v>
      </c>
      <c r="X821" s="599">
        <v>5275.7010600000003</v>
      </c>
    </row>
    <row r="822" spans="17:24" ht="11.1" customHeight="1" x14ac:dyDescent="0.45">
      <c r="Q822" s="439">
        <f t="shared" si="145"/>
        <v>366</v>
      </c>
      <c r="R822" s="596">
        <f t="shared" si="146"/>
        <v>45764</v>
      </c>
      <c r="S822" s="597">
        <f t="shared" si="147"/>
        <v>501.48</v>
      </c>
      <c r="T822" s="526">
        <f t="shared" si="148"/>
        <v>7318.35239</v>
      </c>
      <c r="U822" s="598">
        <v>501.48</v>
      </c>
      <c r="V822" s="598">
        <v>7318.35239</v>
      </c>
      <c r="X822" s="599">
        <v>5282.7010200000004</v>
      </c>
    </row>
    <row r="823" spans="17:24" ht="11.1" customHeight="1" x14ac:dyDescent="0.45">
      <c r="Q823" s="439">
        <f t="shared" si="145"/>
        <v>365</v>
      </c>
      <c r="R823" s="596">
        <f t="shared" si="146"/>
        <v>45765</v>
      </c>
      <c r="S823" s="597" t="e">
        <f t="shared" si="147"/>
        <v>#N/A</v>
      </c>
      <c r="T823" s="526" t="e">
        <f t="shared" si="148"/>
        <v>#N/A</v>
      </c>
      <c r="U823" s="598">
        <v>501.48</v>
      </c>
      <c r="V823" s="598">
        <v>0</v>
      </c>
      <c r="X823" s="599">
        <v>5282.7010200000004</v>
      </c>
    </row>
    <row r="824" spans="17:24" ht="11.1" customHeight="1" x14ac:dyDescent="0.45">
      <c r="Q824" s="439">
        <f t="shared" si="145"/>
        <v>364</v>
      </c>
      <c r="R824" s="596">
        <f t="shared" si="146"/>
        <v>45766</v>
      </c>
      <c r="S824" s="597" t="e">
        <f t="shared" si="147"/>
        <v>#N/A</v>
      </c>
      <c r="T824" s="526" t="e">
        <f t="shared" si="148"/>
        <v>#N/A</v>
      </c>
      <c r="U824" s="598">
        <v>501.48</v>
      </c>
      <c r="V824" s="598">
        <v>0</v>
      </c>
      <c r="X824" s="599">
        <v>5282.7010200000004</v>
      </c>
    </row>
    <row r="825" spans="17:24" ht="11.1" customHeight="1" x14ac:dyDescent="0.45">
      <c r="Q825" s="439">
        <f t="shared" si="145"/>
        <v>363</v>
      </c>
      <c r="R825" s="596">
        <f t="shared" si="146"/>
        <v>45767</v>
      </c>
      <c r="S825" s="597" t="e">
        <f t="shared" si="147"/>
        <v>#N/A</v>
      </c>
      <c r="T825" s="526" t="e">
        <f t="shared" si="148"/>
        <v>#N/A</v>
      </c>
      <c r="U825" s="598">
        <v>501.48</v>
      </c>
      <c r="V825" s="598">
        <v>0</v>
      </c>
      <c r="X825" s="599">
        <v>5282.7010200000004</v>
      </c>
    </row>
    <row r="826" spans="17:24" ht="11.1" customHeight="1" x14ac:dyDescent="0.45">
      <c r="Q826" s="439">
        <f t="shared" si="145"/>
        <v>362</v>
      </c>
      <c r="R826" s="596">
        <f t="shared" si="146"/>
        <v>45768</v>
      </c>
      <c r="S826" s="597">
        <f t="shared" si="147"/>
        <v>484.66</v>
      </c>
      <c r="T826" s="526">
        <f t="shared" si="148"/>
        <v>7835.0048399999996</v>
      </c>
      <c r="U826" s="598">
        <v>484.66</v>
      </c>
      <c r="V826" s="598">
        <v>7835.0048399999996</v>
      </c>
      <c r="X826" s="599">
        <v>5158.2026800000003</v>
      </c>
    </row>
    <row r="827" spans="17:24" ht="11.1" customHeight="1" x14ac:dyDescent="0.45">
      <c r="Q827" s="439">
        <f t="shared" si="145"/>
        <v>361</v>
      </c>
      <c r="R827" s="596">
        <f t="shared" si="146"/>
        <v>45769</v>
      </c>
      <c r="S827" s="597">
        <f t="shared" si="147"/>
        <v>500.28</v>
      </c>
      <c r="T827" s="526">
        <f t="shared" si="148"/>
        <v>8704.5758299999998</v>
      </c>
      <c r="U827" s="598">
        <v>500.28</v>
      </c>
      <c r="V827" s="598">
        <v>8704.5758299999998</v>
      </c>
      <c r="X827" s="599">
        <v>5287.7630099999997</v>
      </c>
    </row>
    <row r="828" spans="17:24" ht="11.1" customHeight="1" x14ac:dyDescent="0.45">
      <c r="Q828" s="439">
        <f t="shared" si="145"/>
        <v>360</v>
      </c>
      <c r="R828" s="596">
        <f t="shared" si="146"/>
        <v>45770</v>
      </c>
      <c r="S828" s="597">
        <f t="shared" si="147"/>
        <v>520.27</v>
      </c>
      <c r="T828" s="526">
        <f t="shared" si="148"/>
        <v>9455.3401599999997</v>
      </c>
      <c r="U828" s="598">
        <v>520.27</v>
      </c>
      <c r="V828" s="598">
        <v>9455.3401599999997</v>
      </c>
      <c r="X828" s="599">
        <v>5375.8638300000002</v>
      </c>
    </row>
    <row r="829" spans="17:24" ht="11.1" customHeight="1" x14ac:dyDescent="0.45">
      <c r="Q829" s="439">
        <f t="shared" si="145"/>
        <v>359</v>
      </c>
      <c r="R829" s="596">
        <f t="shared" si="146"/>
        <v>45771</v>
      </c>
      <c r="S829" s="597">
        <f t="shared" si="147"/>
        <v>533.15</v>
      </c>
      <c r="T829" s="526">
        <f t="shared" si="148"/>
        <v>7416.12237</v>
      </c>
      <c r="U829" s="598">
        <v>533.15</v>
      </c>
      <c r="V829" s="598">
        <v>7416.12237</v>
      </c>
      <c r="X829" s="599">
        <v>5484.7738099999997</v>
      </c>
    </row>
    <row r="830" spans="17:24" ht="11.1" customHeight="1" x14ac:dyDescent="0.45">
      <c r="Q830" s="439">
        <f t="shared" si="145"/>
        <v>358</v>
      </c>
      <c r="R830" s="596">
        <f t="shared" si="146"/>
        <v>45772</v>
      </c>
      <c r="S830" s="597">
        <f t="shared" si="147"/>
        <v>547.27</v>
      </c>
      <c r="T830" s="526">
        <f t="shared" si="148"/>
        <v>9357.7265000000007</v>
      </c>
      <c r="U830" s="598">
        <v>547.27</v>
      </c>
      <c r="V830" s="598">
        <v>9357.7265000000007</v>
      </c>
      <c r="X830" s="599">
        <v>5525.2051199999996</v>
      </c>
    </row>
    <row r="831" spans="17:24" ht="11.1" customHeight="1" x14ac:dyDescent="0.45">
      <c r="Q831" s="439">
        <f t="shared" si="145"/>
        <v>357</v>
      </c>
      <c r="R831" s="596">
        <f t="shared" si="146"/>
        <v>45773</v>
      </c>
      <c r="S831" s="597" t="e">
        <f t="shared" si="147"/>
        <v>#N/A</v>
      </c>
      <c r="T831" s="526" t="e">
        <f t="shared" si="148"/>
        <v>#N/A</v>
      </c>
      <c r="U831" s="598">
        <v>547.27</v>
      </c>
      <c r="V831" s="598">
        <v>0</v>
      </c>
      <c r="X831" s="599">
        <v>5525.2051199999996</v>
      </c>
    </row>
    <row r="832" spans="17:24" ht="11.1" customHeight="1" x14ac:dyDescent="0.45">
      <c r="Q832" s="439">
        <f t="shared" si="145"/>
        <v>356</v>
      </c>
      <c r="R832" s="596">
        <f t="shared" si="146"/>
        <v>45774</v>
      </c>
      <c r="S832" s="597" t="e">
        <f t="shared" si="147"/>
        <v>#N/A</v>
      </c>
      <c r="T832" s="526" t="e">
        <f t="shared" si="148"/>
        <v>#N/A</v>
      </c>
      <c r="U832" s="598">
        <v>547.27</v>
      </c>
      <c r="V832" s="598">
        <v>0</v>
      </c>
      <c r="X832" s="599">
        <v>5525.2051199999996</v>
      </c>
    </row>
    <row r="833" spans="17:24" ht="11.1" customHeight="1" x14ac:dyDescent="0.45">
      <c r="Q833" s="439">
        <f t="shared" si="145"/>
        <v>355</v>
      </c>
      <c r="R833" s="596">
        <f t="shared" si="146"/>
        <v>45775</v>
      </c>
      <c r="S833" s="597">
        <f t="shared" si="147"/>
        <v>549.74</v>
      </c>
      <c r="T833" s="526">
        <f t="shared" si="148"/>
        <v>8344.5007100000003</v>
      </c>
      <c r="U833" s="598">
        <v>549.74</v>
      </c>
      <c r="V833" s="598">
        <v>8344.5007100000003</v>
      </c>
      <c r="X833" s="599">
        <v>5528.7457400000003</v>
      </c>
    </row>
    <row r="834" spans="17:24" ht="11.1" customHeight="1" x14ac:dyDescent="0.45">
      <c r="Q834" s="439">
        <f t="shared" si="145"/>
        <v>354</v>
      </c>
      <c r="R834" s="596">
        <f t="shared" si="146"/>
        <v>45776</v>
      </c>
      <c r="S834" s="597">
        <f t="shared" si="147"/>
        <v>554.44000000000005</v>
      </c>
      <c r="T834" s="526">
        <f t="shared" si="148"/>
        <v>6561.81736</v>
      </c>
      <c r="U834" s="598">
        <v>554.44000000000005</v>
      </c>
      <c r="V834" s="598">
        <v>6561.81736</v>
      </c>
      <c r="X834" s="599">
        <v>5560.82701</v>
      </c>
    </row>
    <row r="835" spans="17:24" ht="11.1" customHeight="1" x14ac:dyDescent="0.45">
      <c r="Q835" s="439">
        <f t="shared" si="145"/>
        <v>353</v>
      </c>
      <c r="R835" s="596">
        <f t="shared" si="146"/>
        <v>45777</v>
      </c>
      <c r="S835" s="597">
        <f t="shared" si="147"/>
        <v>549</v>
      </c>
      <c r="T835" s="526">
        <f t="shared" si="148"/>
        <v>16054.94008</v>
      </c>
      <c r="U835" s="598">
        <v>549</v>
      </c>
      <c r="V835" s="598">
        <v>16054.94008</v>
      </c>
      <c r="X835" s="599">
        <v>5569.0646699999998</v>
      </c>
    </row>
    <row r="836" spans="17:24" ht="11.1" customHeight="1" x14ac:dyDescent="0.45">
      <c r="Q836" s="439">
        <f t="shared" si="145"/>
        <v>352</v>
      </c>
      <c r="R836" s="596">
        <f t="shared" si="146"/>
        <v>45778</v>
      </c>
      <c r="S836" s="597">
        <f t="shared" si="147"/>
        <v>572.21</v>
      </c>
      <c r="T836" s="526">
        <f t="shared" si="148"/>
        <v>17829.510269999999</v>
      </c>
      <c r="U836" s="598">
        <v>572.21</v>
      </c>
      <c r="V836" s="598">
        <v>17829.510269999999</v>
      </c>
      <c r="X836" s="599">
        <v>5604.1413300000004</v>
      </c>
    </row>
    <row r="837" spans="17:24" ht="11.1" customHeight="1" x14ac:dyDescent="0.45">
      <c r="Q837" s="439">
        <f t="shared" si="145"/>
        <v>351</v>
      </c>
      <c r="R837" s="596">
        <f t="shared" si="146"/>
        <v>45779</v>
      </c>
      <c r="S837" s="597">
        <f t="shared" si="147"/>
        <v>597.02</v>
      </c>
      <c r="T837" s="526">
        <f t="shared" si="148"/>
        <v>14769.83301</v>
      </c>
      <c r="U837" s="598">
        <v>597.02</v>
      </c>
      <c r="V837" s="598">
        <v>14769.83301</v>
      </c>
      <c r="X837" s="599">
        <v>5686.6748299999999</v>
      </c>
    </row>
    <row r="838" spans="17:24" ht="11.1" customHeight="1" x14ac:dyDescent="0.45">
      <c r="Q838" s="439">
        <f t="shared" si="145"/>
        <v>350</v>
      </c>
      <c r="R838" s="596">
        <f t="shared" si="146"/>
        <v>45780</v>
      </c>
      <c r="S838" s="597" t="e">
        <f t="shared" si="147"/>
        <v>#N/A</v>
      </c>
      <c r="T838" s="526" t="e">
        <f t="shared" si="148"/>
        <v>#N/A</v>
      </c>
      <c r="U838" s="598">
        <v>597.02</v>
      </c>
      <c r="V838" s="598">
        <v>0</v>
      </c>
      <c r="X838" s="599">
        <v>5686.6748299999999</v>
      </c>
    </row>
    <row r="839" spans="17:24" ht="11.1" customHeight="1" x14ac:dyDescent="0.45">
      <c r="Q839" s="439">
        <f t="shared" si="145"/>
        <v>349</v>
      </c>
      <c r="R839" s="596">
        <f t="shared" si="146"/>
        <v>45781</v>
      </c>
      <c r="S839" s="597" t="e">
        <f t="shared" si="147"/>
        <v>#N/A</v>
      </c>
      <c r="T839" s="526" t="e">
        <f t="shared" si="148"/>
        <v>#N/A</v>
      </c>
      <c r="U839" s="598">
        <v>597.02</v>
      </c>
      <c r="V839" s="598">
        <v>0</v>
      </c>
      <c r="X839" s="599">
        <v>5686.6748299999999</v>
      </c>
    </row>
    <row r="840" spans="17:24" ht="11.1" customHeight="1" x14ac:dyDescent="0.45">
      <c r="Q840" s="439">
        <f t="shared" si="145"/>
        <v>348</v>
      </c>
      <c r="R840" s="596">
        <f t="shared" si="146"/>
        <v>45782</v>
      </c>
      <c r="S840" s="597">
        <f t="shared" si="147"/>
        <v>599.27</v>
      </c>
      <c r="T840" s="526">
        <f t="shared" si="148"/>
        <v>8322.4963599999992</v>
      </c>
      <c r="U840" s="598">
        <v>599.27</v>
      </c>
      <c r="V840" s="598">
        <v>8322.4963599999992</v>
      </c>
      <c r="X840" s="599">
        <v>5650.3816699999998</v>
      </c>
    </row>
    <row r="841" spans="17:24" ht="11.1" customHeight="1" x14ac:dyDescent="0.45">
      <c r="Q841" s="439">
        <f t="shared" si="145"/>
        <v>347</v>
      </c>
      <c r="R841" s="596">
        <f t="shared" si="146"/>
        <v>45783</v>
      </c>
      <c r="S841" s="597">
        <f t="shared" si="147"/>
        <v>587.30999999999995</v>
      </c>
      <c r="T841" s="526">
        <f t="shared" si="148"/>
        <v>6225.8677500000003</v>
      </c>
      <c r="U841" s="598">
        <v>587.30999999999995</v>
      </c>
      <c r="V841" s="598">
        <v>6225.8677500000003</v>
      </c>
      <c r="X841" s="599">
        <v>5606.9067999999997</v>
      </c>
    </row>
    <row r="842" spans="17:24" ht="11.1" customHeight="1" x14ac:dyDescent="0.45">
      <c r="Q842" s="439">
        <f t="shared" si="145"/>
        <v>346</v>
      </c>
      <c r="R842" s="596">
        <f t="shared" si="146"/>
        <v>45784</v>
      </c>
      <c r="S842" s="597">
        <f t="shared" si="147"/>
        <v>596.80999999999995</v>
      </c>
      <c r="T842" s="526">
        <f t="shared" si="148"/>
        <v>7854.6020900000003</v>
      </c>
      <c r="U842" s="598">
        <v>596.80999999999995</v>
      </c>
      <c r="V842" s="598">
        <v>7854.6020900000003</v>
      </c>
      <c r="X842" s="599">
        <v>5631.28431</v>
      </c>
    </row>
    <row r="843" spans="17:24" ht="11.1" customHeight="1" x14ac:dyDescent="0.45">
      <c r="Q843" s="439">
        <f t="shared" si="145"/>
        <v>345</v>
      </c>
      <c r="R843" s="596">
        <f t="shared" si="146"/>
        <v>45785</v>
      </c>
      <c r="S843" s="597">
        <f t="shared" si="147"/>
        <v>598.01</v>
      </c>
      <c r="T843" s="526">
        <f t="shared" si="148"/>
        <v>8744.5836199999994</v>
      </c>
      <c r="U843" s="598">
        <v>598.01</v>
      </c>
      <c r="V843" s="598">
        <v>8744.5836199999994</v>
      </c>
      <c r="X843" s="599">
        <v>5663.9393099999998</v>
      </c>
    </row>
    <row r="844" spans="17:24" ht="11.1" customHeight="1" x14ac:dyDescent="0.45">
      <c r="Q844" s="439">
        <f t="shared" si="145"/>
        <v>344</v>
      </c>
      <c r="R844" s="596">
        <f t="shared" si="146"/>
        <v>45786</v>
      </c>
      <c r="S844" s="597">
        <f t="shared" si="147"/>
        <v>592.49</v>
      </c>
      <c r="T844" s="526">
        <f t="shared" si="148"/>
        <v>6178.06268</v>
      </c>
      <c r="U844" s="598">
        <v>592.49</v>
      </c>
      <c r="V844" s="598">
        <v>6178.06268</v>
      </c>
      <c r="X844" s="599">
        <v>5659.9122500000003</v>
      </c>
    </row>
    <row r="845" spans="17:24" ht="11.1" customHeight="1" x14ac:dyDescent="0.45">
      <c r="Q845" s="439">
        <f t="shared" si="145"/>
        <v>343</v>
      </c>
      <c r="R845" s="596">
        <f t="shared" si="146"/>
        <v>45787</v>
      </c>
      <c r="S845" s="597" t="e">
        <f t="shared" si="147"/>
        <v>#N/A</v>
      </c>
      <c r="T845" s="526" t="e">
        <f t="shared" si="148"/>
        <v>#N/A</v>
      </c>
      <c r="U845" s="598">
        <v>592.49</v>
      </c>
      <c r="V845" s="598">
        <v>0</v>
      </c>
      <c r="X845" s="599">
        <v>5659.9122500000003</v>
      </c>
    </row>
    <row r="846" spans="17:24" ht="11.1" customHeight="1" x14ac:dyDescent="0.45">
      <c r="Q846" s="439">
        <f t="shared" si="145"/>
        <v>342</v>
      </c>
      <c r="R846" s="596">
        <f t="shared" si="146"/>
        <v>45788</v>
      </c>
      <c r="S846" s="597" t="e">
        <f t="shared" si="147"/>
        <v>#N/A</v>
      </c>
      <c r="T846" s="526" t="e">
        <f t="shared" si="148"/>
        <v>#N/A</v>
      </c>
      <c r="U846" s="598">
        <v>592.49</v>
      </c>
      <c r="V846" s="598">
        <v>0</v>
      </c>
      <c r="X846" s="599">
        <v>5659.9122500000003</v>
      </c>
    </row>
    <row r="847" spans="17:24" ht="11.1" customHeight="1" x14ac:dyDescent="0.45">
      <c r="Q847" s="439">
        <f t="shared" si="145"/>
        <v>341</v>
      </c>
      <c r="R847" s="596">
        <f t="shared" si="146"/>
        <v>45789</v>
      </c>
      <c r="S847" s="597">
        <f t="shared" si="147"/>
        <v>639.42999999999995</v>
      </c>
      <c r="T847" s="526">
        <f t="shared" si="148"/>
        <v>14045.1343</v>
      </c>
      <c r="U847" s="598">
        <v>639.42999999999995</v>
      </c>
      <c r="V847" s="598">
        <v>14045.1343</v>
      </c>
      <c r="X847" s="599">
        <v>5844.1866900000005</v>
      </c>
    </row>
    <row r="848" spans="17:24" ht="11.1" customHeight="1" x14ac:dyDescent="0.45">
      <c r="Q848" s="439">
        <f t="shared" si="145"/>
        <v>340</v>
      </c>
      <c r="R848" s="596">
        <f t="shared" si="146"/>
        <v>45790</v>
      </c>
      <c r="S848" s="597">
        <f t="shared" si="147"/>
        <v>656.03</v>
      </c>
      <c r="T848" s="526">
        <f t="shared" si="148"/>
        <v>12183.0157</v>
      </c>
      <c r="U848" s="598">
        <v>656.03</v>
      </c>
      <c r="V848" s="598">
        <v>12183.0157</v>
      </c>
      <c r="X848" s="599">
        <v>5886.5528100000001</v>
      </c>
    </row>
    <row r="849" spans="17:24" ht="11.1" customHeight="1" x14ac:dyDescent="0.45">
      <c r="Q849" s="439">
        <f t="shared" si="145"/>
        <v>339</v>
      </c>
      <c r="R849" s="596">
        <f t="shared" si="146"/>
        <v>45791</v>
      </c>
      <c r="S849" s="597">
        <f t="shared" si="147"/>
        <v>659.36</v>
      </c>
      <c r="T849" s="526">
        <f t="shared" si="148"/>
        <v>8141.8953099999999</v>
      </c>
      <c r="U849" s="598">
        <v>659.36</v>
      </c>
      <c r="V849" s="598">
        <v>8141.8953099999999</v>
      </c>
      <c r="X849" s="599">
        <v>5892.5844900000002</v>
      </c>
    </row>
    <row r="850" spans="17:24" ht="11.1" customHeight="1" x14ac:dyDescent="0.45">
      <c r="Q850" s="439">
        <f t="shared" si="145"/>
        <v>338</v>
      </c>
      <c r="R850" s="596">
        <f t="shared" si="146"/>
        <v>45792</v>
      </c>
      <c r="S850" s="597">
        <f t="shared" si="147"/>
        <v>643.88</v>
      </c>
      <c r="T850" s="526">
        <f t="shared" si="148"/>
        <v>9234.4207200000001</v>
      </c>
      <c r="U850" s="598">
        <v>643.88</v>
      </c>
      <c r="V850" s="598">
        <v>9234.4207200000001</v>
      </c>
      <c r="X850" s="599">
        <v>5916.9260800000002</v>
      </c>
    </row>
    <row r="851" spans="17:24" ht="11.1" customHeight="1" x14ac:dyDescent="0.45">
      <c r="Q851" s="439">
        <f t="shared" si="145"/>
        <v>337</v>
      </c>
      <c r="R851" s="596">
        <f t="shared" si="146"/>
        <v>45793</v>
      </c>
      <c r="S851" s="597">
        <f t="shared" si="147"/>
        <v>640.34</v>
      </c>
      <c r="T851" s="526">
        <f t="shared" si="148"/>
        <v>11858.438529999999</v>
      </c>
      <c r="U851" s="598">
        <v>640.34</v>
      </c>
      <c r="V851" s="598">
        <v>11858.438529999999</v>
      </c>
      <c r="X851" s="599">
        <v>5958.3755300000003</v>
      </c>
    </row>
    <row r="852" spans="17:24" ht="11.1" customHeight="1" x14ac:dyDescent="0.45">
      <c r="Q852" s="439">
        <f t="shared" si="145"/>
        <v>336</v>
      </c>
      <c r="R852" s="596">
        <f t="shared" si="146"/>
        <v>45794</v>
      </c>
      <c r="S852" s="597" t="e">
        <f t="shared" si="147"/>
        <v>#N/A</v>
      </c>
      <c r="T852" s="526" t="e">
        <f t="shared" si="148"/>
        <v>#N/A</v>
      </c>
      <c r="U852" s="598">
        <v>640.34</v>
      </c>
      <c r="V852" s="598">
        <v>0</v>
      </c>
      <c r="X852" s="599">
        <v>5958.3755300000003</v>
      </c>
    </row>
    <row r="853" spans="17:24" ht="11.1" customHeight="1" x14ac:dyDescent="0.45">
      <c r="Q853" s="439">
        <f t="shared" si="145"/>
        <v>335</v>
      </c>
      <c r="R853" s="596">
        <f t="shared" si="146"/>
        <v>45795</v>
      </c>
      <c r="S853" s="597" t="e">
        <f t="shared" si="147"/>
        <v>#N/A</v>
      </c>
      <c r="T853" s="526" t="e">
        <f t="shared" si="148"/>
        <v>#N/A</v>
      </c>
      <c r="U853" s="598">
        <v>640.34</v>
      </c>
      <c r="V853" s="598">
        <v>0</v>
      </c>
      <c r="X853" s="599">
        <v>5958.3755300000003</v>
      </c>
    </row>
    <row r="854" spans="17:24" ht="11.1" customHeight="1" x14ac:dyDescent="0.45">
      <c r="Q854" s="439">
        <f t="shared" si="145"/>
        <v>334</v>
      </c>
      <c r="R854" s="596">
        <f t="shared" si="146"/>
        <v>45796</v>
      </c>
      <c r="S854" s="597">
        <f t="shared" si="147"/>
        <v>640.42999999999995</v>
      </c>
      <c r="T854" s="526">
        <f t="shared" si="148"/>
        <v>6143.2440800000004</v>
      </c>
      <c r="U854" s="598">
        <v>640.42999999999995</v>
      </c>
      <c r="V854" s="598">
        <v>6143.2440800000004</v>
      </c>
      <c r="X854" s="599">
        <v>5963.6043499999996</v>
      </c>
    </row>
    <row r="855" spans="17:24" ht="11.1" customHeight="1" x14ac:dyDescent="0.45">
      <c r="Q855" s="439">
        <f t="shared" si="145"/>
        <v>333</v>
      </c>
      <c r="R855" s="596">
        <f t="shared" si="146"/>
        <v>45797</v>
      </c>
      <c r="S855" s="597">
        <f t="shared" si="147"/>
        <v>637.1</v>
      </c>
      <c r="T855" s="526">
        <f t="shared" si="148"/>
        <v>4296.2666499999996</v>
      </c>
      <c r="U855" s="598">
        <v>637.1</v>
      </c>
      <c r="V855" s="598">
        <v>4296.2666499999996</v>
      </c>
      <c r="X855" s="599">
        <v>5940.4637499999999</v>
      </c>
    </row>
    <row r="856" spans="17:24" ht="11.1" customHeight="1" x14ac:dyDescent="0.45">
      <c r="Q856" s="439">
        <f t="shared" si="145"/>
        <v>332</v>
      </c>
      <c r="R856" s="596">
        <f t="shared" si="146"/>
        <v>45798</v>
      </c>
      <c r="S856" s="597">
        <f t="shared" si="147"/>
        <v>635.5</v>
      </c>
      <c r="T856" s="526">
        <f t="shared" si="148"/>
        <v>7285.7335999999996</v>
      </c>
      <c r="U856" s="598">
        <v>635.5</v>
      </c>
      <c r="V856" s="598">
        <v>7285.7335999999996</v>
      </c>
      <c r="X856" s="599">
        <v>5844.6121300000004</v>
      </c>
    </row>
    <row r="857" spans="17:24" ht="11.1" customHeight="1" x14ac:dyDescent="0.45">
      <c r="Q857" s="439">
        <f t="shared" si="145"/>
        <v>331</v>
      </c>
      <c r="R857" s="596">
        <f t="shared" si="146"/>
        <v>45799</v>
      </c>
      <c r="S857" s="597">
        <f t="shared" si="147"/>
        <v>636.57000000000005</v>
      </c>
      <c r="T857" s="526">
        <f t="shared" si="148"/>
        <v>5237.9799599999997</v>
      </c>
      <c r="U857" s="598">
        <v>636.57000000000005</v>
      </c>
      <c r="V857" s="598">
        <v>5237.9799599999997</v>
      </c>
      <c r="X857" s="599">
        <v>5842.0083100000002</v>
      </c>
    </row>
    <row r="858" spans="17:24" ht="11.1" customHeight="1" x14ac:dyDescent="0.45">
      <c r="Q858" s="439">
        <f t="shared" si="145"/>
        <v>330</v>
      </c>
      <c r="R858" s="596">
        <f t="shared" si="146"/>
        <v>45800</v>
      </c>
      <c r="S858" s="597">
        <f t="shared" si="147"/>
        <v>627.05999999999995</v>
      </c>
      <c r="T858" s="526">
        <f t="shared" si="148"/>
        <v>5301.2072500000004</v>
      </c>
      <c r="U858" s="598">
        <v>627.05999999999995</v>
      </c>
      <c r="V858" s="598">
        <v>5301.2072500000004</v>
      </c>
      <c r="X858" s="599">
        <v>5802.8150800000003</v>
      </c>
    </row>
    <row r="859" spans="17:24" ht="11.1" customHeight="1" x14ac:dyDescent="0.45">
      <c r="Q859" s="439">
        <f t="shared" si="145"/>
        <v>329</v>
      </c>
      <c r="R859" s="596">
        <f t="shared" si="146"/>
        <v>45801</v>
      </c>
      <c r="S859" s="597" t="e">
        <f t="shared" si="147"/>
        <v>#N/A</v>
      </c>
      <c r="T859" s="526" t="e">
        <f t="shared" si="148"/>
        <v>#N/A</v>
      </c>
      <c r="U859" s="598">
        <v>627.05999999999995</v>
      </c>
      <c r="V859" s="598">
        <v>0</v>
      </c>
      <c r="X859" s="599">
        <v>5802.8150800000003</v>
      </c>
    </row>
    <row r="860" spans="17:24" ht="11.1" customHeight="1" x14ac:dyDescent="0.45">
      <c r="Q860" s="439">
        <f t="shared" si="145"/>
        <v>328</v>
      </c>
      <c r="R860" s="596">
        <f t="shared" si="146"/>
        <v>45802</v>
      </c>
      <c r="S860" s="597" t="e">
        <f t="shared" si="147"/>
        <v>#N/A</v>
      </c>
      <c r="T860" s="526" t="e">
        <f t="shared" si="148"/>
        <v>#N/A</v>
      </c>
      <c r="U860" s="598">
        <v>627.05999999999995</v>
      </c>
      <c r="V860" s="598">
        <v>0</v>
      </c>
      <c r="X860" s="599">
        <v>5802.8150800000003</v>
      </c>
    </row>
    <row r="861" spans="17:24" ht="11.1" customHeight="1" x14ac:dyDescent="0.45">
      <c r="Q861" s="439">
        <f t="shared" ref="Q861:Q924" si="149">Q862+1</f>
        <v>327</v>
      </c>
      <c r="R861" s="596">
        <f t="shared" ref="R861:R924" si="150">R862-1</f>
        <v>45803</v>
      </c>
      <c r="S861" s="597" t="e">
        <f t="shared" ref="S861:S924" si="151">IF(U861=U860,#N/A,U861)</f>
        <v>#N/A</v>
      </c>
      <c r="T861" s="526" t="e">
        <f t="shared" ref="T861:T924" si="152">IF(S861="#NV",#N/A,V861)</f>
        <v>#N/A</v>
      </c>
      <c r="U861" s="598">
        <v>627.05999999999995</v>
      </c>
      <c r="V861" s="598">
        <v>0</v>
      </c>
      <c r="X861" s="599">
        <v>5802.8150800000003</v>
      </c>
    </row>
    <row r="862" spans="17:24" ht="11.1" customHeight="1" x14ac:dyDescent="0.45">
      <c r="Q862" s="439">
        <f t="shared" si="149"/>
        <v>326</v>
      </c>
      <c r="R862" s="596">
        <f t="shared" si="150"/>
        <v>45804</v>
      </c>
      <c r="S862" s="597">
        <f t="shared" si="151"/>
        <v>642.32000000000005</v>
      </c>
      <c r="T862" s="526">
        <f t="shared" si="152"/>
        <v>6107.4142899999997</v>
      </c>
      <c r="U862" s="598">
        <v>642.32000000000005</v>
      </c>
      <c r="V862" s="598">
        <v>6107.4142899999997</v>
      </c>
      <c r="X862" s="599">
        <v>5921.5403500000002</v>
      </c>
    </row>
    <row r="863" spans="17:24" ht="11.1" customHeight="1" x14ac:dyDescent="0.45">
      <c r="Q863" s="439">
        <f t="shared" si="149"/>
        <v>325</v>
      </c>
      <c r="R863" s="596">
        <f t="shared" si="150"/>
        <v>45805</v>
      </c>
      <c r="S863" s="597">
        <f t="shared" si="151"/>
        <v>643.58000000000004</v>
      </c>
      <c r="T863" s="526">
        <f t="shared" si="152"/>
        <v>5819.8128500000003</v>
      </c>
      <c r="U863" s="598">
        <v>643.58000000000004</v>
      </c>
      <c r="V863" s="598">
        <v>5819.8128500000003</v>
      </c>
      <c r="X863" s="599">
        <v>5888.5525799999996</v>
      </c>
    </row>
    <row r="864" spans="17:24" ht="11.1" customHeight="1" x14ac:dyDescent="0.45">
      <c r="Q864" s="439">
        <f t="shared" si="149"/>
        <v>324</v>
      </c>
      <c r="R864" s="596">
        <f t="shared" si="150"/>
        <v>45806</v>
      </c>
      <c r="S864" s="597">
        <f t="shared" si="151"/>
        <v>645.04999999999995</v>
      </c>
      <c r="T864" s="526">
        <f t="shared" si="152"/>
        <v>5730.2603900000004</v>
      </c>
      <c r="U864" s="598">
        <v>645.04999999999995</v>
      </c>
      <c r="V864" s="598">
        <v>5730.2603900000004</v>
      </c>
      <c r="X864" s="599">
        <v>5912.1727199999996</v>
      </c>
    </row>
    <row r="865" spans="17:24" ht="11.1" customHeight="1" x14ac:dyDescent="0.45">
      <c r="Q865" s="439">
        <f t="shared" si="149"/>
        <v>323</v>
      </c>
      <c r="R865" s="596">
        <f t="shared" si="150"/>
        <v>45807</v>
      </c>
      <c r="S865" s="597">
        <f t="shared" si="151"/>
        <v>647.49</v>
      </c>
      <c r="T865" s="526">
        <f t="shared" si="152"/>
        <v>10515.853359999999</v>
      </c>
      <c r="U865" s="598">
        <v>647.49</v>
      </c>
      <c r="V865" s="598">
        <v>10515.853359999999</v>
      </c>
      <c r="X865" s="599">
        <v>5911.6867199999997</v>
      </c>
    </row>
    <row r="866" spans="17:24" ht="11.1" customHeight="1" x14ac:dyDescent="0.45">
      <c r="Q866" s="439">
        <f t="shared" si="149"/>
        <v>322</v>
      </c>
      <c r="R866" s="596">
        <f t="shared" si="150"/>
        <v>45808</v>
      </c>
      <c r="S866" s="597" t="e">
        <f t="shared" si="151"/>
        <v>#N/A</v>
      </c>
      <c r="T866" s="526" t="e">
        <f t="shared" si="152"/>
        <v>#N/A</v>
      </c>
      <c r="U866" s="598">
        <v>647.49</v>
      </c>
      <c r="V866" s="598">
        <v>0</v>
      </c>
      <c r="X866" s="599">
        <v>5911.6867199999997</v>
      </c>
    </row>
    <row r="867" spans="17:24" ht="11.1" customHeight="1" x14ac:dyDescent="0.45">
      <c r="Q867" s="439">
        <f t="shared" si="149"/>
        <v>321</v>
      </c>
      <c r="R867" s="596">
        <f t="shared" si="150"/>
        <v>45809</v>
      </c>
      <c r="S867" s="597" t="e">
        <f t="shared" si="151"/>
        <v>#N/A</v>
      </c>
      <c r="T867" s="526" t="e">
        <f t="shared" si="152"/>
        <v>#N/A</v>
      </c>
      <c r="U867" s="598">
        <v>647.49</v>
      </c>
      <c r="V867" s="598">
        <v>0</v>
      </c>
      <c r="X867" s="599">
        <v>5911.6867199999997</v>
      </c>
    </row>
    <row r="868" spans="17:24" ht="11.1" customHeight="1" x14ac:dyDescent="0.45">
      <c r="Q868" s="439">
        <f t="shared" si="149"/>
        <v>320</v>
      </c>
      <c r="R868" s="596">
        <f t="shared" si="150"/>
        <v>45810</v>
      </c>
      <c r="S868" s="597">
        <f t="shared" si="151"/>
        <v>670.9</v>
      </c>
      <c r="T868" s="526">
        <f t="shared" si="152"/>
        <v>10577.582490000001</v>
      </c>
      <c r="U868" s="598">
        <v>670.9</v>
      </c>
      <c r="V868" s="598">
        <v>10577.582490000001</v>
      </c>
      <c r="X868" s="599">
        <v>5935.9409599999999</v>
      </c>
    </row>
    <row r="869" spans="17:24" ht="11.1" customHeight="1" x14ac:dyDescent="0.45">
      <c r="Q869" s="439">
        <f t="shared" si="149"/>
        <v>319</v>
      </c>
      <c r="R869" s="596">
        <f t="shared" si="150"/>
        <v>45811</v>
      </c>
      <c r="S869" s="597">
        <f t="shared" si="151"/>
        <v>666.85</v>
      </c>
      <c r="T869" s="526">
        <f t="shared" si="152"/>
        <v>7725.4779200000003</v>
      </c>
      <c r="U869" s="598">
        <v>666.85</v>
      </c>
      <c r="V869" s="598">
        <v>7725.4779200000003</v>
      </c>
      <c r="X869" s="599">
        <v>5970.3682399999998</v>
      </c>
    </row>
    <row r="870" spans="17:24" ht="11.1" customHeight="1" x14ac:dyDescent="0.45">
      <c r="Q870" s="439">
        <f t="shared" si="149"/>
        <v>318</v>
      </c>
      <c r="R870" s="596">
        <f t="shared" si="150"/>
        <v>45812</v>
      </c>
      <c r="S870" s="597">
        <f t="shared" si="151"/>
        <v>687.95</v>
      </c>
      <c r="T870" s="526">
        <f t="shared" si="152"/>
        <v>9653.2669299999998</v>
      </c>
      <c r="U870" s="598">
        <v>687.95</v>
      </c>
      <c r="V870" s="598">
        <v>9653.2669299999998</v>
      </c>
      <c r="X870" s="599">
        <v>5970.8132400000004</v>
      </c>
    </row>
    <row r="871" spans="17:24" ht="11.1" customHeight="1" x14ac:dyDescent="0.45">
      <c r="Q871" s="439">
        <f t="shared" si="149"/>
        <v>317</v>
      </c>
      <c r="R871" s="596">
        <f t="shared" si="150"/>
        <v>45813</v>
      </c>
      <c r="S871" s="597">
        <f t="shared" si="151"/>
        <v>684.62</v>
      </c>
      <c r="T871" s="526">
        <f t="shared" si="152"/>
        <v>8982.4437500000004</v>
      </c>
      <c r="U871" s="598">
        <v>684.62</v>
      </c>
      <c r="V871" s="598">
        <v>8982.4437500000004</v>
      </c>
      <c r="X871" s="599">
        <v>5939.30332</v>
      </c>
    </row>
    <row r="872" spans="17:24" ht="11.1" customHeight="1" x14ac:dyDescent="0.45">
      <c r="Q872" s="439">
        <f t="shared" si="149"/>
        <v>316</v>
      </c>
      <c r="R872" s="596">
        <f t="shared" si="150"/>
        <v>45814</v>
      </c>
      <c r="S872" s="597">
        <f t="shared" si="151"/>
        <v>697.71</v>
      </c>
      <c r="T872" s="526">
        <f t="shared" si="152"/>
        <v>8182.7156699999996</v>
      </c>
      <c r="U872" s="598">
        <v>697.71</v>
      </c>
      <c r="V872" s="598">
        <v>8182.7156699999996</v>
      </c>
      <c r="X872" s="599">
        <v>6000.3551299999999</v>
      </c>
    </row>
    <row r="873" spans="17:24" ht="11.1" customHeight="1" x14ac:dyDescent="0.45">
      <c r="Q873" s="439">
        <f t="shared" si="149"/>
        <v>315</v>
      </c>
      <c r="R873" s="596">
        <f t="shared" si="150"/>
        <v>45815</v>
      </c>
      <c r="S873" s="597" t="e">
        <f t="shared" si="151"/>
        <v>#N/A</v>
      </c>
      <c r="T873" s="526" t="e">
        <f t="shared" si="152"/>
        <v>#N/A</v>
      </c>
      <c r="U873" s="598">
        <v>697.71</v>
      </c>
      <c r="V873" s="598">
        <v>0</v>
      </c>
      <c r="X873" s="599">
        <v>6000.3551299999999</v>
      </c>
    </row>
    <row r="874" spans="17:24" ht="11.1" customHeight="1" x14ac:dyDescent="0.45">
      <c r="Q874" s="439">
        <f t="shared" si="149"/>
        <v>314</v>
      </c>
      <c r="R874" s="596">
        <f t="shared" si="150"/>
        <v>45816</v>
      </c>
      <c r="S874" s="597" t="e">
        <f t="shared" si="151"/>
        <v>#N/A</v>
      </c>
      <c r="T874" s="526" t="e">
        <f t="shared" si="152"/>
        <v>#N/A</v>
      </c>
      <c r="U874" s="598">
        <v>697.71</v>
      </c>
      <c r="V874" s="598">
        <v>0</v>
      </c>
      <c r="X874" s="599">
        <v>6000.3551299999999</v>
      </c>
    </row>
    <row r="875" spans="17:24" ht="11.1" customHeight="1" x14ac:dyDescent="0.45">
      <c r="Q875" s="439">
        <f t="shared" si="149"/>
        <v>313</v>
      </c>
      <c r="R875" s="596">
        <f t="shared" si="150"/>
        <v>45817</v>
      </c>
      <c r="S875" s="597">
        <f t="shared" si="151"/>
        <v>694.06</v>
      </c>
      <c r="T875" s="526">
        <f t="shared" si="152"/>
        <v>8865.38177</v>
      </c>
      <c r="U875" s="598">
        <v>694.06</v>
      </c>
      <c r="V875" s="598">
        <v>8865.38177</v>
      </c>
      <c r="X875" s="599">
        <v>6005.88346</v>
      </c>
    </row>
    <row r="876" spans="17:24" ht="11.1" customHeight="1" x14ac:dyDescent="0.45">
      <c r="Q876" s="439">
        <f t="shared" si="149"/>
        <v>312</v>
      </c>
      <c r="R876" s="596">
        <f t="shared" si="150"/>
        <v>45818</v>
      </c>
      <c r="S876" s="597">
        <f t="shared" si="151"/>
        <v>702.4</v>
      </c>
      <c r="T876" s="526">
        <f t="shared" si="152"/>
        <v>7621.1425499999996</v>
      </c>
      <c r="U876" s="598">
        <v>702.4</v>
      </c>
      <c r="V876" s="598">
        <v>7621.1425499999996</v>
      </c>
      <c r="X876" s="599">
        <v>6038.8057900000003</v>
      </c>
    </row>
    <row r="877" spans="17:24" ht="11.1" customHeight="1" x14ac:dyDescent="0.45">
      <c r="Q877" s="439">
        <f t="shared" si="149"/>
        <v>311</v>
      </c>
      <c r="R877" s="596">
        <f t="shared" si="150"/>
        <v>45819</v>
      </c>
      <c r="S877" s="597">
        <f t="shared" si="151"/>
        <v>694.14</v>
      </c>
      <c r="T877" s="526">
        <f t="shared" si="152"/>
        <v>6651.6021000000001</v>
      </c>
      <c r="U877" s="598">
        <v>694.14</v>
      </c>
      <c r="V877" s="598">
        <v>6651.6021000000001</v>
      </c>
      <c r="X877" s="599">
        <v>6022.2412100000001</v>
      </c>
    </row>
    <row r="878" spans="17:24" ht="11.1" customHeight="1" x14ac:dyDescent="0.45">
      <c r="Q878" s="439">
        <f t="shared" si="149"/>
        <v>310</v>
      </c>
      <c r="R878" s="596">
        <f t="shared" si="150"/>
        <v>45820</v>
      </c>
      <c r="S878" s="597">
        <f t="shared" si="151"/>
        <v>693.36</v>
      </c>
      <c r="T878" s="526">
        <f t="shared" si="152"/>
        <v>5077.2880699999996</v>
      </c>
      <c r="U878" s="598">
        <v>693.36</v>
      </c>
      <c r="V878" s="598">
        <v>5077.2880699999996</v>
      </c>
      <c r="X878" s="599">
        <v>6045.2556699999996</v>
      </c>
    </row>
    <row r="879" spans="17:24" ht="11.1" customHeight="1" x14ac:dyDescent="0.45">
      <c r="Q879" s="439">
        <f t="shared" si="149"/>
        <v>309</v>
      </c>
      <c r="R879" s="596">
        <f t="shared" si="150"/>
        <v>45821</v>
      </c>
      <c r="S879" s="597">
        <f t="shared" si="151"/>
        <v>682.87</v>
      </c>
      <c r="T879" s="526">
        <f t="shared" si="152"/>
        <v>6333.2375300000003</v>
      </c>
      <c r="U879" s="598">
        <v>682.87</v>
      </c>
      <c r="V879" s="598">
        <v>6333.2375300000003</v>
      </c>
      <c r="X879" s="599">
        <v>5976.96587</v>
      </c>
    </row>
    <row r="880" spans="17:24" ht="11.1" customHeight="1" x14ac:dyDescent="0.45">
      <c r="Q880" s="439">
        <f t="shared" si="149"/>
        <v>308</v>
      </c>
      <c r="R880" s="596">
        <f t="shared" si="150"/>
        <v>45822</v>
      </c>
      <c r="S880" s="597" t="e">
        <f t="shared" si="151"/>
        <v>#N/A</v>
      </c>
      <c r="T880" s="526" t="e">
        <f t="shared" si="152"/>
        <v>#N/A</v>
      </c>
      <c r="U880" s="598">
        <v>682.87</v>
      </c>
      <c r="V880" s="598">
        <v>0</v>
      </c>
      <c r="X880" s="599">
        <v>5976.96587</v>
      </c>
    </row>
    <row r="881" spans="17:24" ht="11.1" customHeight="1" x14ac:dyDescent="0.45">
      <c r="Q881" s="439">
        <f t="shared" si="149"/>
        <v>307</v>
      </c>
      <c r="R881" s="596">
        <f t="shared" si="150"/>
        <v>45823</v>
      </c>
      <c r="S881" s="597" t="e">
        <f t="shared" si="151"/>
        <v>#N/A</v>
      </c>
      <c r="T881" s="526" t="e">
        <f t="shared" si="152"/>
        <v>#N/A</v>
      </c>
      <c r="U881" s="598">
        <v>682.87</v>
      </c>
      <c r="V881" s="598">
        <v>0</v>
      </c>
      <c r="X881" s="599">
        <v>5976.96587</v>
      </c>
    </row>
    <row r="882" spans="17:24" ht="11.1" customHeight="1" x14ac:dyDescent="0.45">
      <c r="Q882" s="439">
        <f t="shared" si="149"/>
        <v>306</v>
      </c>
      <c r="R882" s="596">
        <f t="shared" si="150"/>
        <v>45824</v>
      </c>
      <c r="S882" s="597">
        <f t="shared" si="151"/>
        <v>702.12</v>
      </c>
      <c r="T882" s="526">
        <f t="shared" si="152"/>
        <v>9633.2886099999996</v>
      </c>
      <c r="U882" s="598">
        <v>702.12</v>
      </c>
      <c r="V882" s="598">
        <v>9633.2886099999996</v>
      </c>
      <c r="X882" s="599">
        <v>6033.1062899999997</v>
      </c>
    </row>
    <row r="883" spans="17:24" ht="11.1" customHeight="1" x14ac:dyDescent="0.45">
      <c r="Q883" s="439">
        <f t="shared" si="149"/>
        <v>305</v>
      </c>
      <c r="R883" s="596">
        <f t="shared" si="150"/>
        <v>45825</v>
      </c>
      <c r="S883" s="597">
        <f t="shared" si="151"/>
        <v>697.23</v>
      </c>
      <c r="T883" s="526">
        <f t="shared" si="152"/>
        <v>7018.3938799999996</v>
      </c>
      <c r="U883" s="598">
        <v>697.23</v>
      </c>
      <c r="V883" s="598">
        <v>7018.3938799999996</v>
      </c>
      <c r="X883" s="599">
        <v>5982.7169899999999</v>
      </c>
    </row>
    <row r="884" spans="17:24" ht="11.1" customHeight="1" x14ac:dyDescent="0.45">
      <c r="Q884" s="439">
        <f t="shared" si="149"/>
        <v>304</v>
      </c>
      <c r="R884" s="596">
        <f t="shared" si="150"/>
        <v>45826</v>
      </c>
      <c r="S884" s="597">
        <f t="shared" si="151"/>
        <v>695.77</v>
      </c>
      <c r="T884" s="526">
        <f t="shared" si="152"/>
        <v>7005.1897799999997</v>
      </c>
      <c r="U884" s="598">
        <v>695.77</v>
      </c>
      <c r="V884" s="598">
        <v>7005.1897799999997</v>
      </c>
      <c r="X884" s="599">
        <v>5980.8654999999999</v>
      </c>
    </row>
    <row r="885" spans="17:24" ht="11.1" customHeight="1" x14ac:dyDescent="0.45">
      <c r="Q885" s="439">
        <f t="shared" si="149"/>
        <v>303</v>
      </c>
      <c r="R885" s="596">
        <f t="shared" si="150"/>
        <v>45827</v>
      </c>
      <c r="S885" s="597" t="e">
        <f t="shared" si="151"/>
        <v>#N/A</v>
      </c>
      <c r="T885" s="526" t="e">
        <f t="shared" si="152"/>
        <v>#N/A</v>
      </c>
      <c r="U885" s="598">
        <v>695.77</v>
      </c>
      <c r="V885" s="598">
        <v>0</v>
      </c>
      <c r="X885" s="599">
        <v>5980.8654999999999</v>
      </c>
    </row>
    <row r="886" spans="17:24" ht="11.1" customHeight="1" x14ac:dyDescent="0.45">
      <c r="Q886" s="439">
        <f t="shared" si="149"/>
        <v>302</v>
      </c>
      <c r="R886" s="596">
        <f t="shared" si="150"/>
        <v>45828</v>
      </c>
      <c r="S886" s="597">
        <f t="shared" si="151"/>
        <v>682.35</v>
      </c>
      <c r="T886" s="526">
        <f t="shared" si="152"/>
        <v>15379.241</v>
      </c>
      <c r="U886" s="598">
        <v>682.35</v>
      </c>
      <c r="V886" s="598">
        <v>15379.241</v>
      </c>
      <c r="X886" s="599">
        <v>5967.8395</v>
      </c>
    </row>
    <row r="887" spans="17:24" ht="11.1" customHeight="1" x14ac:dyDescent="0.45">
      <c r="Q887" s="439">
        <f t="shared" si="149"/>
        <v>301</v>
      </c>
      <c r="R887" s="596">
        <f t="shared" si="150"/>
        <v>45829</v>
      </c>
      <c r="S887" s="597" t="e">
        <f t="shared" si="151"/>
        <v>#N/A</v>
      </c>
      <c r="T887" s="526" t="e">
        <f t="shared" si="152"/>
        <v>#N/A</v>
      </c>
      <c r="U887" s="598">
        <v>682.35</v>
      </c>
      <c r="V887" s="598">
        <v>0</v>
      </c>
      <c r="X887" s="599">
        <v>5967.8395</v>
      </c>
    </row>
    <row r="888" spans="17:24" ht="11.1" customHeight="1" x14ac:dyDescent="0.45">
      <c r="Q888" s="439">
        <f t="shared" si="149"/>
        <v>300</v>
      </c>
      <c r="R888" s="596">
        <f t="shared" si="150"/>
        <v>45830</v>
      </c>
      <c r="S888" s="597" t="e">
        <f t="shared" si="151"/>
        <v>#N/A</v>
      </c>
      <c r="T888" s="526" t="e">
        <f t="shared" si="152"/>
        <v>#N/A</v>
      </c>
      <c r="U888" s="598">
        <v>682.35</v>
      </c>
      <c r="V888" s="598">
        <v>0</v>
      </c>
      <c r="X888" s="599">
        <v>5967.8395</v>
      </c>
    </row>
    <row r="889" spans="17:24" ht="11.1" customHeight="1" x14ac:dyDescent="0.45">
      <c r="Q889" s="439">
        <f t="shared" si="149"/>
        <v>299</v>
      </c>
      <c r="R889" s="596">
        <f t="shared" si="150"/>
        <v>45831</v>
      </c>
      <c r="S889" s="597">
        <f t="shared" si="151"/>
        <v>698.53</v>
      </c>
      <c r="T889" s="526">
        <f t="shared" si="152"/>
        <v>7739.7508200000002</v>
      </c>
      <c r="U889" s="598">
        <v>698.53</v>
      </c>
      <c r="V889" s="598">
        <v>7739.7508200000002</v>
      </c>
      <c r="X889" s="599">
        <v>6025.1740399999999</v>
      </c>
    </row>
    <row r="890" spans="17:24" ht="11.1" customHeight="1" x14ac:dyDescent="0.45">
      <c r="Q890" s="439">
        <f t="shared" si="149"/>
        <v>298</v>
      </c>
      <c r="R890" s="596">
        <f t="shared" si="150"/>
        <v>45832</v>
      </c>
      <c r="S890" s="597">
        <f t="shared" si="151"/>
        <v>712.2</v>
      </c>
      <c r="T890" s="526">
        <f t="shared" si="152"/>
        <v>9844.8688000000002</v>
      </c>
      <c r="U890" s="598">
        <v>712.2</v>
      </c>
      <c r="V890" s="598">
        <v>9844.8688000000002</v>
      </c>
      <c r="X890" s="599">
        <v>6092.1810500000001</v>
      </c>
    </row>
    <row r="891" spans="17:24" ht="11.1" customHeight="1" x14ac:dyDescent="0.45">
      <c r="Q891" s="439">
        <f t="shared" si="149"/>
        <v>297</v>
      </c>
      <c r="R891" s="596">
        <f t="shared" si="150"/>
        <v>45833</v>
      </c>
      <c r="S891" s="597">
        <f t="shared" si="151"/>
        <v>708.68</v>
      </c>
      <c r="T891" s="526">
        <f t="shared" si="152"/>
        <v>6605.20658</v>
      </c>
      <c r="U891" s="598">
        <v>708.68</v>
      </c>
      <c r="V891" s="598">
        <v>6605.20658</v>
      </c>
      <c r="X891" s="599">
        <v>6092.1613699999998</v>
      </c>
    </row>
    <row r="892" spans="17:24" ht="11.1" customHeight="1" x14ac:dyDescent="0.45">
      <c r="Q892" s="439">
        <f t="shared" si="149"/>
        <v>296</v>
      </c>
      <c r="R892" s="596">
        <f t="shared" si="150"/>
        <v>45834</v>
      </c>
      <c r="S892" s="597">
        <f t="shared" si="151"/>
        <v>726.09</v>
      </c>
      <c r="T892" s="526">
        <f t="shared" si="152"/>
        <v>10139.696550000001</v>
      </c>
      <c r="U892" s="598">
        <v>726.09</v>
      </c>
      <c r="V892" s="598">
        <v>10139.696550000001</v>
      </c>
      <c r="X892" s="599">
        <v>6141.0192800000004</v>
      </c>
    </row>
    <row r="893" spans="17:24" ht="11.1" customHeight="1" x14ac:dyDescent="0.45">
      <c r="Q893" s="439">
        <f t="shared" si="149"/>
        <v>295</v>
      </c>
      <c r="R893" s="596">
        <f t="shared" si="150"/>
        <v>45835</v>
      </c>
      <c r="S893" s="597">
        <f t="shared" si="151"/>
        <v>733.63</v>
      </c>
      <c r="T893" s="526">
        <f t="shared" si="152"/>
        <v>13774.44247</v>
      </c>
      <c r="U893" s="598">
        <v>733.63</v>
      </c>
      <c r="V893" s="598">
        <v>13774.44247</v>
      </c>
      <c r="X893" s="599">
        <v>6173.0735699999996</v>
      </c>
    </row>
    <row r="894" spans="17:24" ht="11.1" customHeight="1" x14ac:dyDescent="0.45">
      <c r="Q894" s="439">
        <f t="shared" si="149"/>
        <v>294</v>
      </c>
      <c r="R894" s="596">
        <f t="shared" si="150"/>
        <v>45836</v>
      </c>
      <c r="S894" s="597" t="e">
        <f t="shared" si="151"/>
        <v>#N/A</v>
      </c>
      <c r="T894" s="526" t="e">
        <f t="shared" si="152"/>
        <v>#N/A</v>
      </c>
      <c r="U894" s="598">
        <v>733.63</v>
      </c>
      <c r="V894" s="598">
        <v>0</v>
      </c>
      <c r="X894" s="599">
        <v>6173.0735699999996</v>
      </c>
    </row>
    <row r="895" spans="17:24" ht="11.1" customHeight="1" x14ac:dyDescent="0.45">
      <c r="Q895" s="439">
        <f t="shared" si="149"/>
        <v>293</v>
      </c>
      <c r="R895" s="596">
        <f t="shared" si="150"/>
        <v>45837</v>
      </c>
      <c r="S895" s="597" t="e">
        <f t="shared" si="151"/>
        <v>#N/A</v>
      </c>
      <c r="T895" s="526" t="e">
        <f t="shared" si="152"/>
        <v>#N/A</v>
      </c>
      <c r="U895" s="598">
        <v>733.63</v>
      </c>
      <c r="V895" s="598">
        <v>0</v>
      </c>
      <c r="X895" s="599">
        <v>6173.0735699999996</v>
      </c>
    </row>
    <row r="896" spans="17:24" ht="11.1" customHeight="1" x14ac:dyDescent="0.45">
      <c r="Q896" s="439">
        <f t="shared" si="149"/>
        <v>292</v>
      </c>
      <c r="R896" s="596">
        <f t="shared" si="150"/>
        <v>45838</v>
      </c>
      <c r="S896" s="597">
        <f t="shared" si="151"/>
        <v>738.09</v>
      </c>
      <c r="T896" s="526">
        <f t="shared" si="152"/>
        <v>11368.13968</v>
      </c>
      <c r="U896" s="598">
        <v>738.09</v>
      </c>
      <c r="V896" s="598">
        <v>11368.13968</v>
      </c>
      <c r="X896" s="599">
        <v>6204.9539500000001</v>
      </c>
    </row>
    <row r="897" spans="17:24" ht="11.1" customHeight="1" x14ac:dyDescent="0.45">
      <c r="Q897" s="439">
        <f t="shared" si="149"/>
        <v>291</v>
      </c>
      <c r="R897" s="596">
        <f t="shared" si="150"/>
        <v>45839</v>
      </c>
      <c r="S897" s="597">
        <f t="shared" si="151"/>
        <v>719.22</v>
      </c>
      <c r="T897" s="526">
        <f t="shared" si="152"/>
        <v>9660.0221899999997</v>
      </c>
      <c r="U897" s="598">
        <v>719.22</v>
      </c>
      <c r="V897" s="598">
        <v>9660.0221899999997</v>
      </c>
      <c r="X897" s="599">
        <v>6198.00695</v>
      </c>
    </row>
    <row r="898" spans="17:24" ht="11.1" customHeight="1" x14ac:dyDescent="0.45">
      <c r="Q898" s="439">
        <f t="shared" si="149"/>
        <v>290</v>
      </c>
      <c r="R898" s="596">
        <f t="shared" si="150"/>
        <v>45840</v>
      </c>
      <c r="S898" s="597">
        <f t="shared" si="151"/>
        <v>713.57</v>
      </c>
      <c r="T898" s="526">
        <f t="shared" si="152"/>
        <v>6662.4175599999999</v>
      </c>
      <c r="U898" s="598">
        <v>713.57</v>
      </c>
      <c r="V898" s="598">
        <v>6662.4175599999999</v>
      </c>
      <c r="X898" s="599">
        <v>6227.4196899999997</v>
      </c>
    </row>
    <row r="899" spans="17:24" ht="11.1" customHeight="1" x14ac:dyDescent="0.45">
      <c r="Q899" s="439">
        <f t="shared" si="149"/>
        <v>289</v>
      </c>
      <c r="R899" s="596">
        <f t="shared" si="150"/>
        <v>45841</v>
      </c>
      <c r="S899" s="597">
        <f t="shared" si="151"/>
        <v>719.01</v>
      </c>
      <c r="T899" s="526">
        <f t="shared" si="152"/>
        <v>6184.6745199999996</v>
      </c>
      <c r="U899" s="598">
        <v>719.01</v>
      </c>
      <c r="V899" s="598">
        <v>6184.6745199999996</v>
      </c>
      <c r="X899" s="599">
        <v>6279.3509700000004</v>
      </c>
    </row>
    <row r="900" spans="17:24" ht="11.1" customHeight="1" x14ac:dyDescent="0.45">
      <c r="Q900" s="439">
        <f t="shared" si="149"/>
        <v>288</v>
      </c>
      <c r="R900" s="596">
        <f t="shared" si="150"/>
        <v>45842</v>
      </c>
      <c r="S900" s="597" t="e">
        <f t="shared" si="151"/>
        <v>#N/A</v>
      </c>
      <c r="T900" s="526" t="e">
        <f t="shared" si="152"/>
        <v>#N/A</v>
      </c>
      <c r="U900" s="598">
        <v>719.01</v>
      </c>
      <c r="V900" s="598">
        <v>0</v>
      </c>
      <c r="X900" s="599">
        <v>6279.3509700000004</v>
      </c>
    </row>
    <row r="901" spans="17:24" ht="11.1" customHeight="1" x14ac:dyDescent="0.45">
      <c r="Q901" s="439">
        <f t="shared" si="149"/>
        <v>287</v>
      </c>
      <c r="R901" s="596">
        <f t="shared" si="150"/>
        <v>45843</v>
      </c>
      <c r="S901" s="597" t="e">
        <f t="shared" si="151"/>
        <v>#N/A</v>
      </c>
      <c r="T901" s="526" t="e">
        <f t="shared" si="152"/>
        <v>#N/A</v>
      </c>
      <c r="U901" s="598">
        <v>719.01</v>
      </c>
      <c r="V901" s="598">
        <v>0</v>
      </c>
      <c r="X901" s="599">
        <v>6279.3509700000004</v>
      </c>
    </row>
    <row r="902" spans="17:24" ht="11.1" customHeight="1" x14ac:dyDescent="0.45">
      <c r="Q902" s="439">
        <f t="shared" si="149"/>
        <v>286</v>
      </c>
      <c r="R902" s="596">
        <f t="shared" si="150"/>
        <v>45844</v>
      </c>
      <c r="S902" s="597" t="e">
        <f t="shared" si="151"/>
        <v>#N/A</v>
      </c>
      <c r="T902" s="526" t="e">
        <f t="shared" si="152"/>
        <v>#N/A</v>
      </c>
      <c r="U902" s="598">
        <v>719.01</v>
      </c>
      <c r="V902" s="598">
        <v>0</v>
      </c>
      <c r="X902" s="599">
        <v>6279.3509700000004</v>
      </c>
    </row>
    <row r="903" spans="17:24" ht="11.1" customHeight="1" x14ac:dyDescent="0.45">
      <c r="Q903" s="439">
        <f t="shared" si="149"/>
        <v>285</v>
      </c>
      <c r="R903" s="596">
        <f t="shared" si="150"/>
        <v>45845</v>
      </c>
      <c r="S903" s="597">
        <f t="shared" si="151"/>
        <v>718.35</v>
      </c>
      <c r="T903" s="526">
        <f t="shared" si="152"/>
        <v>6793.4934199999998</v>
      </c>
      <c r="U903" s="598">
        <v>718.35</v>
      </c>
      <c r="V903" s="598">
        <v>6793.4934199999998</v>
      </c>
      <c r="X903" s="599">
        <v>6229.9774600000001</v>
      </c>
    </row>
    <row r="904" spans="17:24" ht="11.1" customHeight="1" x14ac:dyDescent="0.45">
      <c r="Q904" s="439">
        <f t="shared" si="149"/>
        <v>284</v>
      </c>
      <c r="R904" s="596">
        <f t="shared" si="150"/>
        <v>45846</v>
      </c>
      <c r="S904" s="597">
        <f t="shared" si="151"/>
        <v>720.67</v>
      </c>
      <c r="T904" s="526">
        <f t="shared" si="152"/>
        <v>5600.1053199999997</v>
      </c>
      <c r="U904" s="598">
        <v>720.67</v>
      </c>
      <c r="V904" s="598">
        <v>5600.1053199999997</v>
      </c>
      <c r="X904" s="599">
        <v>6225.5234099999998</v>
      </c>
    </row>
    <row r="905" spans="17:24" ht="11.1" customHeight="1" x14ac:dyDescent="0.45">
      <c r="Q905" s="439">
        <f t="shared" si="149"/>
        <v>283</v>
      </c>
      <c r="R905" s="596">
        <f t="shared" si="150"/>
        <v>45847</v>
      </c>
      <c r="S905" s="597">
        <f t="shared" si="151"/>
        <v>732.78</v>
      </c>
      <c r="T905" s="526">
        <f t="shared" si="152"/>
        <v>8366.8549299999995</v>
      </c>
      <c r="U905" s="598">
        <v>732.78</v>
      </c>
      <c r="V905" s="598">
        <v>8366.8549299999995</v>
      </c>
      <c r="X905" s="599">
        <v>6263.2643799999996</v>
      </c>
    </row>
    <row r="906" spans="17:24" ht="11.1" customHeight="1" x14ac:dyDescent="0.45">
      <c r="Q906" s="439">
        <f t="shared" si="149"/>
        <v>282</v>
      </c>
      <c r="R906" s="596">
        <f t="shared" si="150"/>
        <v>45848</v>
      </c>
      <c r="S906" s="597">
        <f t="shared" si="151"/>
        <v>727.24</v>
      </c>
      <c r="T906" s="526">
        <f t="shared" si="152"/>
        <v>7215.8563599999998</v>
      </c>
      <c r="U906" s="598">
        <v>727.24</v>
      </c>
      <c r="V906" s="598">
        <v>7215.8563599999998</v>
      </c>
      <c r="X906" s="599">
        <v>6280.4583000000002</v>
      </c>
    </row>
    <row r="907" spans="17:24" ht="11.1" customHeight="1" x14ac:dyDescent="0.45">
      <c r="Q907" s="439">
        <f t="shared" si="149"/>
        <v>281</v>
      </c>
      <c r="R907" s="596">
        <f t="shared" si="150"/>
        <v>45849</v>
      </c>
      <c r="S907" s="597">
        <f t="shared" si="151"/>
        <v>717.51</v>
      </c>
      <c r="T907" s="526">
        <f t="shared" si="152"/>
        <v>7802.1176400000004</v>
      </c>
      <c r="U907" s="598">
        <v>717.51</v>
      </c>
      <c r="V907" s="598">
        <v>7802.1176400000004</v>
      </c>
      <c r="X907" s="599">
        <v>6259.7464399999999</v>
      </c>
    </row>
    <row r="908" spans="17:24" ht="11.1" customHeight="1" x14ac:dyDescent="0.45">
      <c r="Q908" s="439">
        <f t="shared" si="149"/>
        <v>280</v>
      </c>
      <c r="R908" s="596">
        <f t="shared" si="150"/>
        <v>45850</v>
      </c>
      <c r="S908" s="597" t="e">
        <f t="shared" si="151"/>
        <v>#N/A</v>
      </c>
      <c r="T908" s="526" t="e">
        <f t="shared" si="152"/>
        <v>#N/A</v>
      </c>
      <c r="U908" s="598">
        <v>717.51</v>
      </c>
      <c r="V908" s="598">
        <v>0</v>
      </c>
      <c r="X908" s="599">
        <v>6259.7464399999999</v>
      </c>
    </row>
    <row r="909" spans="17:24" ht="11.1" customHeight="1" x14ac:dyDescent="0.45">
      <c r="Q909" s="439">
        <f t="shared" si="149"/>
        <v>279</v>
      </c>
      <c r="R909" s="596">
        <f t="shared" si="150"/>
        <v>45851</v>
      </c>
      <c r="S909" s="597" t="e">
        <f t="shared" si="151"/>
        <v>#N/A</v>
      </c>
      <c r="T909" s="526" t="e">
        <f t="shared" si="152"/>
        <v>#N/A</v>
      </c>
      <c r="U909" s="598">
        <v>717.51</v>
      </c>
      <c r="V909" s="598">
        <v>0</v>
      </c>
      <c r="X909" s="599">
        <v>6259.7464399999999</v>
      </c>
    </row>
    <row r="910" spans="17:24" ht="11.1" customHeight="1" x14ac:dyDescent="0.45">
      <c r="Q910" s="439">
        <f t="shared" si="149"/>
        <v>278</v>
      </c>
      <c r="R910" s="596">
        <f t="shared" si="150"/>
        <v>45852</v>
      </c>
      <c r="S910" s="597">
        <f t="shared" si="151"/>
        <v>720.92</v>
      </c>
      <c r="T910" s="526">
        <f t="shared" si="152"/>
        <v>6444.5915299999997</v>
      </c>
      <c r="U910" s="598">
        <v>720.92</v>
      </c>
      <c r="V910" s="598">
        <v>6444.5915299999997</v>
      </c>
      <c r="X910" s="599">
        <v>6268.5590099999999</v>
      </c>
    </row>
    <row r="911" spans="17:24" ht="11.1" customHeight="1" x14ac:dyDescent="0.45">
      <c r="Q911" s="439">
        <f t="shared" si="149"/>
        <v>277</v>
      </c>
      <c r="R911" s="596">
        <f t="shared" si="150"/>
        <v>45853</v>
      </c>
      <c r="S911" s="597">
        <f t="shared" si="151"/>
        <v>710.39</v>
      </c>
      <c r="T911" s="526">
        <f t="shared" si="152"/>
        <v>8190.4493199999997</v>
      </c>
      <c r="U911" s="598">
        <v>710.39</v>
      </c>
      <c r="V911" s="598">
        <v>8190.4493199999997</v>
      </c>
      <c r="X911" s="599">
        <v>6243.7557100000004</v>
      </c>
    </row>
    <row r="912" spans="17:24" ht="11.1" customHeight="1" x14ac:dyDescent="0.45">
      <c r="Q912" s="439">
        <f t="shared" si="149"/>
        <v>276</v>
      </c>
      <c r="R912" s="596">
        <f t="shared" si="150"/>
        <v>45854</v>
      </c>
      <c r="S912" s="597">
        <f t="shared" si="151"/>
        <v>702.91</v>
      </c>
      <c r="T912" s="526">
        <f t="shared" si="152"/>
        <v>9185.3657000000003</v>
      </c>
      <c r="U912" s="598">
        <v>702.91</v>
      </c>
      <c r="V912" s="598">
        <v>9185.3657000000003</v>
      </c>
      <c r="X912" s="599">
        <v>6263.69524</v>
      </c>
    </row>
    <row r="913" spans="17:24" ht="11.1" customHeight="1" x14ac:dyDescent="0.45">
      <c r="Q913" s="439">
        <f t="shared" si="149"/>
        <v>275</v>
      </c>
      <c r="R913" s="596">
        <f t="shared" si="150"/>
        <v>45855</v>
      </c>
      <c r="S913" s="597">
        <f t="shared" si="151"/>
        <v>701.41</v>
      </c>
      <c r="T913" s="526">
        <f t="shared" si="152"/>
        <v>8278.9274000000005</v>
      </c>
      <c r="U913" s="598">
        <v>701.41</v>
      </c>
      <c r="V913" s="598">
        <v>8278.9274000000005</v>
      </c>
      <c r="X913" s="599">
        <v>6297.3619099999996</v>
      </c>
    </row>
    <row r="914" spans="17:24" ht="11.1" customHeight="1" x14ac:dyDescent="0.45">
      <c r="Q914" s="439">
        <f t="shared" si="149"/>
        <v>274</v>
      </c>
      <c r="R914" s="596">
        <f t="shared" si="150"/>
        <v>45856</v>
      </c>
      <c r="S914" s="597">
        <f t="shared" si="151"/>
        <v>704.28</v>
      </c>
      <c r="T914" s="526">
        <f t="shared" si="152"/>
        <v>9000.5237400000005</v>
      </c>
      <c r="U914" s="598">
        <v>704.28</v>
      </c>
      <c r="V914" s="598">
        <v>9000.5237400000005</v>
      </c>
      <c r="X914" s="599">
        <v>6296.7890399999997</v>
      </c>
    </row>
    <row r="915" spans="17:24" ht="11.1" customHeight="1" x14ac:dyDescent="0.45">
      <c r="Q915" s="439">
        <f t="shared" si="149"/>
        <v>273</v>
      </c>
      <c r="R915" s="596">
        <f t="shared" si="150"/>
        <v>45857</v>
      </c>
      <c r="S915" s="597" t="e">
        <f t="shared" si="151"/>
        <v>#N/A</v>
      </c>
      <c r="T915" s="526" t="e">
        <f t="shared" si="152"/>
        <v>#N/A</v>
      </c>
      <c r="U915" s="598">
        <v>704.28</v>
      </c>
      <c r="V915" s="598">
        <v>0</v>
      </c>
      <c r="X915" s="599">
        <v>6296.7890399999997</v>
      </c>
    </row>
    <row r="916" spans="17:24" ht="11.1" customHeight="1" x14ac:dyDescent="0.45">
      <c r="Q916" s="439">
        <f t="shared" si="149"/>
        <v>272</v>
      </c>
      <c r="R916" s="596">
        <f t="shared" si="150"/>
        <v>45858</v>
      </c>
      <c r="S916" s="597" t="e">
        <f t="shared" si="151"/>
        <v>#N/A</v>
      </c>
      <c r="T916" s="526" t="e">
        <f t="shared" si="152"/>
        <v>#N/A</v>
      </c>
      <c r="U916" s="598">
        <v>704.28</v>
      </c>
      <c r="V916" s="598">
        <v>0</v>
      </c>
      <c r="X916" s="599">
        <v>6296.7890399999997</v>
      </c>
    </row>
    <row r="917" spans="17:24" ht="11.1" customHeight="1" x14ac:dyDescent="0.45">
      <c r="Q917" s="439">
        <f t="shared" si="149"/>
        <v>271</v>
      </c>
      <c r="R917" s="596">
        <f t="shared" si="150"/>
        <v>45859</v>
      </c>
      <c r="S917" s="597">
        <f t="shared" si="151"/>
        <v>712.96500000000003</v>
      </c>
      <c r="T917" s="526">
        <f t="shared" si="152"/>
        <v>6705.0016299999997</v>
      </c>
      <c r="U917" s="598">
        <v>712.96500000000003</v>
      </c>
      <c r="V917" s="598">
        <v>6705.0016299999997</v>
      </c>
      <c r="X917" s="599">
        <v>6305.5951800000003</v>
      </c>
    </row>
    <row r="918" spans="17:24" ht="11.1" customHeight="1" x14ac:dyDescent="0.45">
      <c r="Q918" s="439">
        <f t="shared" si="149"/>
        <v>270</v>
      </c>
      <c r="R918" s="596">
        <f t="shared" si="150"/>
        <v>45860</v>
      </c>
      <c r="S918" s="597">
        <f t="shared" si="151"/>
        <v>704.81</v>
      </c>
      <c r="T918" s="526">
        <f t="shared" si="152"/>
        <v>6287.6551200000004</v>
      </c>
      <c r="U918" s="598">
        <v>704.81</v>
      </c>
      <c r="V918" s="598">
        <v>6287.6551200000004</v>
      </c>
      <c r="X918" s="599">
        <v>6309.6236799999997</v>
      </c>
    </row>
    <row r="919" spans="17:24" ht="11.1" customHeight="1" x14ac:dyDescent="0.45">
      <c r="Q919" s="439">
        <f t="shared" si="149"/>
        <v>269</v>
      </c>
      <c r="R919" s="596">
        <f t="shared" si="150"/>
        <v>45861</v>
      </c>
      <c r="S919" s="597">
        <f t="shared" si="151"/>
        <v>713.58</v>
      </c>
      <c r="T919" s="526">
        <f t="shared" si="152"/>
        <v>6259.2490299999999</v>
      </c>
      <c r="U919" s="598">
        <v>713.58</v>
      </c>
      <c r="V919" s="598">
        <v>6259.2490299999999</v>
      </c>
      <c r="X919" s="599">
        <v>6358.9137899999996</v>
      </c>
    </row>
    <row r="920" spans="17:24" ht="11.1" customHeight="1" x14ac:dyDescent="0.45">
      <c r="Q920" s="439">
        <f t="shared" si="149"/>
        <v>268</v>
      </c>
      <c r="R920" s="596">
        <f t="shared" si="150"/>
        <v>45862</v>
      </c>
      <c r="S920" s="597">
        <f t="shared" si="151"/>
        <v>714.8</v>
      </c>
      <c r="T920" s="526">
        <f t="shared" si="152"/>
        <v>7806.2135699999999</v>
      </c>
      <c r="U920" s="598">
        <v>714.8</v>
      </c>
      <c r="V920" s="598">
        <v>7806.2135699999999</v>
      </c>
      <c r="X920" s="599">
        <v>6363.3492999999999</v>
      </c>
    </row>
    <row r="921" spans="17:24" ht="11.1" customHeight="1" x14ac:dyDescent="0.45">
      <c r="Q921" s="439">
        <f t="shared" si="149"/>
        <v>267</v>
      </c>
      <c r="R921" s="596">
        <f t="shared" si="150"/>
        <v>45863</v>
      </c>
      <c r="S921" s="597">
        <f t="shared" si="151"/>
        <v>712.68</v>
      </c>
      <c r="T921" s="526">
        <f t="shared" si="152"/>
        <v>5895.0737300000001</v>
      </c>
      <c r="U921" s="598">
        <v>712.68</v>
      </c>
      <c r="V921" s="598">
        <v>5895.0737300000001</v>
      </c>
      <c r="X921" s="599">
        <v>6388.6445000000003</v>
      </c>
    </row>
    <row r="922" spans="17:24" ht="11.1" customHeight="1" x14ac:dyDescent="0.45">
      <c r="Q922" s="439">
        <f t="shared" si="149"/>
        <v>266</v>
      </c>
      <c r="R922" s="596">
        <f t="shared" si="150"/>
        <v>45864</v>
      </c>
      <c r="S922" s="597" t="e">
        <f t="shared" si="151"/>
        <v>#N/A</v>
      </c>
      <c r="T922" s="526" t="e">
        <f t="shared" si="152"/>
        <v>#N/A</v>
      </c>
      <c r="U922" s="598">
        <v>712.68</v>
      </c>
      <c r="V922" s="598">
        <v>0</v>
      </c>
      <c r="X922" s="599">
        <v>6388.6445000000003</v>
      </c>
    </row>
    <row r="923" spans="17:24" ht="11.1" customHeight="1" x14ac:dyDescent="0.45">
      <c r="Q923" s="439">
        <f t="shared" si="149"/>
        <v>265</v>
      </c>
      <c r="R923" s="596">
        <f t="shared" si="150"/>
        <v>45865</v>
      </c>
      <c r="S923" s="597" t="e">
        <f t="shared" si="151"/>
        <v>#N/A</v>
      </c>
      <c r="T923" s="526" t="e">
        <f t="shared" si="152"/>
        <v>#N/A</v>
      </c>
      <c r="U923" s="598">
        <v>712.68</v>
      </c>
      <c r="V923" s="598">
        <v>0</v>
      </c>
      <c r="X923" s="599">
        <v>6388.6445000000003</v>
      </c>
    </row>
    <row r="924" spans="17:24" ht="11.1" customHeight="1" x14ac:dyDescent="0.45">
      <c r="Q924" s="439">
        <f t="shared" si="149"/>
        <v>264</v>
      </c>
      <c r="R924" s="596">
        <f t="shared" si="150"/>
        <v>45866</v>
      </c>
      <c r="S924" s="597">
        <f t="shared" si="151"/>
        <v>717.63</v>
      </c>
      <c r="T924" s="526">
        <f t="shared" si="152"/>
        <v>6254.6786499999998</v>
      </c>
      <c r="U924" s="598">
        <v>717.63</v>
      </c>
      <c r="V924" s="598">
        <v>6254.6786499999998</v>
      </c>
      <c r="X924" s="599">
        <v>6389.7664800000002</v>
      </c>
    </row>
    <row r="925" spans="17:24" ht="11.1" customHeight="1" x14ac:dyDescent="0.45">
      <c r="Q925" s="439">
        <f t="shared" ref="Q925:Q988" si="153">Q926+1</f>
        <v>263</v>
      </c>
      <c r="R925" s="596">
        <f t="shared" ref="R925:R988" si="154">R926-1</f>
        <v>45867</v>
      </c>
      <c r="S925" s="597">
        <f t="shared" ref="S925:S988" si="155">IF(U925=U924,#N/A,U925)</f>
        <v>700</v>
      </c>
      <c r="T925" s="526">
        <f t="shared" ref="T925:T988" si="156">IF(S925="#NV",#N/A,V925)</f>
        <v>9286.9223999999995</v>
      </c>
      <c r="U925" s="598">
        <v>700</v>
      </c>
      <c r="V925" s="598">
        <v>9286.9223999999995</v>
      </c>
      <c r="X925" s="599">
        <v>6370.8612999999996</v>
      </c>
    </row>
    <row r="926" spans="17:24" ht="11.1" customHeight="1" x14ac:dyDescent="0.45">
      <c r="Q926" s="439">
        <f t="shared" si="153"/>
        <v>262</v>
      </c>
      <c r="R926" s="596">
        <f t="shared" si="154"/>
        <v>45868</v>
      </c>
      <c r="S926" s="597">
        <f t="shared" si="155"/>
        <v>695.21</v>
      </c>
      <c r="T926" s="526">
        <f t="shared" si="156"/>
        <v>18824.400000000001</v>
      </c>
      <c r="U926" s="598">
        <v>695.21</v>
      </c>
      <c r="V926" s="598">
        <v>18824.400000000001</v>
      </c>
      <c r="X926" s="599">
        <v>6362.89876</v>
      </c>
    </row>
    <row r="927" spans="17:24" ht="11.1" customHeight="1" x14ac:dyDescent="0.45">
      <c r="Q927" s="439">
        <f t="shared" si="153"/>
        <v>261</v>
      </c>
      <c r="R927" s="596">
        <f t="shared" si="154"/>
        <v>45869</v>
      </c>
      <c r="S927" s="597">
        <f t="shared" si="155"/>
        <v>773.44</v>
      </c>
      <c r="T927" s="526">
        <f t="shared" si="156"/>
        <v>30033.524440000001</v>
      </c>
      <c r="U927" s="598">
        <v>773.44</v>
      </c>
      <c r="V927" s="598">
        <v>30033.524440000001</v>
      </c>
      <c r="X927" s="599">
        <v>6339.3945700000004</v>
      </c>
    </row>
    <row r="928" spans="17:24" ht="11.1" customHeight="1" x14ac:dyDescent="0.45">
      <c r="Q928" s="439">
        <f t="shared" si="153"/>
        <v>260</v>
      </c>
      <c r="R928" s="596">
        <f t="shared" si="154"/>
        <v>45870</v>
      </c>
      <c r="S928" s="597">
        <f t="shared" si="155"/>
        <v>750.01</v>
      </c>
      <c r="T928" s="526">
        <f t="shared" si="156"/>
        <v>14271.72279</v>
      </c>
      <c r="U928" s="598">
        <v>750.01</v>
      </c>
      <c r="V928" s="598">
        <v>14271.72279</v>
      </c>
      <c r="X928" s="599">
        <v>6238.0065699999996</v>
      </c>
    </row>
    <row r="929" spans="17:24" ht="11.1" customHeight="1" x14ac:dyDescent="0.45">
      <c r="Q929" s="439">
        <f t="shared" si="153"/>
        <v>259</v>
      </c>
      <c r="R929" s="596">
        <f t="shared" si="154"/>
        <v>45871</v>
      </c>
      <c r="S929" s="597" t="e">
        <f t="shared" si="155"/>
        <v>#N/A</v>
      </c>
      <c r="T929" s="526" t="e">
        <f t="shared" si="156"/>
        <v>#N/A</v>
      </c>
      <c r="U929" s="598">
        <v>750.01</v>
      </c>
      <c r="V929" s="598">
        <v>0</v>
      </c>
      <c r="X929" s="599">
        <v>6238.0065699999996</v>
      </c>
    </row>
    <row r="930" spans="17:24" ht="11.1" customHeight="1" x14ac:dyDescent="0.45">
      <c r="Q930" s="439">
        <f t="shared" si="153"/>
        <v>258</v>
      </c>
      <c r="R930" s="596">
        <f t="shared" si="154"/>
        <v>45872</v>
      </c>
      <c r="S930" s="597" t="e">
        <f t="shared" si="155"/>
        <v>#N/A</v>
      </c>
      <c r="T930" s="526" t="e">
        <f t="shared" si="156"/>
        <v>#N/A</v>
      </c>
      <c r="U930" s="598">
        <v>750.01</v>
      </c>
      <c r="V930" s="598">
        <v>0</v>
      </c>
      <c r="X930" s="599">
        <v>6238.0065699999996</v>
      </c>
    </row>
    <row r="931" spans="17:24" ht="11.1" customHeight="1" x14ac:dyDescent="0.45">
      <c r="Q931" s="439">
        <f t="shared" si="153"/>
        <v>257</v>
      </c>
      <c r="R931" s="596">
        <f t="shared" si="154"/>
        <v>45873</v>
      </c>
      <c r="S931" s="597">
        <f t="shared" si="155"/>
        <v>776.37</v>
      </c>
      <c r="T931" s="526">
        <f t="shared" si="156"/>
        <v>12267.986790000001</v>
      </c>
      <c r="U931" s="598">
        <v>776.37</v>
      </c>
      <c r="V931" s="598">
        <v>12267.986790000001</v>
      </c>
      <c r="X931" s="599">
        <v>6329.9395000000004</v>
      </c>
    </row>
    <row r="932" spans="17:24" ht="11.1" customHeight="1" x14ac:dyDescent="0.45">
      <c r="Q932" s="439">
        <f t="shared" si="153"/>
        <v>256</v>
      </c>
      <c r="R932" s="596">
        <f t="shared" si="154"/>
        <v>45874</v>
      </c>
      <c r="S932" s="597">
        <f t="shared" si="155"/>
        <v>763.46</v>
      </c>
      <c r="T932" s="526">
        <f t="shared" si="156"/>
        <v>8886.8988599999993</v>
      </c>
      <c r="U932" s="598">
        <v>763.46</v>
      </c>
      <c r="V932" s="598">
        <v>8886.8988599999993</v>
      </c>
      <c r="X932" s="599">
        <v>6299.1939499999999</v>
      </c>
    </row>
    <row r="933" spans="17:24" ht="11.1" customHeight="1" x14ac:dyDescent="0.45">
      <c r="Q933" s="439">
        <f t="shared" si="153"/>
        <v>255</v>
      </c>
      <c r="R933" s="596">
        <f t="shared" si="154"/>
        <v>45875</v>
      </c>
      <c r="S933" s="597">
        <f t="shared" si="155"/>
        <v>771.99</v>
      </c>
      <c r="T933" s="526">
        <f t="shared" si="156"/>
        <v>7514.4811799999998</v>
      </c>
      <c r="U933" s="598">
        <v>771.99</v>
      </c>
      <c r="V933" s="598">
        <v>7514.4811799999998</v>
      </c>
      <c r="X933" s="599">
        <v>6345.0595400000002</v>
      </c>
    </row>
    <row r="934" spans="17:24" ht="11.1" customHeight="1" x14ac:dyDescent="0.45">
      <c r="Q934" s="439">
        <f t="shared" si="153"/>
        <v>254</v>
      </c>
      <c r="R934" s="596">
        <f t="shared" si="154"/>
        <v>45876</v>
      </c>
      <c r="S934" s="597">
        <f t="shared" si="155"/>
        <v>761.83</v>
      </c>
      <c r="T934" s="526">
        <f t="shared" si="156"/>
        <v>6871.4712</v>
      </c>
      <c r="U934" s="598">
        <v>761.83</v>
      </c>
      <c r="V934" s="598">
        <v>6871.4712</v>
      </c>
      <c r="X934" s="599">
        <v>6339.99773</v>
      </c>
    </row>
    <row r="935" spans="17:24" ht="11.1" customHeight="1" x14ac:dyDescent="0.45">
      <c r="Q935" s="439">
        <f t="shared" si="153"/>
        <v>253</v>
      </c>
      <c r="R935" s="596">
        <f t="shared" si="154"/>
        <v>45877</v>
      </c>
      <c r="S935" s="597">
        <f t="shared" si="155"/>
        <v>769.3</v>
      </c>
      <c r="T935" s="526">
        <f t="shared" si="156"/>
        <v>5631.85682</v>
      </c>
      <c r="U935" s="598">
        <v>769.3</v>
      </c>
      <c r="V935" s="598">
        <v>5631.85682</v>
      </c>
      <c r="X935" s="599">
        <v>6389.4453100000001</v>
      </c>
    </row>
    <row r="936" spans="17:24" ht="11.1" customHeight="1" x14ac:dyDescent="0.45">
      <c r="Q936" s="439">
        <f t="shared" si="153"/>
        <v>252</v>
      </c>
      <c r="R936" s="596">
        <f t="shared" si="154"/>
        <v>45878</v>
      </c>
      <c r="S936" s="597" t="e">
        <f t="shared" si="155"/>
        <v>#N/A</v>
      </c>
      <c r="T936" s="526" t="e">
        <f t="shared" si="156"/>
        <v>#N/A</v>
      </c>
      <c r="U936" s="598">
        <v>769.3</v>
      </c>
      <c r="V936" s="598">
        <v>0</v>
      </c>
      <c r="X936" s="599">
        <v>6389.4453100000001</v>
      </c>
    </row>
    <row r="937" spans="17:24" ht="11.1" customHeight="1" x14ac:dyDescent="0.45">
      <c r="Q937" s="439">
        <f t="shared" si="153"/>
        <v>251</v>
      </c>
      <c r="R937" s="596">
        <f t="shared" si="154"/>
        <v>45879</v>
      </c>
      <c r="S937" s="597" t="e">
        <f t="shared" si="155"/>
        <v>#N/A</v>
      </c>
      <c r="T937" s="526" t="e">
        <f t="shared" si="156"/>
        <v>#N/A</v>
      </c>
      <c r="U937" s="598">
        <v>769.3</v>
      </c>
      <c r="V937" s="598">
        <v>0</v>
      </c>
      <c r="X937" s="599">
        <v>6389.4453100000001</v>
      </c>
    </row>
    <row r="938" spans="17:24" ht="11.1" customHeight="1" x14ac:dyDescent="0.45">
      <c r="Q938" s="439">
        <f t="shared" si="153"/>
        <v>250</v>
      </c>
      <c r="R938" s="596">
        <f t="shared" si="154"/>
        <v>45880</v>
      </c>
      <c r="S938" s="597">
        <f t="shared" si="155"/>
        <v>765.87</v>
      </c>
      <c r="T938" s="526">
        <f t="shared" si="156"/>
        <v>5829.7748700000002</v>
      </c>
      <c r="U938" s="598">
        <v>765.87</v>
      </c>
      <c r="V938" s="598">
        <v>5829.7748700000002</v>
      </c>
      <c r="X938" s="599">
        <v>6373.4533700000002</v>
      </c>
    </row>
    <row r="939" spans="17:24" ht="11.1" customHeight="1" x14ac:dyDescent="0.45">
      <c r="Q939" s="439">
        <f t="shared" si="153"/>
        <v>249</v>
      </c>
      <c r="R939" s="596">
        <f t="shared" si="154"/>
        <v>45881</v>
      </c>
      <c r="S939" s="597">
        <f t="shared" si="155"/>
        <v>790</v>
      </c>
      <c r="T939" s="526">
        <f t="shared" si="156"/>
        <v>11518.014349999999</v>
      </c>
      <c r="U939" s="598">
        <v>790</v>
      </c>
      <c r="V939" s="598">
        <v>11518.014349999999</v>
      </c>
      <c r="X939" s="599">
        <v>6445.7622000000001</v>
      </c>
    </row>
    <row r="940" spans="17:24" ht="11.1" customHeight="1" x14ac:dyDescent="0.45">
      <c r="Q940" s="439">
        <f t="shared" si="153"/>
        <v>248</v>
      </c>
      <c r="R940" s="596">
        <f t="shared" si="154"/>
        <v>45882</v>
      </c>
      <c r="S940" s="597">
        <f t="shared" si="155"/>
        <v>780.08</v>
      </c>
      <c r="T940" s="526">
        <f t="shared" si="156"/>
        <v>6873.8699399999996</v>
      </c>
      <c r="U940" s="598">
        <v>780.08</v>
      </c>
      <c r="V940" s="598">
        <v>6873.8699399999996</v>
      </c>
      <c r="X940" s="599">
        <v>6466.5846899999997</v>
      </c>
    </row>
    <row r="941" spans="17:24" ht="11.1" customHeight="1" x14ac:dyDescent="0.45">
      <c r="Q941" s="439">
        <f t="shared" si="153"/>
        <v>247</v>
      </c>
      <c r="R941" s="596">
        <f t="shared" si="154"/>
        <v>45883</v>
      </c>
      <c r="S941" s="597">
        <f t="shared" si="155"/>
        <v>782.13</v>
      </c>
      <c r="T941" s="526">
        <f t="shared" si="156"/>
        <v>6347.9180299999998</v>
      </c>
      <c r="U941" s="598">
        <v>782.13</v>
      </c>
      <c r="V941" s="598">
        <v>6347.9180299999998</v>
      </c>
      <c r="X941" s="599">
        <v>6468.5351899999996</v>
      </c>
    </row>
    <row r="942" spans="17:24" ht="11.1" customHeight="1" x14ac:dyDescent="0.45">
      <c r="Q942" s="439">
        <f t="shared" si="153"/>
        <v>246</v>
      </c>
      <c r="R942" s="596">
        <f t="shared" si="154"/>
        <v>45884</v>
      </c>
      <c r="S942" s="597">
        <f t="shared" si="155"/>
        <v>785.23</v>
      </c>
      <c r="T942" s="526">
        <f t="shared" si="156"/>
        <v>10502.73472</v>
      </c>
      <c r="U942" s="598">
        <v>785.23</v>
      </c>
      <c r="V942" s="598">
        <v>10502.73472</v>
      </c>
      <c r="X942" s="599">
        <v>6449.7965800000002</v>
      </c>
    </row>
    <row r="943" spans="17:24" ht="11.1" customHeight="1" x14ac:dyDescent="0.45">
      <c r="Q943" s="439">
        <f t="shared" si="153"/>
        <v>245</v>
      </c>
      <c r="R943" s="596">
        <f t="shared" si="154"/>
        <v>45885</v>
      </c>
      <c r="S943" s="597" t="e">
        <f t="shared" si="155"/>
        <v>#N/A</v>
      </c>
      <c r="T943" s="526" t="e">
        <f t="shared" si="156"/>
        <v>#N/A</v>
      </c>
      <c r="U943" s="598">
        <v>785.23</v>
      </c>
      <c r="V943" s="598">
        <v>0</v>
      </c>
      <c r="X943" s="599">
        <v>6449.7965800000002</v>
      </c>
    </row>
    <row r="944" spans="17:24" ht="11.1" customHeight="1" x14ac:dyDescent="0.45">
      <c r="Q944" s="439">
        <f t="shared" si="153"/>
        <v>244</v>
      </c>
      <c r="R944" s="596">
        <f t="shared" si="154"/>
        <v>45886</v>
      </c>
      <c r="S944" s="597" t="e">
        <f t="shared" si="155"/>
        <v>#N/A</v>
      </c>
      <c r="T944" s="526" t="e">
        <f t="shared" si="156"/>
        <v>#N/A</v>
      </c>
      <c r="U944" s="598">
        <v>785.23</v>
      </c>
      <c r="V944" s="598">
        <v>0</v>
      </c>
      <c r="X944" s="599">
        <v>6449.7965800000002</v>
      </c>
    </row>
    <row r="945" spans="17:24" ht="11.1" customHeight="1" x14ac:dyDescent="0.45">
      <c r="Q945" s="439">
        <f t="shared" si="153"/>
        <v>243</v>
      </c>
      <c r="R945" s="596">
        <f t="shared" si="154"/>
        <v>45887</v>
      </c>
      <c r="S945" s="597">
        <f t="shared" si="155"/>
        <v>767.37</v>
      </c>
      <c r="T945" s="526">
        <f t="shared" si="156"/>
        <v>12672.146360000001</v>
      </c>
      <c r="U945" s="598">
        <v>767.37</v>
      </c>
      <c r="V945" s="598">
        <v>12672.146360000001</v>
      </c>
      <c r="X945" s="599">
        <v>6449.1491500000002</v>
      </c>
    </row>
    <row r="946" spans="17:24" ht="11.1" customHeight="1" x14ac:dyDescent="0.45">
      <c r="Q946" s="439">
        <f t="shared" si="153"/>
        <v>242</v>
      </c>
      <c r="R946" s="596">
        <f t="shared" si="154"/>
        <v>45888</v>
      </c>
      <c r="S946" s="597">
        <f t="shared" si="155"/>
        <v>751.48</v>
      </c>
      <c r="T946" s="526">
        <f t="shared" si="156"/>
        <v>9233.2018000000007</v>
      </c>
      <c r="U946" s="598">
        <v>751.48</v>
      </c>
      <c r="V946" s="598">
        <v>9233.2018000000007</v>
      </c>
      <c r="X946" s="599">
        <v>6411.3745900000004</v>
      </c>
    </row>
    <row r="947" spans="17:24" ht="11.1" customHeight="1" x14ac:dyDescent="0.45">
      <c r="Q947" s="439">
        <f t="shared" si="153"/>
        <v>241</v>
      </c>
      <c r="R947" s="596">
        <f t="shared" si="154"/>
        <v>45889</v>
      </c>
      <c r="S947" s="597">
        <f t="shared" si="155"/>
        <v>747.72</v>
      </c>
      <c r="T947" s="526">
        <f t="shared" si="156"/>
        <v>8896.5146299999997</v>
      </c>
      <c r="U947" s="598">
        <v>747.72</v>
      </c>
      <c r="V947" s="598">
        <v>8896.5146299999997</v>
      </c>
      <c r="X947" s="599">
        <v>6395.7811899999997</v>
      </c>
    </row>
    <row r="948" spans="17:24" ht="11.1" customHeight="1" x14ac:dyDescent="0.45">
      <c r="Q948" s="439">
        <f t="shared" si="153"/>
        <v>240</v>
      </c>
      <c r="R948" s="596">
        <f t="shared" si="154"/>
        <v>45890</v>
      </c>
      <c r="S948" s="597">
        <f t="shared" si="155"/>
        <v>739.1</v>
      </c>
      <c r="T948" s="526">
        <f t="shared" si="156"/>
        <v>6560.4785000000002</v>
      </c>
      <c r="U948" s="598">
        <v>739.1</v>
      </c>
      <c r="V948" s="598">
        <v>6560.4785000000002</v>
      </c>
      <c r="X948" s="599">
        <v>6370.1726699999999</v>
      </c>
    </row>
    <row r="949" spans="17:24" ht="11.1" customHeight="1" x14ac:dyDescent="0.45">
      <c r="Q949" s="439">
        <f t="shared" si="153"/>
        <v>239</v>
      </c>
      <c r="R949" s="596">
        <f t="shared" si="154"/>
        <v>45891</v>
      </c>
      <c r="S949" s="597">
        <f t="shared" si="155"/>
        <v>754.79</v>
      </c>
      <c r="T949" s="526">
        <f t="shared" si="156"/>
        <v>8010.33493</v>
      </c>
      <c r="U949" s="598">
        <v>754.79</v>
      </c>
      <c r="V949" s="598">
        <v>8010.33493</v>
      </c>
      <c r="X949" s="599">
        <v>6466.9129700000003</v>
      </c>
    </row>
    <row r="950" spans="17:24" ht="11.1" customHeight="1" x14ac:dyDescent="0.45">
      <c r="Q950" s="439">
        <f t="shared" si="153"/>
        <v>238</v>
      </c>
      <c r="R950" s="596">
        <f t="shared" si="154"/>
        <v>45892</v>
      </c>
      <c r="S950" s="597" t="e">
        <f t="shared" si="155"/>
        <v>#N/A</v>
      </c>
      <c r="T950" s="526" t="e">
        <f t="shared" si="156"/>
        <v>#N/A</v>
      </c>
      <c r="U950" s="598">
        <v>754.79</v>
      </c>
      <c r="V950" s="598">
        <v>0</v>
      </c>
      <c r="X950" s="599">
        <v>6466.9129700000003</v>
      </c>
    </row>
    <row r="951" spans="17:24" ht="11.1" customHeight="1" x14ac:dyDescent="0.45">
      <c r="Q951" s="439">
        <f t="shared" si="153"/>
        <v>237</v>
      </c>
      <c r="R951" s="596">
        <f t="shared" si="154"/>
        <v>45893</v>
      </c>
      <c r="S951" s="597" t="e">
        <f t="shared" si="155"/>
        <v>#N/A</v>
      </c>
      <c r="T951" s="526" t="e">
        <f t="shared" si="156"/>
        <v>#N/A</v>
      </c>
      <c r="U951" s="598">
        <v>754.79</v>
      </c>
      <c r="V951" s="598">
        <v>0</v>
      </c>
      <c r="X951" s="599">
        <v>6466.9129700000003</v>
      </c>
    </row>
    <row r="952" spans="17:24" ht="11.1" customHeight="1" x14ac:dyDescent="0.45">
      <c r="Q952" s="439">
        <f t="shared" si="153"/>
        <v>236</v>
      </c>
      <c r="R952" s="596">
        <f t="shared" si="154"/>
        <v>45894</v>
      </c>
      <c r="S952" s="597">
        <f t="shared" si="155"/>
        <v>753.3</v>
      </c>
      <c r="T952" s="526">
        <f t="shared" si="156"/>
        <v>5168.5103200000003</v>
      </c>
      <c r="U952" s="598">
        <v>753.3</v>
      </c>
      <c r="V952" s="598">
        <v>5168.5103200000003</v>
      </c>
      <c r="X952" s="599">
        <v>6439.31988</v>
      </c>
    </row>
    <row r="953" spans="17:24" ht="11.1" customHeight="1" x14ac:dyDescent="0.45">
      <c r="Q953" s="439">
        <f t="shared" si="153"/>
        <v>235</v>
      </c>
      <c r="R953" s="596">
        <f t="shared" si="154"/>
        <v>45895</v>
      </c>
      <c r="S953" s="597">
        <f t="shared" si="155"/>
        <v>754.1</v>
      </c>
      <c r="T953" s="526">
        <f t="shared" si="156"/>
        <v>5732.5173800000002</v>
      </c>
      <c r="U953" s="598">
        <v>754.1</v>
      </c>
      <c r="V953" s="598">
        <v>5732.5173800000002</v>
      </c>
      <c r="X953" s="599">
        <v>6465.9352799999997</v>
      </c>
    </row>
    <row r="954" spans="17:24" ht="11.1" customHeight="1" x14ac:dyDescent="0.45">
      <c r="Q954" s="439">
        <f t="shared" si="153"/>
        <v>234</v>
      </c>
      <c r="R954" s="596">
        <f t="shared" si="154"/>
        <v>45896</v>
      </c>
      <c r="S954" s="597">
        <f t="shared" si="155"/>
        <v>747.38</v>
      </c>
      <c r="T954" s="526">
        <f t="shared" si="156"/>
        <v>6214.7898100000002</v>
      </c>
      <c r="U954" s="598">
        <v>747.38</v>
      </c>
      <c r="V954" s="598">
        <v>6214.7898100000002</v>
      </c>
      <c r="X954" s="599">
        <v>6481.40319</v>
      </c>
    </row>
    <row r="955" spans="17:24" ht="11.1" customHeight="1" x14ac:dyDescent="0.45">
      <c r="Q955" s="439">
        <f t="shared" si="153"/>
        <v>233</v>
      </c>
      <c r="R955" s="596">
        <f t="shared" si="154"/>
        <v>45897</v>
      </c>
      <c r="S955" s="597">
        <f t="shared" si="155"/>
        <v>751.11</v>
      </c>
      <c r="T955" s="526">
        <f t="shared" si="156"/>
        <v>5609.2556800000002</v>
      </c>
      <c r="U955" s="598">
        <v>751.11</v>
      </c>
      <c r="V955" s="598">
        <v>5609.2556800000002</v>
      </c>
      <c r="X955" s="599">
        <v>6501.8594199999998</v>
      </c>
    </row>
    <row r="956" spans="17:24" ht="11.1" customHeight="1" x14ac:dyDescent="0.45">
      <c r="Q956" s="439">
        <f t="shared" si="153"/>
        <v>232</v>
      </c>
      <c r="R956" s="596">
        <f t="shared" si="154"/>
        <v>45898</v>
      </c>
      <c r="S956" s="597">
        <f t="shared" si="155"/>
        <v>738.7</v>
      </c>
      <c r="T956" s="526">
        <f t="shared" si="156"/>
        <v>6700.4123300000001</v>
      </c>
      <c r="U956" s="598">
        <v>738.7</v>
      </c>
      <c r="V956" s="598">
        <v>6700.4123300000001</v>
      </c>
      <c r="X956" s="599">
        <v>6460.2626700000001</v>
      </c>
    </row>
    <row r="957" spans="17:24" ht="11.1" customHeight="1" x14ac:dyDescent="0.45">
      <c r="Q957" s="439">
        <f t="shared" si="153"/>
        <v>231</v>
      </c>
      <c r="R957" s="596">
        <f t="shared" si="154"/>
        <v>45899</v>
      </c>
      <c r="S957" s="597" t="e">
        <f t="shared" si="155"/>
        <v>#N/A</v>
      </c>
      <c r="T957" s="526" t="e">
        <f t="shared" si="156"/>
        <v>#N/A</v>
      </c>
      <c r="U957" s="598">
        <v>738.7</v>
      </c>
      <c r="V957" s="598">
        <v>0</v>
      </c>
      <c r="X957" s="599">
        <v>6460.2626700000001</v>
      </c>
    </row>
    <row r="958" spans="17:24" ht="11.1" customHeight="1" x14ac:dyDescent="0.45">
      <c r="Q958" s="439">
        <f t="shared" si="153"/>
        <v>230</v>
      </c>
      <c r="R958" s="596">
        <f t="shared" si="154"/>
        <v>45900</v>
      </c>
      <c r="S958" s="597" t="e">
        <f t="shared" si="155"/>
        <v>#N/A</v>
      </c>
      <c r="T958" s="526" t="e">
        <f t="shared" si="156"/>
        <v>#N/A</v>
      </c>
      <c r="U958" s="598">
        <v>738.7</v>
      </c>
      <c r="V958" s="598">
        <v>0</v>
      </c>
      <c r="X958" s="599">
        <v>6460.2626700000001</v>
      </c>
    </row>
    <row r="959" spans="17:24" ht="11.1" customHeight="1" x14ac:dyDescent="0.45">
      <c r="Q959" s="439">
        <f t="shared" si="153"/>
        <v>229</v>
      </c>
      <c r="R959" s="596">
        <f t="shared" si="154"/>
        <v>45901</v>
      </c>
      <c r="S959" s="597" t="e">
        <f t="shared" si="155"/>
        <v>#N/A</v>
      </c>
      <c r="T959" s="526" t="e">
        <f t="shared" si="156"/>
        <v>#N/A</v>
      </c>
      <c r="U959" s="598">
        <v>738.7</v>
      </c>
      <c r="V959" s="598">
        <v>0</v>
      </c>
      <c r="X959" s="599">
        <v>6460.2626700000001</v>
      </c>
    </row>
    <row r="960" spans="17:24" ht="11.1" customHeight="1" x14ac:dyDescent="0.45">
      <c r="Q960" s="439">
        <f t="shared" si="153"/>
        <v>228</v>
      </c>
      <c r="R960" s="596">
        <f t="shared" si="154"/>
        <v>45902</v>
      </c>
      <c r="S960" s="597">
        <f t="shared" si="155"/>
        <v>735.11</v>
      </c>
      <c r="T960" s="526">
        <f t="shared" si="156"/>
        <v>6873.9084899999998</v>
      </c>
      <c r="U960" s="598">
        <v>735.11</v>
      </c>
      <c r="V960" s="598">
        <v>6873.9084899999998</v>
      </c>
      <c r="X960" s="599">
        <v>6415.5413399999998</v>
      </c>
    </row>
    <row r="961" spans="17:24" ht="11.1" customHeight="1" x14ac:dyDescent="0.45">
      <c r="Q961" s="439">
        <f t="shared" si="153"/>
        <v>227</v>
      </c>
      <c r="R961" s="596">
        <f t="shared" si="154"/>
        <v>45903</v>
      </c>
      <c r="S961" s="597">
        <f t="shared" si="155"/>
        <v>737.05</v>
      </c>
      <c r="T961" s="526">
        <f t="shared" si="156"/>
        <v>5674.7926500000003</v>
      </c>
      <c r="U961" s="598">
        <v>737.05</v>
      </c>
      <c r="V961" s="598">
        <v>5674.7926500000003</v>
      </c>
      <c r="X961" s="599">
        <v>6448.2608499999997</v>
      </c>
    </row>
    <row r="962" spans="17:24" ht="11.1" customHeight="1" x14ac:dyDescent="0.45">
      <c r="Q962" s="439">
        <f t="shared" si="153"/>
        <v>226</v>
      </c>
      <c r="R962" s="596">
        <f t="shared" si="154"/>
        <v>45904</v>
      </c>
      <c r="S962" s="597">
        <f t="shared" si="155"/>
        <v>748.65</v>
      </c>
      <c r="T962" s="526">
        <f t="shared" si="156"/>
        <v>8563.8657500000008</v>
      </c>
      <c r="U962" s="598">
        <v>748.65</v>
      </c>
      <c r="V962" s="598">
        <v>8563.8657500000008</v>
      </c>
      <c r="X962" s="599">
        <v>6502.0829199999998</v>
      </c>
    </row>
    <row r="963" spans="17:24" ht="11.1" customHeight="1" x14ac:dyDescent="0.45">
      <c r="Q963" s="439">
        <f t="shared" si="153"/>
        <v>225</v>
      </c>
      <c r="R963" s="596">
        <f t="shared" si="154"/>
        <v>45905</v>
      </c>
      <c r="S963" s="597">
        <f t="shared" si="155"/>
        <v>752.45</v>
      </c>
      <c r="T963" s="526">
        <f t="shared" si="156"/>
        <v>7271.2561800000003</v>
      </c>
      <c r="U963" s="598">
        <v>752.45</v>
      </c>
      <c r="V963" s="598">
        <v>7271.2561800000003</v>
      </c>
      <c r="X963" s="599">
        <v>6481.4955300000001</v>
      </c>
    </row>
    <row r="964" spans="17:24" ht="11.1" customHeight="1" x14ac:dyDescent="0.45">
      <c r="Q964" s="439">
        <f t="shared" si="153"/>
        <v>224</v>
      </c>
      <c r="R964" s="596">
        <f t="shared" si="154"/>
        <v>45906</v>
      </c>
      <c r="S964" s="597" t="e">
        <f t="shared" si="155"/>
        <v>#N/A</v>
      </c>
      <c r="T964" s="526" t="e">
        <f t="shared" si="156"/>
        <v>#N/A</v>
      </c>
      <c r="U964" s="598">
        <v>752.45</v>
      </c>
      <c r="V964" s="598">
        <v>0</v>
      </c>
      <c r="X964" s="599">
        <v>6481.4955300000001</v>
      </c>
    </row>
    <row r="965" spans="17:24" ht="11.1" customHeight="1" x14ac:dyDescent="0.45">
      <c r="Q965" s="439">
        <f t="shared" si="153"/>
        <v>223</v>
      </c>
      <c r="R965" s="596">
        <f t="shared" si="154"/>
        <v>45907</v>
      </c>
      <c r="S965" s="597" t="e">
        <f t="shared" si="155"/>
        <v>#N/A</v>
      </c>
      <c r="T965" s="526" t="e">
        <f t="shared" si="156"/>
        <v>#N/A</v>
      </c>
      <c r="U965" s="598">
        <v>752.45</v>
      </c>
      <c r="V965" s="598">
        <v>0</v>
      </c>
      <c r="X965" s="599">
        <v>6481.4955300000001</v>
      </c>
    </row>
    <row r="966" spans="17:24" ht="11.1" customHeight="1" x14ac:dyDescent="0.45">
      <c r="Q966" s="439">
        <f t="shared" si="153"/>
        <v>222</v>
      </c>
      <c r="R966" s="596">
        <f t="shared" si="154"/>
        <v>45908</v>
      </c>
      <c r="S966" s="597">
        <f t="shared" si="155"/>
        <v>752.3</v>
      </c>
      <c r="T966" s="526">
        <f t="shared" si="156"/>
        <v>9845.9639800000004</v>
      </c>
      <c r="U966" s="598">
        <v>752.3</v>
      </c>
      <c r="V966" s="598">
        <v>9845.9639800000004</v>
      </c>
      <c r="X966" s="599">
        <v>6495.1548300000004</v>
      </c>
    </row>
    <row r="967" spans="17:24" ht="11.1" customHeight="1" x14ac:dyDescent="0.45">
      <c r="Q967" s="439">
        <f t="shared" si="153"/>
        <v>221</v>
      </c>
      <c r="R967" s="596">
        <f t="shared" si="154"/>
        <v>45909</v>
      </c>
      <c r="S967" s="597">
        <f t="shared" si="155"/>
        <v>765.7</v>
      </c>
      <c r="T967" s="526">
        <f t="shared" si="156"/>
        <v>8421.9542099999999</v>
      </c>
      <c r="U967" s="598">
        <v>765.7</v>
      </c>
      <c r="V967" s="598">
        <v>8421.9542099999999</v>
      </c>
      <c r="X967" s="599">
        <v>6512.6107499999998</v>
      </c>
    </row>
    <row r="968" spans="17:24" ht="11.1" customHeight="1" x14ac:dyDescent="0.45">
      <c r="Q968" s="439">
        <f t="shared" si="153"/>
        <v>220</v>
      </c>
      <c r="R968" s="596">
        <f t="shared" si="154"/>
        <v>45910</v>
      </c>
      <c r="S968" s="597">
        <f t="shared" si="155"/>
        <v>751.98</v>
      </c>
      <c r="T968" s="526">
        <f t="shared" si="156"/>
        <v>9383.4139899999991</v>
      </c>
      <c r="U968" s="598">
        <v>751.98</v>
      </c>
      <c r="V968" s="598">
        <v>9383.4139899999991</v>
      </c>
      <c r="X968" s="599">
        <v>6532.0433400000002</v>
      </c>
    </row>
    <row r="969" spans="17:24" ht="11.1" customHeight="1" x14ac:dyDescent="0.45">
      <c r="Q969" s="439">
        <f t="shared" si="153"/>
        <v>219</v>
      </c>
      <c r="R969" s="596">
        <f t="shared" si="154"/>
        <v>45911</v>
      </c>
      <c r="S969" s="597">
        <f t="shared" si="155"/>
        <v>750.9</v>
      </c>
      <c r="T969" s="526">
        <f t="shared" si="156"/>
        <v>5949.5939600000002</v>
      </c>
      <c r="U969" s="598">
        <v>750.9</v>
      </c>
      <c r="V969" s="598">
        <v>5949.5939600000002</v>
      </c>
      <c r="X969" s="599">
        <v>6587.4708700000001</v>
      </c>
    </row>
    <row r="970" spans="17:24" ht="11.1" customHeight="1" x14ac:dyDescent="0.45">
      <c r="Q970" s="439">
        <f t="shared" si="153"/>
        <v>218</v>
      </c>
      <c r="R970" s="596">
        <f t="shared" si="154"/>
        <v>45912</v>
      </c>
      <c r="S970" s="597">
        <f t="shared" si="155"/>
        <v>755.59</v>
      </c>
      <c r="T970" s="526">
        <f t="shared" si="156"/>
        <v>6232.52718</v>
      </c>
      <c r="U970" s="598">
        <v>755.59</v>
      </c>
      <c r="V970" s="598">
        <v>6232.52718</v>
      </c>
      <c r="X970" s="599">
        <v>6584.2850200000003</v>
      </c>
    </row>
    <row r="971" spans="17:24" ht="11.1" customHeight="1" x14ac:dyDescent="0.45">
      <c r="Q971" s="439">
        <f t="shared" si="153"/>
        <v>217</v>
      </c>
      <c r="R971" s="596">
        <f t="shared" si="154"/>
        <v>45913</v>
      </c>
      <c r="S971" s="597" t="e">
        <f t="shared" si="155"/>
        <v>#N/A</v>
      </c>
      <c r="T971" s="526" t="e">
        <f t="shared" si="156"/>
        <v>#N/A</v>
      </c>
      <c r="U971" s="598">
        <v>755.59</v>
      </c>
      <c r="V971" s="598">
        <v>0</v>
      </c>
      <c r="X971" s="599">
        <v>6584.2850200000003</v>
      </c>
    </row>
    <row r="972" spans="17:24" ht="11.1" customHeight="1" x14ac:dyDescent="0.45">
      <c r="Q972" s="439">
        <f t="shared" si="153"/>
        <v>216</v>
      </c>
      <c r="R972" s="596">
        <f t="shared" si="154"/>
        <v>45914</v>
      </c>
      <c r="S972" s="597" t="e">
        <f t="shared" si="155"/>
        <v>#N/A</v>
      </c>
      <c r="T972" s="526" t="e">
        <f t="shared" si="156"/>
        <v>#N/A</v>
      </c>
      <c r="U972" s="598">
        <v>755.59</v>
      </c>
      <c r="V972" s="598">
        <v>0</v>
      </c>
      <c r="X972" s="599">
        <v>6584.2850200000003</v>
      </c>
    </row>
    <row r="973" spans="17:24" ht="11.1" customHeight="1" x14ac:dyDescent="0.45">
      <c r="Q973" s="439">
        <f t="shared" si="153"/>
        <v>215</v>
      </c>
      <c r="R973" s="596">
        <f t="shared" si="154"/>
        <v>45915</v>
      </c>
      <c r="S973" s="597">
        <f t="shared" si="155"/>
        <v>764.7</v>
      </c>
      <c r="T973" s="526">
        <f t="shared" si="156"/>
        <v>8055.1815699999997</v>
      </c>
      <c r="U973" s="598">
        <v>764.7</v>
      </c>
      <c r="V973" s="598">
        <v>8055.1815699999997</v>
      </c>
      <c r="X973" s="599">
        <v>6615.2767599999997</v>
      </c>
    </row>
    <row r="974" spans="17:24" ht="11.1" customHeight="1" x14ac:dyDescent="0.45">
      <c r="Q974" s="439">
        <f t="shared" si="153"/>
        <v>214</v>
      </c>
      <c r="R974" s="596">
        <f t="shared" si="154"/>
        <v>45916</v>
      </c>
      <c r="S974" s="597">
        <f t="shared" si="155"/>
        <v>779</v>
      </c>
      <c r="T974" s="526">
        <f t="shared" si="156"/>
        <v>9178.5534800000005</v>
      </c>
      <c r="U974" s="598">
        <v>779</v>
      </c>
      <c r="V974" s="598">
        <v>9178.5534800000005</v>
      </c>
      <c r="X974" s="599">
        <v>6606.75594</v>
      </c>
    </row>
    <row r="975" spans="17:24" ht="11.1" customHeight="1" x14ac:dyDescent="0.45">
      <c r="Q975" s="439">
        <f t="shared" si="153"/>
        <v>213</v>
      </c>
      <c r="R975" s="596">
        <f t="shared" si="154"/>
        <v>45917</v>
      </c>
      <c r="S975" s="597">
        <f t="shared" si="155"/>
        <v>775.71500000000003</v>
      </c>
      <c r="T975" s="526">
        <f t="shared" si="156"/>
        <v>7292.3935499999998</v>
      </c>
      <c r="U975" s="598">
        <v>775.71500000000003</v>
      </c>
      <c r="V975" s="598">
        <v>7292.3935499999998</v>
      </c>
      <c r="X975" s="599">
        <v>6600.3470900000002</v>
      </c>
    </row>
    <row r="976" spans="17:24" ht="11.1" customHeight="1" x14ac:dyDescent="0.45">
      <c r="Q976" s="439">
        <f t="shared" si="153"/>
        <v>212</v>
      </c>
      <c r="R976" s="596">
        <f t="shared" si="154"/>
        <v>45918</v>
      </c>
      <c r="S976" s="597">
        <f t="shared" si="155"/>
        <v>780.25</v>
      </c>
      <c r="T976" s="526">
        <f t="shared" si="156"/>
        <v>8547.5997399999997</v>
      </c>
      <c r="U976" s="598">
        <v>780.25</v>
      </c>
      <c r="V976" s="598">
        <v>8547.5997399999997</v>
      </c>
      <c r="X976" s="599">
        <v>6631.9628899999998</v>
      </c>
    </row>
    <row r="977" spans="17:24" ht="11.1" customHeight="1" x14ac:dyDescent="0.45">
      <c r="Q977" s="439">
        <f t="shared" si="153"/>
        <v>211</v>
      </c>
      <c r="R977" s="596">
        <f t="shared" si="154"/>
        <v>45919</v>
      </c>
      <c r="S977" s="597">
        <f t="shared" si="155"/>
        <v>778.38</v>
      </c>
      <c r="T977" s="526">
        <f t="shared" si="156"/>
        <v>18445.133870000001</v>
      </c>
      <c r="U977" s="598">
        <v>778.38</v>
      </c>
      <c r="V977" s="598">
        <v>18445.133870000001</v>
      </c>
      <c r="X977" s="599">
        <v>6664.3648000000003</v>
      </c>
    </row>
    <row r="978" spans="17:24" ht="11.1" customHeight="1" x14ac:dyDescent="0.45">
      <c r="Q978" s="439">
        <f t="shared" si="153"/>
        <v>210</v>
      </c>
      <c r="R978" s="596">
        <f t="shared" si="154"/>
        <v>45920</v>
      </c>
      <c r="S978" s="597" t="e">
        <f t="shared" si="155"/>
        <v>#N/A</v>
      </c>
      <c r="T978" s="526" t="e">
        <f t="shared" si="156"/>
        <v>#N/A</v>
      </c>
      <c r="U978" s="598">
        <v>778.38</v>
      </c>
      <c r="V978" s="598">
        <v>0</v>
      </c>
      <c r="X978" s="599">
        <v>6664.3648000000003</v>
      </c>
    </row>
    <row r="979" spans="17:24" ht="11.1" customHeight="1" x14ac:dyDescent="0.45">
      <c r="Q979" s="439">
        <f t="shared" si="153"/>
        <v>209</v>
      </c>
      <c r="R979" s="596">
        <f t="shared" si="154"/>
        <v>45921</v>
      </c>
      <c r="S979" s="597" t="e">
        <f t="shared" si="155"/>
        <v>#N/A</v>
      </c>
      <c r="T979" s="526" t="e">
        <f t="shared" si="156"/>
        <v>#N/A</v>
      </c>
      <c r="U979" s="598">
        <v>778.38</v>
      </c>
      <c r="V979" s="598">
        <v>0</v>
      </c>
      <c r="X979" s="599">
        <v>6664.3648000000003</v>
      </c>
    </row>
    <row r="980" spans="17:24" ht="11.1" customHeight="1" x14ac:dyDescent="0.45">
      <c r="Q980" s="439">
        <f t="shared" si="153"/>
        <v>208</v>
      </c>
      <c r="R980" s="596">
        <f t="shared" si="154"/>
        <v>45922</v>
      </c>
      <c r="S980" s="597">
        <f t="shared" si="155"/>
        <v>765.16</v>
      </c>
      <c r="T980" s="526">
        <f t="shared" si="156"/>
        <v>8957.6867999999995</v>
      </c>
      <c r="U980" s="598">
        <v>765.16</v>
      </c>
      <c r="V980" s="598">
        <v>8957.6867999999995</v>
      </c>
      <c r="X980" s="599">
        <v>6693.7533400000002</v>
      </c>
    </row>
    <row r="981" spans="17:24" ht="11.1" customHeight="1" x14ac:dyDescent="0.45">
      <c r="Q981" s="439">
        <f t="shared" si="153"/>
        <v>207</v>
      </c>
      <c r="R981" s="596">
        <f t="shared" si="154"/>
        <v>45923</v>
      </c>
      <c r="S981" s="597">
        <f t="shared" si="155"/>
        <v>755.4</v>
      </c>
      <c r="T981" s="526">
        <f t="shared" si="156"/>
        <v>8213.1560000000009</v>
      </c>
      <c r="U981" s="598">
        <v>755.4</v>
      </c>
      <c r="V981" s="598">
        <v>8213.1560000000009</v>
      </c>
      <c r="X981" s="599">
        <v>6656.9198800000004</v>
      </c>
    </row>
    <row r="982" spans="17:24" ht="11.1" customHeight="1" x14ac:dyDescent="0.45">
      <c r="Q982" s="439">
        <f t="shared" si="153"/>
        <v>206</v>
      </c>
      <c r="R982" s="596">
        <f t="shared" si="154"/>
        <v>45924</v>
      </c>
      <c r="S982" s="597">
        <f t="shared" si="155"/>
        <v>760.66</v>
      </c>
      <c r="T982" s="526">
        <f t="shared" si="156"/>
        <v>6715.2791500000003</v>
      </c>
      <c r="U982" s="598">
        <v>760.66</v>
      </c>
      <c r="V982" s="598">
        <v>6715.2791500000003</v>
      </c>
      <c r="X982" s="599">
        <v>6637.9736700000003</v>
      </c>
    </row>
    <row r="983" spans="17:24" ht="11.1" customHeight="1" x14ac:dyDescent="0.45">
      <c r="Q983" s="439">
        <f t="shared" si="153"/>
        <v>205</v>
      </c>
      <c r="R983" s="596">
        <f t="shared" si="154"/>
        <v>45925</v>
      </c>
      <c r="S983" s="597">
        <f t="shared" si="155"/>
        <v>748.91</v>
      </c>
      <c r="T983" s="526">
        <f t="shared" si="156"/>
        <v>7931.7544900000003</v>
      </c>
      <c r="U983" s="598">
        <v>748.91</v>
      </c>
      <c r="V983" s="598">
        <v>7931.7544900000003</v>
      </c>
      <c r="X983" s="599">
        <v>6604.7172399999999</v>
      </c>
    </row>
    <row r="984" spans="17:24" ht="11.1" customHeight="1" x14ac:dyDescent="0.45">
      <c r="Q984" s="439">
        <f t="shared" si="153"/>
        <v>204</v>
      </c>
      <c r="R984" s="596">
        <f t="shared" si="154"/>
        <v>45926</v>
      </c>
      <c r="S984" s="597">
        <f t="shared" si="155"/>
        <v>743.75</v>
      </c>
      <c r="T984" s="526">
        <f t="shared" si="156"/>
        <v>7211.65139</v>
      </c>
      <c r="U984" s="598">
        <v>743.75</v>
      </c>
      <c r="V984" s="598">
        <v>7211.65139</v>
      </c>
      <c r="X984" s="599">
        <v>6643.6975400000001</v>
      </c>
    </row>
    <row r="985" spans="17:24" ht="11.1" customHeight="1" x14ac:dyDescent="0.45">
      <c r="Q985" s="439">
        <f t="shared" si="153"/>
        <v>203</v>
      </c>
      <c r="R985" s="596">
        <f t="shared" si="154"/>
        <v>45927</v>
      </c>
      <c r="S985" s="597" t="e">
        <f t="shared" si="155"/>
        <v>#N/A</v>
      </c>
      <c r="T985" s="526" t="e">
        <f t="shared" si="156"/>
        <v>#N/A</v>
      </c>
      <c r="U985" s="598">
        <v>743.75</v>
      </c>
      <c r="V985" s="598">
        <v>0</v>
      </c>
      <c r="X985" s="599">
        <v>6643.6975400000001</v>
      </c>
    </row>
    <row r="986" spans="17:24" ht="11.1" customHeight="1" x14ac:dyDescent="0.45">
      <c r="Q986" s="439">
        <f t="shared" si="153"/>
        <v>202</v>
      </c>
      <c r="R986" s="596">
        <f t="shared" si="154"/>
        <v>45928</v>
      </c>
      <c r="S986" s="597" t="e">
        <f t="shared" si="155"/>
        <v>#N/A</v>
      </c>
      <c r="T986" s="526" t="e">
        <f t="shared" si="156"/>
        <v>#N/A</v>
      </c>
      <c r="U986" s="598">
        <v>743.75</v>
      </c>
      <c r="V986" s="598">
        <v>0</v>
      </c>
      <c r="X986" s="599">
        <v>6643.6975400000001</v>
      </c>
    </row>
    <row r="987" spans="17:24" ht="11.1" customHeight="1" x14ac:dyDescent="0.45">
      <c r="Q987" s="439">
        <f t="shared" si="153"/>
        <v>201</v>
      </c>
      <c r="R987" s="596">
        <f t="shared" si="154"/>
        <v>45929</v>
      </c>
      <c r="S987" s="597">
        <f t="shared" si="155"/>
        <v>743.4</v>
      </c>
      <c r="T987" s="526">
        <f t="shared" si="156"/>
        <v>6874.0473300000003</v>
      </c>
      <c r="U987" s="598">
        <v>743.4</v>
      </c>
      <c r="V987" s="598">
        <v>6874.0473300000003</v>
      </c>
      <c r="X987" s="599">
        <v>6661.2073300000002</v>
      </c>
    </row>
    <row r="988" spans="17:24" ht="11.1" customHeight="1" x14ac:dyDescent="0.45">
      <c r="Q988" s="439">
        <f t="shared" si="153"/>
        <v>200</v>
      </c>
      <c r="R988" s="596">
        <f t="shared" si="154"/>
        <v>45930</v>
      </c>
      <c r="S988" s="597">
        <f t="shared" si="155"/>
        <v>734.38</v>
      </c>
      <c r="T988" s="526">
        <f t="shared" si="156"/>
        <v>11916.60067</v>
      </c>
      <c r="U988" s="598">
        <v>734.38</v>
      </c>
      <c r="V988" s="598">
        <v>11916.60067</v>
      </c>
      <c r="X988" s="599">
        <v>6688.4590399999997</v>
      </c>
    </row>
    <row r="989" spans="17:24" ht="11.1" customHeight="1" x14ac:dyDescent="0.45">
      <c r="Q989" s="439">
        <f t="shared" ref="Q989:Q1052" si="157">Q990+1</f>
        <v>199</v>
      </c>
      <c r="R989" s="596">
        <f t="shared" ref="R989:R1052" si="158">R990-1</f>
        <v>45931</v>
      </c>
      <c r="S989" s="597">
        <f t="shared" ref="S989:S1052" si="159">IF(U989=U988,#N/A,U989)</f>
        <v>717.34</v>
      </c>
      <c r="T989" s="526">
        <f t="shared" ref="T989:T1052" si="160">IF(S989="#NV",#N/A,V989)</f>
        <v>14647.81954</v>
      </c>
      <c r="U989" s="598">
        <v>717.34</v>
      </c>
      <c r="V989" s="598">
        <v>14647.81954</v>
      </c>
      <c r="X989" s="599">
        <v>6711.2039100000002</v>
      </c>
    </row>
    <row r="990" spans="17:24" ht="11.1" customHeight="1" x14ac:dyDescent="0.45">
      <c r="Q990" s="439">
        <f t="shared" si="157"/>
        <v>198</v>
      </c>
      <c r="R990" s="596">
        <f t="shared" si="158"/>
        <v>45932</v>
      </c>
      <c r="S990" s="597">
        <f t="shared" si="159"/>
        <v>727.05</v>
      </c>
      <c r="T990" s="526">
        <f t="shared" si="160"/>
        <v>8299.4727800000001</v>
      </c>
      <c r="U990" s="598">
        <v>727.05</v>
      </c>
      <c r="V990" s="598">
        <v>8299.4727800000001</v>
      </c>
      <c r="X990" s="599">
        <v>6715.3463000000002</v>
      </c>
    </row>
    <row r="991" spans="17:24" ht="11.1" customHeight="1" x14ac:dyDescent="0.45">
      <c r="Q991" s="439">
        <f t="shared" si="157"/>
        <v>197</v>
      </c>
      <c r="R991" s="596">
        <f t="shared" si="158"/>
        <v>45933</v>
      </c>
      <c r="S991" s="597">
        <f t="shared" si="159"/>
        <v>710.56</v>
      </c>
      <c r="T991" s="526">
        <f t="shared" si="160"/>
        <v>11478.60296</v>
      </c>
      <c r="U991" s="598">
        <v>710.56</v>
      </c>
      <c r="V991" s="598">
        <v>11478.60296</v>
      </c>
      <c r="X991" s="599">
        <v>6715.7892599999996</v>
      </c>
    </row>
    <row r="992" spans="17:24" ht="11.1" customHeight="1" x14ac:dyDescent="0.45">
      <c r="Q992" s="439">
        <f t="shared" si="157"/>
        <v>196</v>
      </c>
      <c r="R992" s="596">
        <f t="shared" si="158"/>
        <v>45934</v>
      </c>
      <c r="S992" s="597" t="e">
        <f t="shared" si="159"/>
        <v>#N/A</v>
      </c>
      <c r="T992" s="526" t="e">
        <f t="shared" si="160"/>
        <v>#N/A</v>
      </c>
      <c r="U992" s="598">
        <v>710.56</v>
      </c>
      <c r="V992" s="598">
        <v>0</v>
      </c>
      <c r="X992" s="599">
        <v>6715.7892599999996</v>
      </c>
    </row>
    <row r="993" spans="17:24" ht="11.1" customHeight="1" x14ac:dyDescent="0.45">
      <c r="Q993" s="439">
        <f t="shared" si="157"/>
        <v>195</v>
      </c>
      <c r="R993" s="596">
        <f t="shared" si="158"/>
        <v>45935</v>
      </c>
      <c r="S993" s="597" t="e">
        <f t="shared" si="159"/>
        <v>#N/A</v>
      </c>
      <c r="T993" s="526" t="e">
        <f t="shared" si="160"/>
        <v>#N/A</v>
      </c>
      <c r="U993" s="598">
        <v>710.56</v>
      </c>
      <c r="V993" s="598">
        <v>0</v>
      </c>
      <c r="X993" s="599">
        <v>6715.7892599999996</v>
      </c>
    </row>
    <row r="994" spans="17:24" ht="11.1" customHeight="1" x14ac:dyDescent="0.45">
      <c r="Q994" s="439">
        <f t="shared" si="157"/>
        <v>194</v>
      </c>
      <c r="R994" s="596">
        <f t="shared" si="158"/>
        <v>45936</v>
      </c>
      <c r="S994" s="597">
        <f t="shared" si="159"/>
        <v>715.66</v>
      </c>
      <c r="T994" s="526">
        <f t="shared" si="160"/>
        <v>15497.4298</v>
      </c>
      <c r="U994" s="598">
        <v>715.66</v>
      </c>
      <c r="V994" s="598">
        <v>15497.4298</v>
      </c>
      <c r="X994" s="599">
        <v>6740.2813599999999</v>
      </c>
    </row>
    <row r="995" spans="17:24" ht="11.1" customHeight="1" x14ac:dyDescent="0.45">
      <c r="Q995" s="439">
        <f t="shared" si="157"/>
        <v>193</v>
      </c>
      <c r="R995" s="596">
        <f t="shared" si="158"/>
        <v>45937</v>
      </c>
      <c r="S995" s="597">
        <f t="shared" si="159"/>
        <v>713.08</v>
      </c>
      <c r="T995" s="526">
        <f t="shared" si="160"/>
        <v>8601.8327000000008</v>
      </c>
      <c r="U995" s="598">
        <v>713.08</v>
      </c>
      <c r="V995" s="598">
        <v>8601.8327000000008</v>
      </c>
      <c r="X995" s="599">
        <v>6714.5879199999999</v>
      </c>
    </row>
    <row r="996" spans="17:24" ht="11.1" customHeight="1" x14ac:dyDescent="0.45">
      <c r="Q996" s="439">
        <f t="shared" si="157"/>
        <v>192</v>
      </c>
      <c r="R996" s="596">
        <f t="shared" si="158"/>
        <v>45938</v>
      </c>
      <c r="S996" s="597">
        <f t="shared" si="159"/>
        <v>717.84</v>
      </c>
      <c r="T996" s="526">
        <f t="shared" si="160"/>
        <v>7745.9034899999997</v>
      </c>
      <c r="U996" s="598">
        <v>717.84</v>
      </c>
      <c r="V996" s="598">
        <v>7745.9034899999997</v>
      </c>
      <c r="X996" s="599">
        <v>6753.7170699999997</v>
      </c>
    </row>
    <row r="997" spans="17:24" ht="11.1" customHeight="1" x14ac:dyDescent="0.45">
      <c r="Q997" s="439">
        <f t="shared" si="157"/>
        <v>191</v>
      </c>
      <c r="R997" s="596">
        <f t="shared" si="158"/>
        <v>45939</v>
      </c>
      <c r="S997" s="597">
        <f t="shared" si="159"/>
        <v>733.51</v>
      </c>
      <c r="T997" s="526">
        <f t="shared" si="160"/>
        <v>9328.1728299999995</v>
      </c>
      <c r="U997" s="598">
        <v>733.51</v>
      </c>
      <c r="V997" s="598">
        <v>9328.1728299999995</v>
      </c>
      <c r="X997" s="599">
        <v>6735.1107899999997</v>
      </c>
    </row>
    <row r="998" spans="17:24" ht="11.1" customHeight="1" x14ac:dyDescent="0.45">
      <c r="Q998" s="439">
        <f t="shared" si="157"/>
        <v>190</v>
      </c>
      <c r="R998" s="596">
        <f t="shared" si="158"/>
        <v>45940</v>
      </c>
      <c r="S998" s="597">
        <f t="shared" si="159"/>
        <v>705.3</v>
      </c>
      <c r="T998" s="526">
        <f t="shared" si="160"/>
        <v>11976.05818</v>
      </c>
      <c r="U998" s="598">
        <v>705.3</v>
      </c>
      <c r="V998" s="598">
        <v>11976.05818</v>
      </c>
      <c r="X998" s="599">
        <v>6552.51325</v>
      </c>
    </row>
    <row r="999" spans="17:24" ht="11.1" customHeight="1" x14ac:dyDescent="0.45">
      <c r="Q999" s="439">
        <f t="shared" si="157"/>
        <v>189</v>
      </c>
      <c r="R999" s="596">
        <f t="shared" si="158"/>
        <v>45941</v>
      </c>
      <c r="S999" s="597" t="e">
        <f t="shared" si="159"/>
        <v>#N/A</v>
      </c>
      <c r="T999" s="526" t="e">
        <f t="shared" si="160"/>
        <v>#N/A</v>
      </c>
      <c r="U999" s="598">
        <v>705.3</v>
      </c>
      <c r="V999" s="598">
        <v>0</v>
      </c>
      <c r="X999" s="599">
        <v>6552.51325</v>
      </c>
    </row>
    <row r="1000" spans="17:24" ht="11.1" customHeight="1" x14ac:dyDescent="0.45">
      <c r="Q1000" s="439">
        <f t="shared" si="157"/>
        <v>188</v>
      </c>
      <c r="R1000" s="596">
        <f t="shared" si="158"/>
        <v>45942</v>
      </c>
      <c r="S1000" s="597" t="e">
        <f t="shared" si="159"/>
        <v>#N/A</v>
      </c>
      <c r="T1000" s="526" t="e">
        <f t="shared" si="160"/>
        <v>#N/A</v>
      </c>
      <c r="U1000" s="598">
        <v>705.3</v>
      </c>
      <c r="V1000" s="598">
        <v>0</v>
      </c>
      <c r="X1000" s="599">
        <v>6552.51325</v>
      </c>
    </row>
    <row r="1001" spans="17:24" ht="11.1" customHeight="1" x14ac:dyDescent="0.45">
      <c r="Q1001" s="439">
        <f t="shared" si="157"/>
        <v>187</v>
      </c>
      <c r="R1001" s="596">
        <f t="shared" si="158"/>
        <v>45943</v>
      </c>
      <c r="S1001" s="597">
        <f t="shared" si="159"/>
        <v>715.7</v>
      </c>
      <c r="T1001" s="526">
        <f t="shared" si="160"/>
        <v>6621.5104000000001</v>
      </c>
      <c r="U1001" s="598">
        <v>715.7</v>
      </c>
      <c r="V1001" s="598">
        <v>6621.5104000000001</v>
      </c>
      <c r="X1001" s="599">
        <v>6654.7190899999996</v>
      </c>
    </row>
    <row r="1002" spans="17:24" ht="11.1" customHeight="1" x14ac:dyDescent="0.45">
      <c r="Q1002" s="439">
        <f t="shared" si="157"/>
        <v>186</v>
      </c>
      <c r="R1002" s="596">
        <f t="shared" si="158"/>
        <v>45944</v>
      </c>
      <c r="S1002" s="597">
        <f t="shared" si="159"/>
        <v>708.65</v>
      </c>
      <c r="T1002" s="526">
        <f t="shared" si="160"/>
        <v>6257.2073</v>
      </c>
      <c r="U1002" s="598">
        <v>708.65</v>
      </c>
      <c r="V1002" s="598">
        <v>6257.2073</v>
      </c>
      <c r="X1002" s="599">
        <v>6644.3083999999999</v>
      </c>
    </row>
    <row r="1003" spans="17:24" ht="11.1" customHeight="1" x14ac:dyDescent="0.45">
      <c r="Q1003" s="439">
        <f t="shared" si="157"/>
        <v>185</v>
      </c>
      <c r="R1003" s="596">
        <f t="shared" si="158"/>
        <v>45945</v>
      </c>
      <c r="S1003" s="597">
        <f t="shared" si="159"/>
        <v>717.55</v>
      </c>
      <c r="T1003" s="526">
        <f t="shared" si="160"/>
        <v>7352.5669399999997</v>
      </c>
      <c r="U1003" s="598">
        <v>717.55</v>
      </c>
      <c r="V1003" s="598">
        <v>7352.5669399999997</v>
      </c>
      <c r="X1003" s="599">
        <v>6671.0582800000002</v>
      </c>
    </row>
    <row r="1004" spans="17:24" ht="11.1" customHeight="1" x14ac:dyDescent="0.45">
      <c r="Q1004" s="439">
        <f t="shared" si="157"/>
        <v>184</v>
      </c>
      <c r="R1004" s="596">
        <f t="shared" si="158"/>
        <v>45946</v>
      </c>
      <c r="S1004" s="597">
        <f t="shared" si="159"/>
        <v>712.07</v>
      </c>
      <c r="T1004" s="526">
        <f t="shared" si="160"/>
        <v>6420.7423099999996</v>
      </c>
      <c r="U1004" s="598">
        <v>712.07</v>
      </c>
      <c r="V1004" s="598">
        <v>6420.7423099999996</v>
      </c>
      <c r="X1004" s="599">
        <v>6629.0742300000002</v>
      </c>
    </row>
    <row r="1005" spans="17:24" ht="11.1" customHeight="1" x14ac:dyDescent="0.45">
      <c r="Q1005" s="439">
        <f t="shared" si="157"/>
        <v>183</v>
      </c>
      <c r="R1005" s="596">
        <f t="shared" si="158"/>
        <v>45947</v>
      </c>
      <c r="S1005" s="597">
        <f t="shared" si="159"/>
        <v>716.91499999999996</v>
      </c>
      <c r="T1005" s="526">
        <f t="shared" si="160"/>
        <v>8769.6204400000006</v>
      </c>
      <c r="U1005" s="598">
        <v>716.91499999999996</v>
      </c>
      <c r="V1005" s="598">
        <v>8769.6204400000006</v>
      </c>
      <c r="X1005" s="599">
        <v>6664.01098</v>
      </c>
    </row>
    <row r="1006" spans="17:24" ht="11.1" customHeight="1" x14ac:dyDescent="0.45">
      <c r="Q1006" s="439">
        <f t="shared" si="157"/>
        <v>182</v>
      </c>
      <c r="R1006" s="596">
        <f t="shared" si="158"/>
        <v>45948</v>
      </c>
      <c r="S1006" s="597" t="e">
        <f t="shared" si="159"/>
        <v>#N/A</v>
      </c>
      <c r="T1006" s="526" t="e">
        <f t="shared" si="160"/>
        <v>#N/A</v>
      </c>
      <c r="U1006" s="598">
        <v>716.91499999999996</v>
      </c>
      <c r="V1006" s="598">
        <v>0</v>
      </c>
      <c r="X1006" s="599">
        <v>6664.01098</v>
      </c>
    </row>
    <row r="1007" spans="17:24" ht="11.1" customHeight="1" x14ac:dyDescent="0.45">
      <c r="Q1007" s="439">
        <f t="shared" si="157"/>
        <v>181</v>
      </c>
      <c r="R1007" s="596">
        <f t="shared" si="158"/>
        <v>45949</v>
      </c>
      <c r="S1007" s="597" t="e">
        <f t="shared" si="159"/>
        <v>#N/A</v>
      </c>
      <c r="T1007" s="526" t="e">
        <f t="shared" si="160"/>
        <v>#N/A</v>
      </c>
      <c r="U1007" s="598">
        <v>716.91499999999996</v>
      </c>
      <c r="V1007" s="598">
        <v>0</v>
      </c>
      <c r="X1007" s="599">
        <v>6664.01098</v>
      </c>
    </row>
    <row r="1008" spans="17:24" ht="11.1" customHeight="1" x14ac:dyDescent="0.45">
      <c r="Q1008" s="439">
        <f t="shared" si="157"/>
        <v>180</v>
      </c>
      <c r="R1008" s="596">
        <f t="shared" si="158"/>
        <v>45950</v>
      </c>
      <c r="S1008" s="597">
        <f t="shared" si="159"/>
        <v>732.17</v>
      </c>
      <c r="T1008" s="526">
        <f t="shared" si="160"/>
        <v>6516.4623600000004</v>
      </c>
      <c r="U1008" s="598">
        <v>732.17</v>
      </c>
      <c r="V1008" s="598">
        <v>6516.4623600000004</v>
      </c>
      <c r="X1008" s="599">
        <v>6735.1265100000001</v>
      </c>
    </row>
    <row r="1009" spans="17:24" ht="11.1" customHeight="1" x14ac:dyDescent="0.45">
      <c r="Q1009" s="439">
        <f t="shared" si="157"/>
        <v>179</v>
      </c>
      <c r="R1009" s="596">
        <f t="shared" si="158"/>
        <v>45951</v>
      </c>
      <c r="S1009" s="597">
        <f t="shared" si="159"/>
        <v>733.27</v>
      </c>
      <c r="T1009" s="526">
        <f t="shared" si="160"/>
        <v>5607.5129399999996</v>
      </c>
      <c r="U1009" s="598">
        <v>733.27</v>
      </c>
      <c r="V1009" s="598">
        <v>5607.5129399999996</v>
      </c>
      <c r="X1009" s="599">
        <v>6735.3514999999998</v>
      </c>
    </row>
    <row r="1010" spans="17:24" ht="11.1" customHeight="1" x14ac:dyDescent="0.45">
      <c r="Q1010" s="439">
        <f t="shared" si="157"/>
        <v>178</v>
      </c>
      <c r="R1010" s="596">
        <f t="shared" si="158"/>
        <v>45952</v>
      </c>
      <c r="S1010" s="597">
        <f t="shared" si="159"/>
        <v>733.41</v>
      </c>
      <c r="T1010" s="526">
        <f t="shared" si="160"/>
        <v>6405.9630399999996</v>
      </c>
      <c r="U1010" s="598">
        <v>733.41</v>
      </c>
      <c r="V1010" s="598">
        <v>6405.9630399999996</v>
      </c>
      <c r="X1010" s="599">
        <v>6699.4023999999999</v>
      </c>
    </row>
    <row r="1011" spans="17:24" ht="11.1" customHeight="1" x14ac:dyDescent="0.45">
      <c r="Q1011" s="439">
        <f t="shared" si="157"/>
        <v>177</v>
      </c>
      <c r="R1011" s="596">
        <f t="shared" si="158"/>
        <v>45953</v>
      </c>
      <c r="S1011" s="597">
        <f t="shared" si="159"/>
        <v>734</v>
      </c>
      <c r="T1011" s="526">
        <f t="shared" si="160"/>
        <v>7234.2849200000001</v>
      </c>
      <c r="U1011" s="598">
        <v>734</v>
      </c>
      <c r="V1011" s="598">
        <v>7234.2849200000001</v>
      </c>
      <c r="X1011" s="599">
        <v>6738.4377100000002</v>
      </c>
    </row>
    <row r="1012" spans="17:24" ht="11.1" customHeight="1" x14ac:dyDescent="0.45">
      <c r="Q1012" s="439">
        <f t="shared" si="157"/>
        <v>176</v>
      </c>
      <c r="R1012" s="596">
        <f t="shared" si="158"/>
        <v>45954</v>
      </c>
      <c r="S1012" s="597">
        <f t="shared" si="159"/>
        <v>738.36</v>
      </c>
      <c r="T1012" s="526">
        <f t="shared" si="160"/>
        <v>6756.9295000000002</v>
      </c>
      <c r="U1012" s="598">
        <v>738.36</v>
      </c>
      <c r="V1012" s="598">
        <v>6756.9295000000002</v>
      </c>
      <c r="X1012" s="599">
        <v>6791.6938099999998</v>
      </c>
    </row>
    <row r="1013" spans="17:24" ht="11.1" customHeight="1" x14ac:dyDescent="0.45">
      <c r="Q1013" s="439">
        <f t="shared" si="157"/>
        <v>175</v>
      </c>
      <c r="R1013" s="596">
        <f t="shared" si="158"/>
        <v>45955</v>
      </c>
      <c r="S1013" s="597" t="e">
        <f t="shared" si="159"/>
        <v>#N/A</v>
      </c>
      <c r="T1013" s="526" t="e">
        <f t="shared" si="160"/>
        <v>#N/A</v>
      </c>
      <c r="U1013" s="598">
        <v>738.36</v>
      </c>
      <c r="V1013" s="598">
        <v>0</v>
      </c>
      <c r="X1013" s="599">
        <v>6791.6938099999998</v>
      </c>
    </row>
    <row r="1014" spans="17:24" ht="11.1" customHeight="1" x14ac:dyDescent="0.45">
      <c r="Q1014" s="439">
        <f t="shared" si="157"/>
        <v>174</v>
      </c>
      <c r="R1014" s="596">
        <f t="shared" si="158"/>
        <v>45956</v>
      </c>
      <c r="S1014" s="597" t="e">
        <f t="shared" si="159"/>
        <v>#N/A</v>
      </c>
      <c r="T1014" s="526" t="e">
        <f t="shared" si="160"/>
        <v>#N/A</v>
      </c>
      <c r="U1014" s="598">
        <v>738.36</v>
      </c>
      <c r="V1014" s="598">
        <v>0</v>
      </c>
      <c r="X1014" s="599">
        <v>6791.6938099999998</v>
      </c>
    </row>
    <row r="1015" spans="17:24" ht="11.1" customHeight="1" x14ac:dyDescent="0.45">
      <c r="Q1015" s="439">
        <f t="shared" si="157"/>
        <v>173</v>
      </c>
      <c r="R1015" s="596">
        <f t="shared" si="158"/>
        <v>45957</v>
      </c>
      <c r="S1015" s="597">
        <f t="shared" si="159"/>
        <v>750.82</v>
      </c>
      <c r="T1015" s="526">
        <f t="shared" si="160"/>
        <v>8500.0932900000007</v>
      </c>
      <c r="U1015" s="598">
        <v>750.82</v>
      </c>
      <c r="V1015" s="598">
        <v>8500.0932900000007</v>
      </c>
      <c r="X1015" s="599">
        <v>6875.1568900000002</v>
      </c>
    </row>
    <row r="1016" spans="17:24" ht="11.1" customHeight="1" x14ac:dyDescent="0.45">
      <c r="Q1016" s="439">
        <f t="shared" si="157"/>
        <v>172</v>
      </c>
      <c r="R1016" s="596">
        <f t="shared" si="158"/>
        <v>45958</v>
      </c>
      <c r="S1016" s="597">
        <f t="shared" si="159"/>
        <v>751.44</v>
      </c>
      <c r="T1016" s="526">
        <f t="shared" si="160"/>
        <v>9162.9225999999999</v>
      </c>
      <c r="U1016" s="598">
        <v>751.44</v>
      </c>
      <c r="V1016" s="598">
        <v>9162.9225999999999</v>
      </c>
      <c r="X1016" s="599">
        <v>6890.8883699999997</v>
      </c>
    </row>
    <row r="1017" spans="17:24" ht="11.1" customHeight="1" x14ac:dyDescent="0.45">
      <c r="Q1017" s="439">
        <f t="shared" si="157"/>
        <v>171</v>
      </c>
      <c r="R1017" s="596">
        <f t="shared" si="158"/>
        <v>45959</v>
      </c>
      <c r="S1017" s="597">
        <f t="shared" si="159"/>
        <v>751.67</v>
      </c>
      <c r="T1017" s="526">
        <f t="shared" si="160"/>
        <v>20158.731049999999</v>
      </c>
      <c r="U1017" s="598">
        <v>751.67</v>
      </c>
      <c r="V1017" s="598">
        <v>20158.731049999999</v>
      </c>
      <c r="X1017" s="599">
        <v>6890.5870500000001</v>
      </c>
    </row>
    <row r="1018" spans="17:24" ht="11.1" customHeight="1" x14ac:dyDescent="0.45">
      <c r="Q1018" s="439">
        <f t="shared" si="157"/>
        <v>170</v>
      </c>
      <c r="R1018" s="596">
        <f t="shared" si="158"/>
        <v>45960</v>
      </c>
      <c r="S1018" s="597">
        <f t="shared" si="159"/>
        <v>666.47</v>
      </c>
      <c r="T1018" s="526">
        <f t="shared" si="160"/>
        <v>58942.669450000001</v>
      </c>
      <c r="U1018" s="598">
        <v>666.47</v>
      </c>
      <c r="V1018" s="598">
        <v>58942.669450000001</v>
      </c>
      <c r="X1018" s="599">
        <v>6822.34033</v>
      </c>
    </row>
    <row r="1019" spans="17:24" ht="11.1" customHeight="1" x14ac:dyDescent="0.45">
      <c r="Q1019" s="439">
        <f t="shared" si="157"/>
        <v>169</v>
      </c>
      <c r="R1019" s="596">
        <f t="shared" si="158"/>
        <v>45961</v>
      </c>
      <c r="S1019" s="597">
        <f t="shared" si="159"/>
        <v>648.35</v>
      </c>
      <c r="T1019" s="526">
        <f t="shared" si="160"/>
        <v>36925.587119999997</v>
      </c>
      <c r="U1019" s="598">
        <v>648.35</v>
      </c>
      <c r="V1019" s="598">
        <v>36925.587119999997</v>
      </c>
      <c r="X1019" s="599">
        <v>6840.1987399999998</v>
      </c>
    </row>
    <row r="1020" spans="17:24" ht="11.1" customHeight="1" x14ac:dyDescent="0.45">
      <c r="Q1020" s="439">
        <f t="shared" si="157"/>
        <v>168</v>
      </c>
      <c r="R1020" s="596">
        <f t="shared" si="158"/>
        <v>45962</v>
      </c>
      <c r="S1020" s="597" t="e">
        <f t="shared" si="159"/>
        <v>#N/A</v>
      </c>
      <c r="T1020" s="526" t="e">
        <f t="shared" si="160"/>
        <v>#N/A</v>
      </c>
      <c r="U1020" s="598">
        <v>648.35</v>
      </c>
      <c r="V1020" s="598">
        <v>0</v>
      </c>
      <c r="X1020" s="599">
        <v>6840.1987399999998</v>
      </c>
    </row>
    <row r="1021" spans="17:24" ht="11.1" customHeight="1" x14ac:dyDescent="0.45">
      <c r="Q1021" s="439">
        <f t="shared" si="157"/>
        <v>167</v>
      </c>
      <c r="R1021" s="596">
        <f t="shared" si="158"/>
        <v>45963</v>
      </c>
      <c r="S1021" s="597" t="e">
        <f t="shared" si="159"/>
        <v>#N/A</v>
      </c>
      <c r="T1021" s="526" t="e">
        <f t="shared" si="160"/>
        <v>#N/A</v>
      </c>
      <c r="U1021" s="598">
        <v>648.35</v>
      </c>
      <c r="V1021" s="598">
        <v>0</v>
      </c>
      <c r="X1021" s="599">
        <v>6840.1987399999998</v>
      </c>
    </row>
    <row r="1022" spans="17:24" ht="11.1" customHeight="1" x14ac:dyDescent="0.45">
      <c r="Q1022" s="439">
        <f t="shared" si="157"/>
        <v>166</v>
      </c>
      <c r="R1022" s="596">
        <f t="shared" si="158"/>
        <v>45964</v>
      </c>
      <c r="S1022" s="597">
        <f t="shared" si="159"/>
        <v>637.71</v>
      </c>
      <c r="T1022" s="526">
        <f t="shared" si="160"/>
        <v>21046.725119999999</v>
      </c>
      <c r="U1022" s="598">
        <v>637.71</v>
      </c>
      <c r="V1022" s="598">
        <v>21046.725119999999</v>
      </c>
      <c r="X1022" s="599">
        <v>6851.96666</v>
      </c>
    </row>
    <row r="1023" spans="17:24" ht="11.1" customHeight="1" x14ac:dyDescent="0.45">
      <c r="Q1023" s="439">
        <f t="shared" si="157"/>
        <v>165</v>
      </c>
      <c r="R1023" s="596">
        <f t="shared" si="158"/>
        <v>45965</v>
      </c>
      <c r="S1023" s="597">
        <f t="shared" si="159"/>
        <v>627.32000000000005</v>
      </c>
      <c r="T1023" s="526">
        <f t="shared" si="160"/>
        <v>17161.312829999999</v>
      </c>
      <c r="U1023" s="598">
        <v>627.32000000000005</v>
      </c>
      <c r="V1023" s="598">
        <v>17161.312829999999</v>
      </c>
      <c r="X1023" s="599">
        <v>6771.5474899999999</v>
      </c>
    </row>
    <row r="1024" spans="17:24" ht="11.1" customHeight="1" x14ac:dyDescent="0.45">
      <c r="Q1024" s="439">
        <f t="shared" si="157"/>
        <v>164</v>
      </c>
      <c r="R1024" s="596">
        <f t="shared" si="158"/>
        <v>45966</v>
      </c>
      <c r="S1024" s="597">
        <f t="shared" si="159"/>
        <v>635.95000000000005</v>
      </c>
      <c r="T1024" s="526">
        <f t="shared" si="160"/>
        <v>12858.816790000001</v>
      </c>
      <c r="U1024" s="598">
        <v>635.95000000000005</v>
      </c>
      <c r="V1024" s="598">
        <v>12858.816790000001</v>
      </c>
      <c r="X1024" s="599">
        <v>6796.2894299999998</v>
      </c>
    </row>
    <row r="1025" spans="17:24" ht="11.1" customHeight="1" x14ac:dyDescent="0.45">
      <c r="Q1025" s="439">
        <f t="shared" si="157"/>
        <v>163</v>
      </c>
      <c r="R1025" s="596">
        <f t="shared" si="158"/>
        <v>45967</v>
      </c>
      <c r="S1025" s="597">
        <f t="shared" si="159"/>
        <v>618.94000000000005</v>
      </c>
      <c r="T1025" s="526">
        <f t="shared" si="160"/>
        <v>14624.77853</v>
      </c>
      <c r="U1025" s="598">
        <v>618.94000000000005</v>
      </c>
      <c r="V1025" s="598">
        <v>14624.77853</v>
      </c>
      <c r="X1025" s="599">
        <v>6720.3201499999996</v>
      </c>
    </row>
    <row r="1026" spans="17:24" ht="11.1" customHeight="1" x14ac:dyDescent="0.45">
      <c r="Q1026" s="439">
        <f t="shared" si="157"/>
        <v>162</v>
      </c>
      <c r="R1026" s="596">
        <f t="shared" si="158"/>
        <v>45968</v>
      </c>
      <c r="S1026" s="597">
        <f t="shared" si="159"/>
        <v>621.71</v>
      </c>
      <c r="T1026" s="526">
        <f t="shared" si="160"/>
        <v>18618.241190000001</v>
      </c>
      <c r="U1026" s="598">
        <v>621.71</v>
      </c>
      <c r="V1026" s="598">
        <v>18618.241190000001</v>
      </c>
      <c r="X1026" s="599">
        <v>6728.8011100000003</v>
      </c>
    </row>
    <row r="1027" spans="17:24" ht="11.1" customHeight="1" x14ac:dyDescent="0.45">
      <c r="Q1027" s="439">
        <f t="shared" si="157"/>
        <v>161</v>
      </c>
      <c r="R1027" s="596">
        <f t="shared" si="158"/>
        <v>45969</v>
      </c>
      <c r="S1027" s="597" t="e">
        <f t="shared" si="159"/>
        <v>#N/A</v>
      </c>
      <c r="T1027" s="526" t="e">
        <f t="shared" si="160"/>
        <v>#N/A</v>
      </c>
      <c r="U1027" s="598">
        <v>621.71</v>
      </c>
      <c r="V1027" s="598">
        <v>0</v>
      </c>
      <c r="X1027" s="599">
        <v>6728.8011100000003</v>
      </c>
    </row>
    <row r="1028" spans="17:24" ht="11.1" customHeight="1" x14ac:dyDescent="0.45">
      <c r="Q1028" s="439">
        <f t="shared" si="157"/>
        <v>160</v>
      </c>
      <c r="R1028" s="596">
        <f t="shared" si="158"/>
        <v>45970</v>
      </c>
      <c r="S1028" s="597" t="e">
        <f t="shared" si="159"/>
        <v>#N/A</v>
      </c>
      <c r="T1028" s="526" t="e">
        <f t="shared" si="160"/>
        <v>#N/A</v>
      </c>
      <c r="U1028" s="598">
        <v>621.71</v>
      </c>
      <c r="V1028" s="598">
        <v>0</v>
      </c>
      <c r="X1028" s="599">
        <v>6728.8011100000003</v>
      </c>
    </row>
    <row r="1029" spans="17:24" ht="11.1" customHeight="1" x14ac:dyDescent="0.45">
      <c r="Q1029" s="439">
        <f t="shared" si="157"/>
        <v>159</v>
      </c>
      <c r="R1029" s="596">
        <f t="shared" si="158"/>
        <v>45971</v>
      </c>
      <c r="S1029" s="597">
        <f t="shared" si="159"/>
        <v>631.76</v>
      </c>
      <c r="T1029" s="526">
        <f t="shared" si="160"/>
        <v>12158.2212</v>
      </c>
      <c r="U1029" s="598">
        <v>631.76</v>
      </c>
      <c r="V1029" s="598">
        <v>12158.2212</v>
      </c>
      <c r="X1029" s="599">
        <v>6832.4301599999999</v>
      </c>
    </row>
    <row r="1030" spans="17:24" ht="11.1" customHeight="1" x14ac:dyDescent="0.45">
      <c r="Q1030" s="439">
        <f t="shared" si="157"/>
        <v>158</v>
      </c>
      <c r="R1030" s="596">
        <f t="shared" si="158"/>
        <v>45972</v>
      </c>
      <c r="S1030" s="597">
        <f t="shared" si="159"/>
        <v>627.08000000000004</v>
      </c>
      <c r="T1030" s="526">
        <f t="shared" si="160"/>
        <v>8341.5354200000002</v>
      </c>
      <c r="U1030" s="598">
        <v>627.08000000000004</v>
      </c>
      <c r="V1030" s="598">
        <v>8341.5354200000002</v>
      </c>
      <c r="X1030" s="599">
        <v>6846.6142300000001</v>
      </c>
    </row>
    <row r="1031" spans="17:24" ht="11.1" customHeight="1" x14ac:dyDescent="0.45">
      <c r="Q1031" s="439">
        <f t="shared" si="157"/>
        <v>157</v>
      </c>
      <c r="R1031" s="596">
        <f t="shared" si="158"/>
        <v>45973</v>
      </c>
      <c r="S1031" s="597">
        <f t="shared" si="159"/>
        <v>609.01</v>
      </c>
      <c r="T1031" s="526">
        <f t="shared" si="160"/>
        <v>14916.647580000001</v>
      </c>
      <c r="U1031" s="598">
        <v>609.01</v>
      </c>
      <c r="V1031" s="598">
        <v>14916.647580000001</v>
      </c>
      <c r="X1031" s="599">
        <v>6850.9164799999999</v>
      </c>
    </row>
    <row r="1032" spans="17:24" ht="11.1" customHeight="1" x14ac:dyDescent="0.45">
      <c r="Q1032" s="439">
        <f t="shared" si="157"/>
        <v>156</v>
      </c>
      <c r="R1032" s="596">
        <f t="shared" si="158"/>
        <v>45974</v>
      </c>
      <c r="S1032" s="597">
        <f t="shared" si="159"/>
        <v>609.89</v>
      </c>
      <c r="T1032" s="526">
        <f t="shared" si="160"/>
        <v>12791.73833</v>
      </c>
      <c r="U1032" s="598">
        <v>609.89</v>
      </c>
      <c r="V1032" s="598">
        <v>12791.73833</v>
      </c>
      <c r="X1032" s="599">
        <v>6737.4887200000003</v>
      </c>
    </row>
    <row r="1033" spans="17:24" ht="11.1" customHeight="1" x14ac:dyDescent="0.45">
      <c r="Q1033" s="439">
        <f t="shared" si="157"/>
        <v>155</v>
      </c>
      <c r="R1033" s="596">
        <f t="shared" si="158"/>
        <v>45975</v>
      </c>
      <c r="S1033" s="597">
        <f t="shared" si="159"/>
        <v>609.46</v>
      </c>
      <c r="T1033" s="526">
        <f t="shared" si="160"/>
        <v>12630.53802</v>
      </c>
      <c r="U1033" s="598">
        <v>609.46</v>
      </c>
      <c r="V1033" s="598">
        <v>12630.53802</v>
      </c>
      <c r="X1033" s="599">
        <v>6734.11067</v>
      </c>
    </row>
    <row r="1034" spans="17:24" ht="11.1" customHeight="1" x14ac:dyDescent="0.45">
      <c r="Q1034" s="439">
        <f t="shared" si="157"/>
        <v>154</v>
      </c>
      <c r="R1034" s="596">
        <f t="shared" si="158"/>
        <v>45976</v>
      </c>
      <c r="S1034" s="597" t="e">
        <f t="shared" si="159"/>
        <v>#N/A</v>
      </c>
      <c r="T1034" s="526" t="e">
        <f t="shared" si="160"/>
        <v>#N/A</v>
      </c>
      <c r="U1034" s="598">
        <v>609.46</v>
      </c>
      <c r="V1034" s="598">
        <v>0</v>
      </c>
      <c r="X1034" s="599">
        <v>6734.11067</v>
      </c>
    </row>
    <row r="1035" spans="17:24" ht="11.1" customHeight="1" x14ac:dyDescent="0.45">
      <c r="Q1035" s="439">
        <f t="shared" si="157"/>
        <v>153</v>
      </c>
      <c r="R1035" s="596">
        <f t="shared" si="158"/>
        <v>45977</v>
      </c>
      <c r="S1035" s="597" t="e">
        <f t="shared" si="159"/>
        <v>#N/A</v>
      </c>
      <c r="T1035" s="526" t="e">
        <f t="shared" si="160"/>
        <v>#N/A</v>
      </c>
      <c r="U1035" s="598">
        <v>609.46</v>
      </c>
      <c r="V1035" s="598">
        <v>0</v>
      </c>
      <c r="X1035" s="599">
        <v>6734.11067</v>
      </c>
    </row>
    <row r="1036" spans="17:24" ht="11.1" customHeight="1" x14ac:dyDescent="0.45">
      <c r="Q1036" s="439">
        <f t="shared" si="157"/>
        <v>152</v>
      </c>
      <c r="R1036" s="596">
        <f t="shared" si="158"/>
        <v>45978</v>
      </c>
      <c r="S1036" s="597">
        <f t="shared" si="159"/>
        <v>602.01</v>
      </c>
      <c r="T1036" s="526">
        <f t="shared" si="160"/>
        <v>9933.9662800000006</v>
      </c>
      <c r="U1036" s="598">
        <v>602.01</v>
      </c>
      <c r="V1036" s="598">
        <v>9933.9662800000006</v>
      </c>
      <c r="X1036" s="599">
        <v>6672.4116299999996</v>
      </c>
    </row>
    <row r="1037" spans="17:24" ht="11.1" customHeight="1" x14ac:dyDescent="0.45">
      <c r="Q1037" s="439">
        <f t="shared" si="157"/>
        <v>151</v>
      </c>
      <c r="R1037" s="596">
        <f t="shared" si="158"/>
        <v>45979</v>
      </c>
      <c r="S1037" s="597">
        <f t="shared" si="159"/>
        <v>597.69000000000005</v>
      </c>
      <c r="T1037" s="526">
        <f t="shared" si="160"/>
        <v>15241.48171</v>
      </c>
      <c r="U1037" s="598">
        <v>597.69000000000005</v>
      </c>
      <c r="V1037" s="598">
        <v>15241.48171</v>
      </c>
      <c r="X1037" s="599">
        <v>6617.32006</v>
      </c>
    </row>
    <row r="1038" spans="17:24" ht="11.1" customHeight="1" x14ac:dyDescent="0.45">
      <c r="Q1038" s="439">
        <f t="shared" si="157"/>
        <v>150</v>
      </c>
      <c r="R1038" s="596">
        <f t="shared" si="158"/>
        <v>45980</v>
      </c>
      <c r="S1038" s="597">
        <f t="shared" si="159"/>
        <v>590.32000000000005</v>
      </c>
      <c r="T1038" s="526">
        <f t="shared" si="160"/>
        <v>14607.293079999999</v>
      </c>
      <c r="U1038" s="598">
        <v>590.32000000000005</v>
      </c>
      <c r="V1038" s="598">
        <v>14607.293079999999</v>
      </c>
      <c r="X1038" s="599">
        <v>6642.1585100000002</v>
      </c>
    </row>
    <row r="1039" spans="17:24" ht="11.1" customHeight="1" x14ac:dyDescent="0.45">
      <c r="Q1039" s="439">
        <f t="shared" si="157"/>
        <v>149</v>
      </c>
      <c r="R1039" s="596">
        <f t="shared" si="158"/>
        <v>45981</v>
      </c>
      <c r="S1039" s="597">
        <f t="shared" si="159"/>
        <v>589.15</v>
      </c>
      <c r="T1039" s="526">
        <f t="shared" si="160"/>
        <v>12138.27159</v>
      </c>
      <c r="U1039" s="598">
        <v>589.15</v>
      </c>
      <c r="V1039" s="598">
        <v>12138.27159</v>
      </c>
      <c r="X1039" s="599">
        <v>6538.7626700000001</v>
      </c>
    </row>
    <row r="1040" spans="17:24" ht="11.1" customHeight="1" x14ac:dyDescent="0.45">
      <c r="Q1040" s="439">
        <f t="shared" si="157"/>
        <v>148</v>
      </c>
      <c r="R1040" s="596">
        <f t="shared" si="158"/>
        <v>45982</v>
      </c>
      <c r="S1040" s="597">
        <f t="shared" si="159"/>
        <v>594.25</v>
      </c>
      <c r="T1040" s="526">
        <f t="shared" si="160"/>
        <v>12510.52181</v>
      </c>
      <c r="U1040" s="598">
        <v>594.25</v>
      </c>
      <c r="V1040" s="598">
        <v>12510.52181</v>
      </c>
      <c r="X1040" s="599">
        <v>6602.9863299999997</v>
      </c>
    </row>
    <row r="1041" spans="17:24" ht="11.1" customHeight="1" x14ac:dyDescent="0.45">
      <c r="Q1041" s="439">
        <f t="shared" si="157"/>
        <v>147</v>
      </c>
      <c r="R1041" s="596">
        <f t="shared" si="158"/>
        <v>45983</v>
      </c>
      <c r="S1041" s="597" t="e">
        <f t="shared" si="159"/>
        <v>#N/A</v>
      </c>
      <c r="T1041" s="526" t="e">
        <f t="shared" si="160"/>
        <v>#N/A</v>
      </c>
      <c r="U1041" s="598">
        <v>594.25</v>
      </c>
      <c r="V1041" s="598">
        <v>0</v>
      </c>
      <c r="X1041" s="599">
        <v>6602.9863299999997</v>
      </c>
    </row>
    <row r="1042" spans="17:24" ht="11.1" customHeight="1" x14ac:dyDescent="0.45">
      <c r="Q1042" s="439">
        <f t="shared" si="157"/>
        <v>146</v>
      </c>
      <c r="R1042" s="596">
        <f t="shared" si="158"/>
        <v>45984</v>
      </c>
      <c r="S1042" s="597" t="e">
        <f t="shared" si="159"/>
        <v>#N/A</v>
      </c>
      <c r="T1042" s="526" t="e">
        <f t="shared" si="160"/>
        <v>#N/A</v>
      </c>
      <c r="U1042" s="598">
        <v>594.25</v>
      </c>
      <c r="V1042" s="598">
        <v>0</v>
      </c>
      <c r="X1042" s="599">
        <v>6602.9863299999997</v>
      </c>
    </row>
    <row r="1043" spans="17:24" ht="11.1" customHeight="1" x14ac:dyDescent="0.45">
      <c r="Q1043" s="439">
        <f t="shared" si="157"/>
        <v>145</v>
      </c>
      <c r="R1043" s="596">
        <f t="shared" si="158"/>
        <v>45985</v>
      </c>
      <c r="S1043" s="597">
        <f t="shared" si="159"/>
        <v>613.04999999999995</v>
      </c>
      <c r="T1043" s="526">
        <f t="shared" si="160"/>
        <v>14440.351060000001</v>
      </c>
      <c r="U1043" s="598">
        <v>613.04999999999995</v>
      </c>
      <c r="V1043" s="598">
        <v>14440.351060000001</v>
      </c>
      <c r="X1043" s="599">
        <v>6705.1170899999997</v>
      </c>
    </row>
    <row r="1044" spans="17:24" ht="11.1" customHeight="1" x14ac:dyDescent="0.45">
      <c r="Q1044" s="439">
        <f t="shared" si="157"/>
        <v>144</v>
      </c>
      <c r="R1044" s="596">
        <f t="shared" si="158"/>
        <v>45986</v>
      </c>
      <c r="S1044" s="597">
        <f t="shared" si="159"/>
        <v>636.22</v>
      </c>
      <c r="T1044" s="526">
        <f t="shared" si="160"/>
        <v>16041.00086</v>
      </c>
      <c r="U1044" s="598">
        <v>636.22</v>
      </c>
      <c r="V1044" s="598">
        <v>16041.00086</v>
      </c>
      <c r="X1044" s="599">
        <v>6765.8759700000001</v>
      </c>
    </row>
    <row r="1045" spans="17:24" ht="11.1" customHeight="1" x14ac:dyDescent="0.45">
      <c r="Q1045" s="439">
        <f t="shared" si="157"/>
        <v>143</v>
      </c>
      <c r="R1045" s="596">
        <f t="shared" si="158"/>
        <v>45987</v>
      </c>
      <c r="S1045" s="597">
        <f t="shared" si="159"/>
        <v>633.61</v>
      </c>
      <c r="T1045" s="526">
        <f t="shared" si="160"/>
        <v>9636.8792599999997</v>
      </c>
      <c r="U1045" s="598">
        <v>633.61</v>
      </c>
      <c r="V1045" s="598">
        <v>9636.8792599999997</v>
      </c>
      <c r="X1045" s="599">
        <v>6812.6130899999998</v>
      </c>
    </row>
    <row r="1046" spans="17:24" ht="11.1" customHeight="1" x14ac:dyDescent="0.45">
      <c r="Q1046" s="439">
        <f t="shared" si="157"/>
        <v>142</v>
      </c>
      <c r="R1046" s="596">
        <f t="shared" si="158"/>
        <v>45988</v>
      </c>
      <c r="S1046" s="597" t="e">
        <f t="shared" si="159"/>
        <v>#N/A</v>
      </c>
      <c r="T1046" s="526" t="e">
        <f t="shared" si="160"/>
        <v>#N/A</v>
      </c>
      <c r="U1046" s="598">
        <v>633.61</v>
      </c>
      <c r="V1046" s="598">
        <v>0</v>
      </c>
      <c r="X1046" s="599">
        <v>6812.6130899999998</v>
      </c>
    </row>
    <row r="1047" spans="17:24" ht="11.1" customHeight="1" x14ac:dyDescent="0.45">
      <c r="Q1047" s="439">
        <f t="shared" si="157"/>
        <v>141</v>
      </c>
      <c r="R1047" s="596">
        <f t="shared" si="158"/>
        <v>45989</v>
      </c>
      <c r="S1047" s="597">
        <f t="shared" si="159"/>
        <v>647.95000000000005</v>
      </c>
      <c r="T1047" s="526">
        <f t="shared" si="160"/>
        <v>7148.9606400000002</v>
      </c>
      <c r="U1047" s="598">
        <v>647.95000000000005</v>
      </c>
      <c r="V1047" s="598">
        <v>7148.9606400000002</v>
      </c>
      <c r="X1047" s="599">
        <v>6849.0873700000002</v>
      </c>
    </row>
    <row r="1048" spans="17:24" ht="11.1" customHeight="1" x14ac:dyDescent="0.45">
      <c r="Q1048" s="439">
        <f t="shared" si="157"/>
        <v>140</v>
      </c>
      <c r="R1048" s="596">
        <f t="shared" si="158"/>
        <v>45990</v>
      </c>
      <c r="S1048" s="597" t="e">
        <f t="shared" si="159"/>
        <v>#N/A</v>
      </c>
      <c r="T1048" s="526" t="e">
        <f t="shared" si="160"/>
        <v>#N/A</v>
      </c>
      <c r="U1048" s="598">
        <v>647.95000000000005</v>
      </c>
      <c r="V1048" s="598">
        <v>0</v>
      </c>
      <c r="X1048" s="599">
        <v>6849.0873700000002</v>
      </c>
    </row>
    <row r="1049" spans="17:24" ht="11.1" customHeight="1" x14ac:dyDescent="0.45">
      <c r="Q1049" s="439">
        <f t="shared" si="157"/>
        <v>139</v>
      </c>
      <c r="R1049" s="596">
        <f t="shared" si="158"/>
        <v>45991</v>
      </c>
      <c r="S1049" s="597" t="e">
        <f t="shared" si="159"/>
        <v>#N/A</v>
      </c>
      <c r="T1049" s="526" t="e">
        <f t="shared" si="160"/>
        <v>#N/A</v>
      </c>
      <c r="U1049" s="598">
        <v>647.95000000000005</v>
      </c>
      <c r="V1049" s="598">
        <v>0</v>
      </c>
      <c r="X1049" s="599">
        <v>6849.0873700000002</v>
      </c>
    </row>
    <row r="1050" spans="17:24" ht="11.1" customHeight="1" x14ac:dyDescent="0.45">
      <c r="Q1050" s="439">
        <f t="shared" si="157"/>
        <v>138</v>
      </c>
      <c r="R1050" s="596">
        <f t="shared" si="158"/>
        <v>45992</v>
      </c>
      <c r="S1050" s="597">
        <f t="shared" si="159"/>
        <v>640.87</v>
      </c>
      <c r="T1050" s="526">
        <f t="shared" si="160"/>
        <v>8350.4861099999998</v>
      </c>
      <c r="U1050" s="598">
        <v>640.87</v>
      </c>
      <c r="V1050" s="598">
        <v>8350.4861099999998</v>
      </c>
      <c r="X1050" s="599">
        <v>6812.6258500000004</v>
      </c>
    </row>
    <row r="1051" spans="17:24" ht="11.1" customHeight="1" x14ac:dyDescent="0.45">
      <c r="Q1051" s="439">
        <f t="shared" si="157"/>
        <v>137</v>
      </c>
      <c r="R1051" s="596">
        <f t="shared" si="158"/>
        <v>45993</v>
      </c>
      <c r="S1051" s="597">
        <f t="shared" si="159"/>
        <v>647.1</v>
      </c>
      <c r="T1051" s="526">
        <f t="shared" si="160"/>
        <v>7532.8063300000003</v>
      </c>
      <c r="U1051" s="598">
        <v>647.1</v>
      </c>
      <c r="V1051" s="598">
        <v>7532.8063300000003</v>
      </c>
      <c r="X1051" s="599">
        <v>6829.3705799999998</v>
      </c>
    </row>
    <row r="1052" spans="17:24" ht="11.1" customHeight="1" x14ac:dyDescent="0.45">
      <c r="Q1052" s="439">
        <f t="shared" si="157"/>
        <v>136</v>
      </c>
      <c r="R1052" s="596">
        <f t="shared" si="158"/>
        <v>45994</v>
      </c>
      <c r="S1052" s="597">
        <f t="shared" si="159"/>
        <v>639.6</v>
      </c>
      <c r="T1052" s="526">
        <f t="shared" si="160"/>
        <v>7121.5014799999999</v>
      </c>
      <c r="U1052" s="598">
        <v>639.6</v>
      </c>
      <c r="V1052" s="598">
        <v>7121.5014799999999</v>
      </c>
      <c r="X1052" s="599">
        <v>6849.7227199999998</v>
      </c>
    </row>
    <row r="1053" spans="17:24" ht="11.1" customHeight="1" x14ac:dyDescent="0.45">
      <c r="Q1053" s="439">
        <f t="shared" ref="Q1053:Q1116" si="161">Q1054+1</f>
        <v>135</v>
      </c>
      <c r="R1053" s="596">
        <f t="shared" ref="R1053:R1116" si="162">R1054-1</f>
        <v>45995</v>
      </c>
      <c r="S1053" s="597">
        <f t="shared" ref="S1053:S1116" si="163">IF(U1053=U1052,#N/A,U1053)</f>
        <v>661.53</v>
      </c>
      <c r="T1053" s="526">
        <f t="shared" ref="T1053:T1116" si="164">IF(S1053="#NV",#N/A,V1053)</f>
        <v>19762.958689999999</v>
      </c>
      <c r="U1053" s="598">
        <v>661.53</v>
      </c>
      <c r="V1053" s="598">
        <v>19762.958689999999</v>
      </c>
      <c r="X1053" s="599">
        <v>6857.1196900000004</v>
      </c>
    </row>
    <row r="1054" spans="17:24" ht="11.1" customHeight="1" x14ac:dyDescent="0.45">
      <c r="Q1054" s="439">
        <f t="shared" si="161"/>
        <v>134</v>
      </c>
      <c r="R1054" s="596">
        <f t="shared" si="162"/>
        <v>45996</v>
      </c>
      <c r="S1054" s="597">
        <f t="shared" si="163"/>
        <v>673.42</v>
      </c>
      <c r="T1054" s="526">
        <f t="shared" si="164"/>
        <v>14281.797759999999</v>
      </c>
      <c r="U1054" s="598">
        <v>673.42</v>
      </c>
      <c r="V1054" s="598">
        <v>14281.797759999999</v>
      </c>
      <c r="X1054" s="599">
        <v>6870.4042099999997</v>
      </c>
    </row>
    <row r="1055" spans="17:24" ht="11.1" customHeight="1" x14ac:dyDescent="0.45">
      <c r="Q1055" s="439">
        <f t="shared" si="161"/>
        <v>133</v>
      </c>
      <c r="R1055" s="596">
        <f t="shared" si="162"/>
        <v>45997</v>
      </c>
      <c r="S1055" s="597" t="e">
        <f t="shared" si="163"/>
        <v>#N/A</v>
      </c>
      <c r="T1055" s="526" t="e">
        <f t="shared" si="164"/>
        <v>#N/A</v>
      </c>
      <c r="U1055" s="598">
        <v>673.42</v>
      </c>
      <c r="V1055" s="598">
        <v>0</v>
      </c>
      <c r="X1055" s="599">
        <v>6870.4042099999997</v>
      </c>
    </row>
    <row r="1056" spans="17:24" ht="11.1" customHeight="1" x14ac:dyDescent="0.45">
      <c r="Q1056" s="439">
        <f t="shared" si="161"/>
        <v>132</v>
      </c>
      <c r="R1056" s="596">
        <f t="shared" si="162"/>
        <v>45998</v>
      </c>
      <c r="S1056" s="597" t="e">
        <f t="shared" si="163"/>
        <v>#N/A</v>
      </c>
      <c r="T1056" s="526" t="e">
        <f t="shared" si="164"/>
        <v>#N/A</v>
      </c>
      <c r="U1056" s="598">
        <v>673.42</v>
      </c>
      <c r="V1056" s="598">
        <v>0</v>
      </c>
      <c r="X1056" s="599">
        <v>6870.4042099999997</v>
      </c>
    </row>
    <row r="1057" spans="17:24" ht="11.1" customHeight="1" x14ac:dyDescent="0.45">
      <c r="Q1057" s="439">
        <f t="shared" si="161"/>
        <v>131</v>
      </c>
      <c r="R1057" s="596">
        <f t="shared" si="162"/>
        <v>45999</v>
      </c>
      <c r="S1057" s="597">
        <f t="shared" si="163"/>
        <v>666.8</v>
      </c>
      <c r="T1057" s="526">
        <f t="shared" si="164"/>
        <v>8775.7387999999992</v>
      </c>
      <c r="U1057" s="598">
        <v>666.8</v>
      </c>
      <c r="V1057" s="598">
        <v>8775.7387999999992</v>
      </c>
      <c r="X1057" s="599">
        <v>6846.5061699999997</v>
      </c>
    </row>
    <row r="1058" spans="17:24" ht="11.1" customHeight="1" x14ac:dyDescent="0.45">
      <c r="Q1058" s="439">
        <f t="shared" si="161"/>
        <v>130</v>
      </c>
      <c r="R1058" s="596">
        <f t="shared" si="162"/>
        <v>46000</v>
      </c>
      <c r="S1058" s="597">
        <f t="shared" si="163"/>
        <v>656.96</v>
      </c>
      <c r="T1058" s="526">
        <f t="shared" si="164"/>
        <v>8538.5853299999999</v>
      </c>
      <c r="U1058" s="598">
        <v>656.96</v>
      </c>
      <c r="V1058" s="598">
        <v>8538.5853299999999</v>
      </c>
      <c r="X1058" s="599">
        <v>6840.5096199999998</v>
      </c>
    </row>
    <row r="1059" spans="17:24" ht="11.1" customHeight="1" x14ac:dyDescent="0.45">
      <c r="Q1059" s="439">
        <f t="shared" si="161"/>
        <v>129</v>
      </c>
      <c r="R1059" s="596">
        <f t="shared" si="162"/>
        <v>46001</v>
      </c>
      <c r="S1059" s="597">
        <f t="shared" si="163"/>
        <v>650.13</v>
      </c>
      <c r="T1059" s="526">
        <f t="shared" si="164"/>
        <v>10994.272370000001</v>
      </c>
      <c r="U1059" s="598">
        <v>650.13</v>
      </c>
      <c r="V1059" s="598">
        <v>10994.272370000001</v>
      </c>
      <c r="X1059" s="599">
        <v>6886.6829900000002</v>
      </c>
    </row>
    <row r="1060" spans="17:24" ht="11.1" customHeight="1" x14ac:dyDescent="0.45">
      <c r="Q1060" s="439">
        <f t="shared" si="161"/>
        <v>128</v>
      </c>
      <c r="R1060" s="596">
        <f t="shared" si="162"/>
        <v>46002</v>
      </c>
      <c r="S1060" s="597">
        <f t="shared" si="163"/>
        <v>652.71</v>
      </c>
      <c r="T1060" s="526">
        <f t="shared" si="164"/>
        <v>8522.2556299999997</v>
      </c>
      <c r="U1060" s="598">
        <v>652.71</v>
      </c>
      <c r="V1060" s="598">
        <v>8522.2556299999997</v>
      </c>
      <c r="X1060" s="599">
        <v>6900.9951899999996</v>
      </c>
    </row>
    <row r="1061" spans="17:24" ht="11.1" customHeight="1" x14ac:dyDescent="0.45">
      <c r="Q1061" s="439">
        <f t="shared" si="161"/>
        <v>127</v>
      </c>
      <c r="R1061" s="596">
        <f t="shared" si="162"/>
        <v>46003</v>
      </c>
      <c r="S1061" s="597">
        <f t="shared" si="163"/>
        <v>644.23</v>
      </c>
      <c r="T1061" s="526">
        <f t="shared" si="164"/>
        <v>9030.11715</v>
      </c>
      <c r="U1061" s="598">
        <v>644.23</v>
      </c>
      <c r="V1061" s="598">
        <v>9030.11715</v>
      </c>
      <c r="X1061" s="599">
        <v>6827.4064600000002</v>
      </c>
    </row>
    <row r="1062" spans="17:24" ht="11.1" customHeight="1" x14ac:dyDescent="0.45">
      <c r="Q1062" s="439">
        <f t="shared" si="161"/>
        <v>126</v>
      </c>
      <c r="R1062" s="596">
        <f t="shared" si="162"/>
        <v>46004</v>
      </c>
      <c r="S1062" s="597" t="e">
        <f t="shared" si="163"/>
        <v>#N/A</v>
      </c>
      <c r="T1062" s="526" t="e">
        <f t="shared" si="164"/>
        <v>#N/A</v>
      </c>
      <c r="U1062" s="598">
        <v>644.23</v>
      </c>
      <c r="V1062" s="598">
        <v>0</v>
      </c>
      <c r="X1062" s="599">
        <v>6827.4064600000002</v>
      </c>
    </row>
    <row r="1063" spans="17:24" ht="11.1" customHeight="1" x14ac:dyDescent="0.45">
      <c r="Q1063" s="439">
        <f t="shared" si="161"/>
        <v>125</v>
      </c>
      <c r="R1063" s="596">
        <f t="shared" si="162"/>
        <v>46005</v>
      </c>
      <c r="S1063" s="597" t="e">
        <f t="shared" si="163"/>
        <v>#N/A</v>
      </c>
      <c r="T1063" s="526" t="e">
        <f t="shared" si="164"/>
        <v>#N/A</v>
      </c>
      <c r="U1063" s="598">
        <v>644.23</v>
      </c>
      <c r="V1063" s="598">
        <v>0</v>
      </c>
      <c r="X1063" s="599">
        <v>6827.4064600000002</v>
      </c>
    </row>
    <row r="1064" spans="17:24" ht="11.1" customHeight="1" x14ac:dyDescent="0.45">
      <c r="Q1064" s="439">
        <f t="shared" si="161"/>
        <v>124</v>
      </c>
      <c r="R1064" s="596">
        <f t="shared" si="162"/>
        <v>46006</v>
      </c>
      <c r="S1064" s="597">
        <f t="shared" si="163"/>
        <v>647.51</v>
      </c>
      <c r="T1064" s="526">
        <f t="shared" si="164"/>
        <v>10068.189969999999</v>
      </c>
      <c r="U1064" s="598">
        <v>647.51</v>
      </c>
      <c r="V1064" s="598">
        <v>10068.189969999999</v>
      </c>
      <c r="X1064" s="599">
        <v>6816.5083000000004</v>
      </c>
    </row>
    <row r="1065" spans="17:24" ht="11.1" customHeight="1" x14ac:dyDescent="0.45">
      <c r="Q1065" s="439">
        <f t="shared" si="161"/>
        <v>123</v>
      </c>
      <c r="R1065" s="596">
        <f t="shared" si="162"/>
        <v>46007</v>
      </c>
      <c r="S1065" s="597">
        <f t="shared" si="163"/>
        <v>657.15</v>
      </c>
      <c r="T1065" s="526">
        <f t="shared" si="164"/>
        <v>9403.2487199999996</v>
      </c>
      <c r="U1065" s="598">
        <v>657.15</v>
      </c>
      <c r="V1065" s="598">
        <v>9403.2487199999996</v>
      </c>
      <c r="X1065" s="599">
        <v>6800.2572200000004</v>
      </c>
    </row>
    <row r="1066" spans="17:24" ht="11.1" customHeight="1" x14ac:dyDescent="0.45">
      <c r="Q1066" s="439">
        <f t="shared" si="161"/>
        <v>122</v>
      </c>
      <c r="R1066" s="596">
        <f t="shared" si="162"/>
        <v>46008</v>
      </c>
      <c r="S1066" s="597">
        <f t="shared" si="163"/>
        <v>649.5</v>
      </c>
      <c r="T1066" s="526">
        <f t="shared" si="164"/>
        <v>10131.25693</v>
      </c>
      <c r="U1066" s="598">
        <v>649.5</v>
      </c>
      <c r="V1066" s="598">
        <v>10131.25693</v>
      </c>
      <c r="X1066" s="599">
        <v>6721.4295499999998</v>
      </c>
    </row>
    <row r="1067" spans="17:24" ht="11.1" customHeight="1" x14ac:dyDescent="0.45">
      <c r="Q1067" s="439">
        <f t="shared" si="161"/>
        <v>121</v>
      </c>
      <c r="R1067" s="596">
        <f t="shared" si="162"/>
        <v>46009</v>
      </c>
      <c r="S1067" s="597">
        <f t="shared" si="163"/>
        <v>664.45</v>
      </c>
      <c r="T1067" s="526">
        <f t="shared" si="164"/>
        <v>13461.953009999999</v>
      </c>
      <c r="U1067" s="598">
        <v>664.45</v>
      </c>
      <c r="V1067" s="598">
        <v>13461.953009999999</v>
      </c>
      <c r="X1067" s="599">
        <v>6774.7575699999998</v>
      </c>
    </row>
    <row r="1068" spans="17:24" ht="11.1" customHeight="1" x14ac:dyDescent="0.45">
      <c r="Q1068" s="439">
        <f t="shared" si="161"/>
        <v>120</v>
      </c>
      <c r="R1068" s="596">
        <f t="shared" si="162"/>
        <v>46010</v>
      </c>
      <c r="S1068" s="597">
        <f t="shared" si="163"/>
        <v>658.77</v>
      </c>
      <c r="T1068" s="526">
        <f t="shared" si="164"/>
        <v>32923.381889999997</v>
      </c>
      <c r="U1068" s="598">
        <v>658.77</v>
      </c>
      <c r="V1068" s="598">
        <v>32923.381889999997</v>
      </c>
      <c r="X1068" s="599">
        <v>6834.4961899999998</v>
      </c>
    </row>
    <row r="1069" spans="17:24" ht="11.1" customHeight="1" x14ac:dyDescent="0.45">
      <c r="Q1069" s="439">
        <f t="shared" si="161"/>
        <v>119</v>
      </c>
      <c r="R1069" s="596">
        <f t="shared" si="162"/>
        <v>46011</v>
      </c>
      <c r="S1069" s="597" t="e">
        <f t="shared" si="163"/>
        <v>#N/A</v>
      </c>
      <c r="T1069" s="526" t="e">
        <f t="shared" si="164"/>
        <v>#N/A</v>
      </c>
      <c r="U1069" s="598">
        <v>658.77</v>
      </c>
      <c r="V1069" s="598">
        <v>0</v>
      </c>
      <c r="X1069" s="599">
        <v>6834.4961899999998</v>
      </c>
    </row>
    <row r="1070" spans="17:24" ht="11.1" customHeight="1" x14ac:dyDescent="0.45">
      <c r="Q1070" s="439">
        <f t="shared" si="161"/>
        <v>118</v>
      </c>
      <c r="R1070" s="596">
        <f t="shared" si="162"/>
        <v>46012</v>
      </c>
      <c r="S1070" s="597" t="e">
        <f t="shared" si="163"/>
        <v>#N/A</v>
      </c>
      <c r="T1070" s="526" t="e">
        <f t="shared" si="164"/>
        <v>#N/A</v>
      </c>
      <c r="U1070" s="598">
        <v>658.77</v>
      </c>
      <c r="V1070" s="598">
        <v>0</v>
      </c>
      <c r="X1070" s="599">
        <v>6834.4961899999998</v>
      </c>
    </row>
    <row r="1071" spans="17:24" ht="11.1" customHeight="1" x14ac:dyDescent="0.45">
      <c r="Q1071" s="439">
        <f t="shared" si="161"/>
        <v>117</v>
      </c>
      <c r="R1071" s="596">
        <f t="shared" si="162"/>
        <v>46013</v>
      </c>
      <c r="S1071" s="597">
        <f t="shared" si="163"/>
        <v>661.5</v>
      </c>
      <c r="T1071" s="526">
        <f t="shared" si="164"/>
        <v>10358.68318</v>
      </c>
      <c r="U1071" s="598">
        <v>661.5</v>
      </c>
      <c r="V1071" s="598">
        <v>10358.68318</v>
      </c>
      <c r="X1071" s="599">
        <v>6878.4894800000002</v>
      </c>
    </row>
    <row r="1072" spans="17:24" ht="11.1" customHeight="1" x14ac:dyDescent="0.45">
      <c r="Q1072" s="439">
        <f t="shared" si="161"/>
        <v>116</v>
      </c>
      <c r="R1072" s="596">
        <f t="shared" si="162"/>
        <v>46014</v>
      </c>
      <c r="S1072" s="597">
        <f t="shared" si="163"/>
        <v>664.94</v>
      </c>
      <c r="T1072" s="526">
        <f t="shared" si="164"/>
        <v>5643.2440399999996</v>
      </c>
      <c r="U1072" s="598">
        <v>664.94</v>
      </c>
      <c r="V1072" s="598">
        <v>5643.2440399999996</v>
      </c>
      <c r="X1072" s="599">
        <v>6909.7920700000004</v>
      </c>
    </row>
    <row r="1073" spans="17:24" ht="11.1" customHeight="1" x14ac:dyDescent="0.45">
      <c r="Q1073" s="439">
        <f t="shared" si="161"/>
        <v>115</v>
      </c>
      <c r="R1073" s="596">
        <f t="shared" si="162"/>
        <v>46015</v>
      </c>
      <c r="S1073" s="597">
        <f t="shared" si="163"/>
        <v>667.55</v>
      </c>
      <c r="T1073" s="526">
        <f t="shared" si="164"/>
        <v>3756.6456400000002</v>
      </c>
      <c r="U1073" s="598">
        <v>667.55</v>
      </c>
      <c r="V1073" s="598">
        <v>3756.6456400000002</v>
      </c>
      <c r="X1073" s="599">
        <v>6932.04918</v>
      </c>
    </row>
    <row r="1074" spans="17:24" ht="11.1" customHeight="1" x14ac:dyDescent="0.45">
      <c r="Q1074" s="439">
        <f t="shared" si="161"/>
        <v>114</v>
      </c>
      <c r="R1074" s="596">
        <f t="shared" si="162"/>
        <v>46016</v>
      </c>
      <c r="S1074" s="597" t="e">
        <f t="shared" si="163"/>
        <v>#N/A</v>
      </c>
      <c r="T1074" s="526" t="e">
        <f t="shared" si="164"/>
        <v>#N/A</v>
      </c>
      <c r="U1074" s="598">
        <v>667.55</v>
      </c>
      <c r="V1074" s="598">
        <v>0</v>
      </c>
      <c r="X1074" s="599">
        <v>6932.04918</v>
      </c>
    </row>
    <row r="1075" spans="17:24" ht="11.1" customHeight="1" x14ac:dyDescent="0.45">
      <c r="Q1075" s="439">
        <f t="shared" si="161"/>
        <v>113</v>
      </c>
      <c r="R1075" s="596">
        <f t="shared" si="162"/>
        <v>46017</v>
      </c>
      <c r="S1075" s="597">
        <f t="shared" si="163"/>
        <v>663.29</v>
      </c>
      <c r="T1075" s="526">
        <f t="shared" si="164"/>
        <v>4731.78683</v>
      </c>
      <c r="U1075" s="598">
        <v>663.29</v>
      </c>
      <c r="V1075" s="598">
        <v>4731.78683</v>
      </c>
      <c r="X1075" s="599">
        <v>6929.9361200000003</v>
      </c>
    </row>
    <row r="1076" spans="17:24" ht="11.1" customHeight="1" x14ac:dyDescent="0.45">
      <c r="Q1076" s="439">
        <f t="shared" si="161"/>
        <v>112</v>
      </c>
      <c r="R1076" s="596">
        <f t="shared" si="162"/>
        <v>46018</v>
      </c>
      <c r="S1076" s="597" t="e">
        <f t="shared" si="163"/>
        <v>#N/A</v>
      </c>
      <c r="T1076" s="526" t="e">
        <f t="shared" si="164"/>
        <v>#N/A</v>
      </c>
      <c r="U1076" s="598">
        <v>663.29</v>
      </c>
      <c r="V1076" s="598">
        <v>0</v>
      </c>
      <c r="X1076" s="599">
        <v>6929.9361200000003</v>
      </c>
    </row>
    <row r="1077" spans="17:24" ht="11.1" customHeight="1" x14ac:dyDescent="0.45">
      <c r="Q1077" s="439">
        <f t="shared" si="161"/>
        <v>111</v>
      </c>
      <c r="R1077" s="596">
        <f t="shared" si="162"/>
        <v>46019</v>
      </c>
      <c r="S1077" s="597" t="e">
        <f t="shared" si="163"/>
        <v>#N/A</v>
      </c>
      <c r="T1077" s="526" t="e">
        <f t="shared" si="164"/>
        <v>#N/A</v>
      </c>
      <c r="U1077" s="598">
        <v>663.29</v>
      </c>
      <c r="V1077" s="598">
        <v>0</v>
      </c>
      <c r="X1077" s="599">
        <v>6929.9361200000003</v>
      </c>
    </row>
    <row r="1078" spans="17:24" ht="11.1" customHeight="1" x14ac:dyDescent="0.45">
      <c r="Q1078" s="439">
        <f t="shared" si="161"/>
        <v>110</v>
      </c>
      <c r="R1078" s="596">
        <f t="shared" si="162"/>
        <v>46020</v>
      </c>
      <c r="S1078" s="597">
        <f t="shared" si="163"/>
        <v>658.69</v>
      </c>
      <c r="T1078" s="526">
        <f t="shared" si="164"/>
        <v>5603.1313399999999</v>
      </c>
      <c r="U1078" s="598">
        <v>658.69</v>
      </c>
      <c r="V1078" s="598">
        <v>5603.1313399999999</v>
      </c>
      <c r="X1078" s="599">
        <v>6905.7440500000002</v>
      </c>
    </row>
    <row r="1079" spans="17:24" ht="11.1" customHeight="1" x14ac:dyDescent="0.45">
      <c r="Q1079" s="439">
        <f t="shared" si="161"/>
        <v>109</v>
      </c>
      <c r="R1079" s="596">
        <f t="shared" si="162"/>
        <v>46021</v>
      </c>
      <c r="S1079" s="597">
        <f t="shared" si="163"/>
        <v>665.95</v>
      </c>
      <c r="T1079" s="526">
        <f t="shared" si="164"/>
        <v>6118.4043000000001</v>
      </c>
      <c r="U1079" s="598">
        <v>665.95</v>
      </c>
      <c r="V1079" s="598">
        <v>6118.4043000000001</v>
      </c>
      <c r="X1079" s="599">
        <v>6896.2417400000004</v>
      </c>
    </row>
    <row r="1080" spans="17:24" ht="11.1" customHeight="1" x14ac:dyDescent="0.45">
      <c r="Q1080" s="439">
        <f t="shared" si="161"/>
        <v>108</v>
      </c>
      <c r="R1080" s="596">
        <f t="shared" si="162"/>
        <v>46022</v>
      </c>
      <c r="S1080" s="597">
        <f t="shared" si="163"/>
        <v>660.09</v>
      </c>
      <c r="T1080" s="526">
        <f t="shared" si="164"/>
        <v>5241.3515699999998</v>
      </c>
      <c r="U1080" s="598">
        <v>660.09</v>
      </c>
      <c r="V1080" s="598">
        <v>5241.3515699999998</v>
      </c>
      <c r="X1080" s="599">
        <v>6845.5047100000002</v>
      </c>
    </row>
    <row r="1081" spans="17:24" ht="11.1" customHeight="1" x14ac:dyDescent="0.45">
      <c r="Q1081" s="439">
        <f t="shared" si="161"/>
        <v>107</v>
      </c>
      <c r="R1081" s="596">
        <f t="shared" si="162"/>
        <v>46023</v>
      </c>
      <c r="S1081" s="597" t="e">
        <f t="shared" si="163"/>
        <v>#N/A</v>
      </c>
      <c r="T1081" s="526" t="e">
        <f t="shared" si="164"/>
        <v>#N/A</v>
      </c>
      <c r="U1081" s="598">
        <v>660.09</v>
      </c>
      <c r="V1081" s="598">
        <v>0</v>
      </c>
      <c r="X1081" s="599">
        <v>6845.5047100000002</v>
      </c>
    </row>
    <row r="1082" spans="17:24" ht="11.1" customHeight="1" x14ac:dyDescent="0.45">
      <c r="Q1082" s="439">
        <f t="shared" si="161"/>
        <v>106</v>
      </c>
      <c r="R1082" s="596">
        <f t="shared" si="162"/>
        <v>46024</v>
      </c>
      <c r="S1082" s="597">
        <f t="shared" si="163"/>
        <v>650.41</v>
      </c>
      <c r="T1082" s="526">
        <f t="shared" si="164"/>
        <v>8927.8639199999998</v>
      </c>
      <c r="U1082" s="598">
        <v>650.41</v>
      </c>
      <c r="V1082" s="598">
        <v>8927.8639199999998</v>
      </c>
      <c r="X1082" s="599">
        <v>6858.4723100000001</v>
      </c>
    </row>
    <row r="1083" spans="17:24" ht="11.1" customHeight="1" x14ac:dyDescent="0.45">
      <c r="Q1083" s="439">
        <f t="shared" si="161"/>
        <v>105</v>
      </c>
      <c r="R1083" s="596">
        <f t="shared" si="162"/>
        <v>46025</v>
      </c>
      <c r="S1083" s="597" t="e">
        <f t="shared" si="163"/>
        <v>#N/A</v>
      </c>
      <c r="T1083" s="526" t="e">
        <f t="shared" si="164"/>
        <v>#N/A</v>
      </c>
      <c r="U1083" s="598">
        <v>650.41</v>
      </c>
      <c r="V1083" s="598">
        <v>0</v>
      </c>
      <c r="X1083" s="599">
        <v>6858.4723100000001</v>
      </c>
    </row>
    <row r="1084" spans="17:24" ht="11.1" customHeight="1" x14ac:dyDescent="0.45">
      <c r="Q1084" s="439">
        <f t="shared" si="161"/>
        <v>104</v>
      </c>
      <c r="R1084" s="596">
        <f t="shared" si="162"/>
        <v>46026</v>
      </c>
      <c r="S1084" s="597" t="e">
        <f t="shared" si="163"/>
        <v>#N/A</v>
      </c>
      <c r="T1084" s="526" t="e">
        <f t="shared" si="164"/>
        <v>#N/A</v>
      </c>
      <c r="U1084" s="598">
        <v>650.41</v>
      </c>
      <c r="V1084" s="598">
        <v>0</v>
      </c>
      <c r="X1084" s="599">
        <v>6858.4723100000001</v>
      </c>
    </row>
    <row r="1085" spans="17:24" ht="11.1" customHeight="1" x14ac:dyDescent="0.45">
      <c r="Q1085" s="439">
        <f t="shared" si="161"/>
        <v>103</v>
      </c>
      <c r="R1085" s="596">
        <f t="shared" si="162"/>
        <v>46027</v>
      </c>
      <c r="S1085" s="597">
        <f t="shared" si="163"/>
        <v>658.79</v>
      </c>
      <c r="T1085" s="526">
        <f t="shared" si="164"/>
        <v>8046.2930699999997</v>
      </c>
      <c r="U1085" s="598">
        <v>658.79</v>
      </c>
      <c r="V1085" s="598">
        <v>8046.2930699999997</v>
      </c>
      <c r="X1085" s="599">
        <v>6902.0508499999996</v>
      </c>
    </row>
    <row r="1086" spans="17:24" ht="11.1" customHeight="1" x14ac:dyDescent="0.45">
      <c r="Q1086" s="439">
        <f t="shared" si="161"/>
        <v>102</v>
      </c>
      <c r="R1086" s="596">
        <f t="shared" si="162"/>
        <v>46028</v>
      </c>
      <c r="S1086" s="597">
        <f t="shared" si="163"/>
        <v>660.62</v>
      </c>
      <c r="T1086" s="526">
        <f t="shared" si="164"/>
        <v>7315.9826800000001</v>
      </c>
      <c r="U1086" s="598">
        <v>660.62</v>
      </c>
      <c r="V1086" s="598">
        <v>7315.9826800000001</v>
      </c>
      <c r="X1086" s="599">
        <v>6944.8192200000003</v>
      </c>
    </row>
    <row r="1087" spans="17:24" ht="11.1" customHeight="1" x14ac:dyDescent="0.45">
      <c r="Q1087" s="439">
        <f t="shared" si="161"/>
        <v>101</v>
      </c>
      <c r="R1087" s="596">
        <f t="shared" si="162"/>
        <v>46029</v>
      </c>
      <c r="S1087" s="597">
        <f t="shared" si="163"/>
        <v>648.69000000000005</v>
      </c>
      <c r="T1087" s="526">
        <f t="shared" si="164"/>
        <v>8333.2488300000005</v>
      </c>
      <c r="U1087" s="598">
        <v>648.69000000000005</v>
      </c>
      <c r="V1087" s="598">
        <v>8333.2488300000005</v>
      </c>
      <c r="X1087" s="599">
        <v>6920.9292599999999</v>
      </c>
    </row>
    <row r="1088" spans="17:24" ht="11.1" customHeight="1" x14ac:dyDescent="0.45">
      <c r="Q1088" s="439">
        <f t="shared" si="161"/>
        <v>100</v>
      </c>
      <c r="R1088" s="596">
        <f t="shared" si="162"/>
        <v>46030</v>
      </c>
      <c r="S1088" s="597">
        <f t="shared" si="163"/>
        <v>646.05999999999995</v>
      </c>
      <c r="T1088" s="526">
        <f t="shared" si="164"/>
        <v>7702.1386700000003</v>
      </c>
      <c r="U1088" s="598">
        <v>646.05999999999995</v>
      </c>
      <c r="V1088" s="598">
        <v>7702.1386700000003</v>
      </c>
      <c r="X1088" s="599">
        <v>6921.4570899999999</v>
      </c>
    </row>
    <row r="1089" spans="17:24" ht="11.1" customHeight="1" x14ac:dyDescent="0.45">
      <c r="Q1089" s="439">
        <f t="shared" si="161"/>
        <v>99</v>
      </c>
      <c r="R1089" s="596">
        <f t="shared" si="162"/>
        <v>46031</v>
      </c>
      <c r="S1089" s="597">
        <f t="shared" si="163"/>
        <v>653.05999999999995</v>
      </c>
      <c r="T1089" s="526">
        <f t="shared" si="164"/>
        <v>7598.3165300000001</v>
      </c>
      <c r="U1089" s="598">
        <v>653.05999999999995</v>
      </c>
      <c r="V1089" s="598">
        <v>7598.3165300000001</v>
      </c>
      <c r="X1089" s="599">
        <v>6966.2839199999999</v>
      </c>
    </row>
    <row r="1090" spans="17:24" ht="11.1" customHeight="1" x14ac:dyDescent="0.45">
      <c r="Q1090" s="439">
        <f t="shared" si="161"/>
        <v>98</v>
      </c>
      <c r="R1090" s="596">
        <f t="shared" si="162"/>
        <v>46032</v>
      </c>
      <c r="S1090" s="597" t="e">
        <f t="shared" si="163"/>
        <v>#N/A</v>
      </c>
      <c r="T1090" s="526" t="e">
        <f t="shared" si="164"/>
        <v>#N/A</v>
      </c>
      <c r="U1090" s="598">
        <v>653.05999999999995</v>
      </c>
      <c r="V1090" s="598">
        <v>0</v>
      </c>
      <c r="X1090" s="599">
        <v>6966.2839199999999</v>
      </c>
    </row>
    <row r="1091" spans="17:24" ht="11.1" customHeight="1" x14ac:dyDescent="0.45">
      <c r="Q1091" s="439">
        <f t="shared" si="161"/>
        <v>97</v>
      </c>
      <c r="R1091" s="596">
        <f t="shared" si="162"/>
        <v>46033</v>
      </c>
      <c r="S1091" s="597" t="e">
        <f t="shared" si="163"/>
        <v>#N/A</v>
      </c>
      <c r="T1091" s="526" t="e">
        <f t="shared" si="164"/>
        <v>#N/A</v>
      </c>
      <c r="U1091" s="598">
        <v>653.05999999999995</v>
      </c>
      <c r="V1091" s="598">
        <v>0</v>
      </c>
      <c r="X1091" s="599">
        <v>6966.2839199999999</v>
      </c>
    </row>
    <row r="1092" spans="17:24" ht="11.1" customHeight="1" x14ac:dyDescent="0.45">
      <c r="Q1092" s="439">
        <f t="shared" si="161"/>
        <v>96</v>
      </c>
      <c r="R1092" s="596">
        <f t="shared" si="162"/>
        <v>46034</v>
      </c>
      <c r="S1092" s="597">
        <f t="shared" si="163"/>
        <v>641.97</v>
      </c>
      <c r="T1092" s="526">
        <f t="shared" si="164"/>
        <v>9499.3565600000002</v>
      </c>
      <c r="U1092" s="598">
        <v>641.97</v>
      </c>
      <c r="V1092" s="598">
        <v>9499.3565600000002</v>
      </c>
      <c r="X1092" s="599">
        <v>6977.2650299999996</v>
      </c>
    </row>
    <row r="1093" spans="17:24" ht="11.1" customHeight="1" x14ac:dyDescent="0.45">
      <c r="Q1093" s="439">
        <f t="shared" si="161"/>
        <v>95</v>
      </c>
      <c r="R1093" s="596">
        <f t="shared" si="162"/>
        <v>46035</v>
      </c>
      <c r="S1093" s="597">
        <f t="shared" si="163"/>
        <v>631.09</v>
      </c>
      <c r="T1093" s="526">
        <f t="shared" si="164"/>
        <v>11378.80198</v>
      </c>
      <c r="U1093" s="598">
        <v>631.09</v>
      </c>
      <c r="V1093" s="598">
        <v>11378.80198</v>
      </c>
      <c r="X1093" s="599">
        <v>6963.7350999999999</v>
      </c>
    </row>
    <row r="1094" spans="17:24" ht="11.1" customHeight="1" x14ac:dyDescent="0.45">
      <c r="Q1094" s="439">
        <f t="shared" si="161"/>
        <v>94</v>
      </c>
      <c r="R1094" s="596">
        <f t="shared" si="162"/>
        <v>46036</v>
      </c>
      <c r="S1094" s="597">
        <f t="shared" si="163"/>
        <v>615.52</v>
      </c>
      <c r="T1094" s="526">
        <f t="shared" si="164"/>
        <v>9557.7176199999994</v>
      </c>
      <c r="U1094" s="598">
        <v>615.52</v>
      </c>
      <c r="V1094" s="598">
        <v>9557.7176199999994</v>
      </c>
      <c r="X1094" s="599">
        <v>6926.5961500000003</v>
      </c>
    </row>
    <row r="1095" spans="17:24" ht="11.1" customHeight="1" x14ac:dyDescent="0.45">
      <c r="Q1095" s="439">
        <f t="shared" si="161"/>
        <v>93</v>
      </c>
      <c r="R1095" s="596">
        <f t="shared" si="162"/>
        <v>46037</v>
      </c>
      <c r="S1095" s="597">
        <f t="shared" si="163"/>
        <v>620.79999999999995</v>
      </c>
      <c r="T1095" s="526">
        <f t="shared" si="164"/>
        <v>8117.6168100000004</v>
      </c>
      <c r="U1095" s="598">
        <v>620.79999999999995</v>
      </c>
      <c r="V1095" s="598">
        <v>8117.6168100000004</v>
      </c>
      <c r="X1095" s="599">
        <v>6944.4718800000001</v>
      </c>
    </row>
    <row r="1096" spans="17:24" ht="11.1" customHeight="1" x14ac:dyDescent="0.45">
      <c r="Q1096" s="439">
        <f t="shared" si="161"/>
        <v>92</v>
      </c>
      <c r="R1096" s="596">
        <f t="shared" si="162"/>
        <v>46038</v>
      </c>
      <c r="S1096" s="597">
        <f t="shared" si="163"/>
        <v>620.25</v>
      </c>
      <c r="T1096" s="526">
        <f t="shared" si="164"/>
        <v>10552.01305</v>
      </c>
      <c r="U1096" s="598">
        <v>620.25</v>
      </c>
      <c r="V1096" s="598">
        <v>10552.01305</v>
      </c>
      <c r="X1096" s="599">
        <v>6940.0095099999999</v>
      </c>
    </row>
    <row r="1097" spans="17:24" ht="11.1" customHeight="1" x14ac:dyDescent="0.45">
      <c r="Q1097" s="439">
        <f t="shared" si="161"/>
        <v>91</v>
      </c>
      <c r="R1097" s="596">
        <f t="shared" si="162"/>
        <v>46039</v>
      </c>
      <c r="S1097" s="597" t="e">
        <f t="shared" si="163"/>
        <v>#N/A</v>
      </c>
      <c r="T1097" s="526" t="e">
        <f t="shared" si="164"/>
        <v>#N/A</v>
      </c>
      <c r="U1097" s="598">
        <v>620.25</v>
      </c>
      <c r="V1097" s="598">
        <v>0</v>
      </c>
      <c r="X1097" s="599">
        <v>6940.0095099999999</v>
      </c>
    </row>
    <row r="1098" spans="17:24" ht="11.1" customHeight="1" x14ac:dyDescent="0.45">
      <c r="Q1098" s="439">
        <f t="shared" si="161"/>
        <v>90</v>
      </c>
      <c r="R1098" s="596">
        <f t="shared" si="162"/>
        <v>46040</v>
      </c>
      <c r="S1098" s="597" t="e">
        <f t="shared" si="163"/>
        <v>#N/A</v>
      </c>
      <c r="T1098" s="526" t="e">
        <f t="shared" si="164"/>
        <v>#N/A</v>
      </c>
      <c r="U1098" s="598">
        <v>620.25</v>
      </c>
      <c r="V1098" s="598">
        <v>0</v>
      </c>
      <c r="X1098" s="599">
        <v>6940.0095099999999</v>
      </c>
    </row>
    <row r="1099" spans="17:24" ht="11.1" customHeight="1" x14ac:dyDescent="0.45">
      <c r="Q1099" s="439">
        <f t="shared" si="161"/>
        <v>89</v>
      </c>
      <c r="R1099" s="596">
        <f t="shared" si="162"/>
        <v>46041</v>
      </c>
      <c r="S1099" s="597" t="e">
        <f t="shared" si="163"/>
        <v>#N/A</v>
      </c>
      <c r="T1099" s="526" t="e">
        <f t="shared" si="164"/>
        <v>#N/A</v>
      </c>
      <c r="U1099" s="598">
        <v>620.25</v>
      </c>
      <c r="V1099" s="598">
        <v>0</v>
      </c>
      <c r="X1099" s="599">
        <v>6940.0095099999999</v>
      </c>
    </row>
    <row r="1100" spans="17:24" ht="11.1" customHeight="1" x14ac:dyDescent="0.45">
      <c r="Q1100" s="439">
        <f t="shared" si="161"/>
        <v>88</v>
      </c>
      <c r="R1100" s="596">
        <f t="shared" si="162"/>
        <v>46042</v>
      </c>
      <c r="S1100" s="597">
        <f t="shared" si="163"/>
        <v>604.12</v>
      </c>
      <c r="T1100" s="526">
        <f t="shared" si="164"/>
        <v>9164.2376100000001</v>
      </c>
      <c r="U1100" s="598">
        <v>604.12</v>
      </c>
      <c r="V1100" s="598">
        <v>9164.2376100000001</v>
      </c>
      <c r="X1100" s="599">
        <v>6796.8608100000001</v>
      </c>
    </row>
    <row r="1101" spans="17:24" ht="11.1" customHeight="1" x14ac:dyDescent="0.45">
      <c r="Q1101" s="439">
        <f t="shared" si="161"/>
        <v>87</v>
      </c>
      <c r="R1101" s="596">
        <f t="shared" si="162"/>
        <v>46043</v>
      </c>
      <c r="S1101" s="597">
        <f t="shared" si="163"/>
        <v>612.96</v>
      </c>
      <c r="T1101" s="526">
        <f t="shared" si="164"/>
        <v>8884.6437299999998</v>
      </c>
      <c r="U1101" s="598">
        <v>612.96</v>
      </c>
      <c r="V1101" s="598">
        <v>8884.6437299999998</v>
      </c>
      <c r="X1101" s="599">
        <v>6875.6152700000002</v>
      </c>
    </row>
    <row r="1102" spans="17:24" ht="11.1" customHeight="1" x14ac:dyDescent="0.45">
      <c r="Q1102" s="439">
        <f t="shared" si="161"/>
        <v>86</v>
      </c>
      <c r="R1102" s="596">
        <f t="shared" si="162"/>
        <v>46044</v>
      </c>
      <c r="S1102" s="597">
        <f t="shared" si="163"/>
        <v>647.63</v>
      </c>
      <c r="T1102" s="526">
        <f t="shared" si="164"/>
        <v>13855.82948</v>
      </c>
      <c r="U1102" s="598">
        <v>647.63</v>
      </c>
      <c r="V1102" s="598">
        <v>13855.82948</v>
      </c>
      <c r="X1102" s="599">
        <v>6913.3520399999998</v>
      </c>
    </row>
    <row r="1103" spans="17:24" ht="11.1" customHeight="1" x14ac:dyDescent="0.45">
      <c r="Q1103" s="439">
        <f t="shared" si="161"/>
        <v>85</v>
      </c>
      <c r="R1103" s="596">
        <f t="shared" si="162"/>
        <v>46045</v>
      </c>
      <c r="S1103" s="597">
        <f t="shared" si="163"/>
        <v>658.76</v>
      </c>
      <c r="T1103" s="526">
        <f t="shared" si="164"/>
        <v>15018.227999999999</v>
      </c>
      <c r="U1103" s="598">
        <v>658.76</v>
      </c>
      <c r="V1103" s="598">
        <v>15018.227999999999</v>
      </c>
      <c r="X1103" s="599">
        <v>6915.6106499999996</v>
      </c>
    </row>
    <row r="1104" spans="17:24" ht="11.1" customHeight="1" x14ac:dyDescent="0.45">
      <c r="Q1104" s="439">
        <f t="shared" si="161"/>
        <v>84</v>
      </c>
      <c r="R1104" s="596">
        <f t="shared" si="162"/>
        <v>46046</v>
      </c>
      <c r="S1104" s="597" t="e">
        <f t="shared" si="163"/>
        <v>#N/A</v>
      </c>
      <c r="T1104" s="526" t="e">
        <f t="shared" si="164"/>
        <v>#N/A</v>
      </c>
      <c r="U1104" s="598">
        <v>658.76</v>
      </c>
      <c r="V1104" s="598">
        <v>0</v>
      </c>
      <c r="X1104" s="599">
        <v>6915.6106499999996</v>
      </c>
    </row>
    <row r="1105" spans="17:24" ht="11.1" customHeight="1" x14ac:dyDescent="0.45">
      <c r="Q1105" s="439">
        <f t="shared" si="161"/>
        <v>83</v>
      </c>
      <c r="R1105" s="596">
        <f t="shared" si="162"/>
        <v>46047</v>
      </c>
      <c r="S1105" s="597" t="e">
        <f t="shared" si="163"/>
        <v>#N/A</v>
      </c>
      <c r="T1105" s="526" t="e">
        <f t="shared" si="164"/>
        <v>#N/A</v>
      </c>
      <c r="U1105" s="598">
        <v>658.76</v>
      </c>
      <c r="V1105" s="598">
        <v>0</v>
      </c>
      <c r="X1105" s="599">
        <v>6915.6106499999996</v>
      </c>
    </row>
    <row r="1106" spans="17:24" ht="11.1" customHeight="1" x14ac:dyDescent="0.45">
      <c r="Q1106" s="439">
        <f t="shared" si="161"/>
        <v>82</v>
      </c>
      <c r="R1106" s="596">
        <f t="shared" si="162"/>
        <v>46048</v>
      </c>
      <c r="S1106" s="597">
        <f t="shared" si="163"/>
        <v>672.36</v>
      </c>
      <c r="T1106" s="526">
        <f t="shared" si="164"/>
        <v>10977.87587</v>
      </c>
      <c r="U1106" s="598">
        <v>672.36</v>
      </c>
      <c r="V1106" s="598">
        <v>10977.87587</v>
      </c>
      <c r="X1106" s="599">
        <v>6950.2322000000004</v>
      </c>
    </row>
    <row r="1107" spans="17:24" ht="11.1" customHeight="1" x14ac:dyDescent="0.45">
      <c r="Q1107" s="439">
        <f t="shared" si="161"/>
        <v>81</v>
      </c>
      <c r="R1107" s="596">
        <f t="shared" si="162"/>
        <v>46049</v>
      </c>
      <c r="S1107" s="597">
        <f t="shared" si="163"/>
        <v>672.97</v>
      </c>
      <c r="T1107" s="526">
        <f t="shared" si="164"/>
        <v>8948.7176299999992</v>
      </c>
      <c r="U1107" s="598">
        <v>672.97</v>
      </c>
      <c r="V1107" s="598">
        <v>8948.7176299999992</v>
      </c>
      <c r="X1107" s="599">
        <v>6978.5969299999997</v>
      </c>
    </row>
    <row r="1108" spans="17:24" ht="11.1" customHeight="1" x14ac:dyDescent="0.45">
      <c r="Q1108" s="439">
        <f t="shared" si="161"/>
        <v>80</v>
      </c>
      <c r="R1108" s="596">
        <f t="shared" si="162"/>
        <v>46050</v>
      </c>
      <c r="S1108" s="597">
        <f t="shared" si="163"/>
        <v>668.73</v>
      </c>
      <c r="T1108" s="526">
        <f t="shared" si="164"/>
        <v>17192.78081</v>
      </c>
      <c r="U1108" s="598">
        <v>668.73</v>
      </c>
      <c r="V1108" s="598">
        <v>17192.78081</v>
      </c>
      <c r="X1108" s="599">
        <v>6978.0293899999997</v>
      </c>
    </row>
    <row r="1109" spans="17:24" ht="11.1" customHeight="1" x14ac:dyDescent="0.45">
      <c r="Q1109" s="439">
        <f t="shared" si="161"/>
        <v>79</v>
      </c>
      <c r="R1109" s="596">
        <f t="shared" si="162"/>
        <v>46051</v>
      </c>
      <c r="S1109" s="597">
        <f t="shared" si="163"/>
        <v>738.31</v>
      </c>
      <c r="T1109" s="526">
        <f t="shared" si="164"/>
        <v>44189.996809999997</v>
      </c>
      <c r="U1109" s="598">
        <v>738.31</v>
      </c>
      <c r="V1109" s="598">
        <v>44189.996809999997</v>
      </c>
      <c r="X1109" s="599">
        <v>6969.0068899999997</v>
      </c>
    </row>
    <row r="1110" spans="17:24" ht="11.1" customHeight="1" x14ac:dyDescent="0.45">
      <c r="Q1110" s="439">
        <f t="shared" si="161"/>
        <v>78</v>
      </c>
      <c r="R1110" s="596">
        <f t="shared" si="162"/>
        <v>46052</v>
      </c>
      <c r="S1110" s="597">
        <f t="shared" si="163"/>
        <v>716.5</v>
      </c>
      <c r="T1110" s="526">
        <f t="shared" si="164"/>
        <v>17012.986560000001</v>
      </c>
      <c r="U1110" s="598">
        <v>716.5</v>
      </c>
      <c r="V1110" s="598">
        <v>17012.986560000001</v>
      </c>
      <c r="X1110" s="599">
        <v>6939.02952</v>
      </c>
    </row>
    <row r="1111" spans="17:24" ht="11.1" customHeight="1" x14ac:dyDescent="0.45">
      <c r="Q1111" s="439">
        <f t="shared" si="161"/>
        <v>77</v>
      </c>
      <c r="R1111" s="596">
        <f t="shared" si="162"/>
        <v>46053</v>
      </c>
      <c r="S1111" s="597" t="e">
        <f t="shared" si="163"/>
        <v>#N/A</v>
      </c>
      <c r="T1111" s="526" t="e">
        <f t="shared" si="164"/>
        <v>#N/A</v>
      </c>
      <c r="U1111" s="598">
        <v>716.5</v>
      </c>
      <c r="V1111" s="598">
        <v>0</v>
      </c>
      <c r="X1111" s="599">
        <v>6939.02952</v>
      </c>
    </row>
    <row r="1112" spans="17:24" ht="11.1" customHeight="1" x14ac:dyDescent="0.45">
      <c r="Q1112" s="439">
        <f t="shared" si="161"/>
        <v>76</v>
      </c>
      <c r="R1112" s="596">
        <f t="shared" si="162"/>
        <v>46054</v>
      </c>
      <c r="S1112" s="597" t="e">
        <f t="shared" si="163"/>
        <v>#N/A</v>
      </c>
      <c r="T1112" s="526" t="e">
        <f t="shared" si="164"/>
        <v>#N/A</v>
      </c>
      <c r="U1112" s="598">
        <v>716.5</v>
      </c>
      <c r="V1112" s="598">
        <v>0</v>
      </c>
      <c r="X1112" s="599">
        <v>6939.02952</v>
      </c>
    </row>
    <row r="1113" spans="17:24" ht="11.1" customHeight="1" x14ac:dyDescent="0.45">
      <c r="Q1113" s="439">
        <f t="shared" si="161"/>
        <v>75</v>
      </c>
      <c r="R1113" s="596">
        <f t="shared" si="162"/>
        <v>46055</v>
      </c>
      <c r="S1113" s="597">
        <f t="shared" si="163"/>
        <v>706.41</v>
      </c>
      <c r="T1113" s="526">
        <f t="shared" si="164"/>
        <v>10147.73789</v>
      </c>
      <c r="U1113" s="598">
        <v>706.41</v>
      </c>
      <c r="V1113" s="598">
        <v>10147.73789</v>
      </c>
      <c r="X1113" s="599">
        <v>6976.4441800000004</v>
      </c>
    </row>
    <row r="1114" spans="17:24" ht="11.1" customHeight="1" x14ac:dyDescent="0.45">
      <c r="Q1114" s="439">
        <f t="shared" si="161"/>
        <v>74</v>
      </c>
      <c r="R1114" s="596">
        <f t="shared" si="162"/>
        <v>46056</v>
      </c>
      <c r="S1114" s="597">
        <f t="shared" si="163"/>
        <v>691.7</v>
      </c>
      <c r="T1114" s="526">
        <f t="shared" si="164"/>
        <v>9518.2505999999994</v>
      </c>
      <c r="U1114" s="598">
        <v>691.7</v>
      </c>
      <c r="V1114" s="598">
        <v>9518.2505999999994</v>
      </c>
      <c r="X1114" s="599">
        <v>6917.8117000000002</v>
      </c>
    </row>
    <row r="1115" spans="17:24" ht="11.1" customHeight="1" x14ac:dyDescent="0.45">
      <c r="Q1115" s="439">
        <f t="shared" si="161"/>
        <v>73</v>
      </c>
      <c r="R1115" s="596">
        <f t="shared" si="162"/>
        <v>46057</v>
      </c>
      <c r="S1115" s="597">
        <f t="shared" si="163"/>
        <v>668.99</v>
      </c>
      <c r="T1115" s="526">
        <f t="shared" si="164"/>
        <v>11294.398279999999</v>
      </c>
      <c r="U1115" s="598">
        <v>668.99</v>
      </c>
      <c r="V1115" s="598">
        <v>11294.398279999999</v>
      </c>
      <c r="X1115" s="599">
        <v>6882.7211100000004</v>
      </c>
    </row>
    <row r="1116" spans="17:24" ht="11.1" customHeight="1" x14ac:dyDescent="0.45">
      <c r="Q1116" s="439">
        <f t="shared" si="161"/>
        <v>72</v>
      </c>
      <c r="R1116" s="596">
        <f t="shared" si="162"/>
        <v>46058</v>
      </c>
      <c r="S1116" s="597">
        <f t="shared" si="163"/>
        <v>670.21</v>
      </c>
      <c r="T1116" s="526">
        <f t="shared" si="164"/>
        <v>11481.897650000001</v>
      </c>
      <c r="U1116" s="598">
        <v>670.21</v>
      </c>
      <c r="V1116" s="598">
        <v>11481.897650000001</v>
      </c>
      <c r="X1116" s="599">
        <v>6798.39948</v>
      </c>
    </row>
    <row r="1117" spans="17:24" ht="11.1" customHeight="1" x14ac:dyDescent="0.45">
      <c r="Q1117" s="439">
        <f t="shared" ref="Q1117:Q1180" si="165">Q1118+1</f>
        <v>71</v>
      </c>
      <c r="R1117" s="596">
        <f t="shared" ref="R1117:R1180" si="166">R1118-1</f>
        <v>46059</v>
      </c>
      <c r="S1117" s="597">
        <f t="shared" ref="S1117:S1180" si="167">IF(U1117=U1116,#N/A,U1117)</f>
        <v>661.46</v>
      </c>
      <c r="T1117" s="526">
        <f t="shared" ref="T1117:T1180" si="168">IF(S1117="#NV",#N/A,V1117)</f>
        <v>12011.619489999999</v>
      </c>
      <c r="U1117" s="598">
        <v>661.46</v>
      </c>
      <c r="V1117" s="598">
        <v>12011.619489999999</v>
      </c>
      <c r="X1117" s="599">
        <v>6932.2976699999999</v>
      </c>
    </row>
    <row r="1118" spans="17:24" ht="11.1" customHeight="1" x14ac:dyDescent="0.45">
      <c r="Q1118" s="439">
        <f t="shared" si="165"/>
        <v>70</v>
      </c>
      <c r="R1118" s="596">
        <f t="shared" si="166"/>
        <v>46060</v>
      </c>
      <c r="S1118" s="597" t="e">
        <f t="shared" si="167"/>
        <v>#N/A</v>
      </c>
      <c r="T1118" s="526" t="e">
        <f t="shared" si="168"/>
        <v>#N/A</v>
      </c>
      <c r="U1118" s="598">
        <v>661.46</v>
      </c>
      <c r="V1118" s="598">
        <v>0</v>
      </c>
      <c r="X1118" s="599">
        <v>6932.2976699999999</v>
      </c>
    </row>
    <row r="1119" spans="17:24" ht="11.1" customHeight="1" x14ac:dyDescent="0.45">
      <c r="Q1119" s="439">
        <f t="shared" si="165"/>
        <v>69</v>
      </c>
      <c r="R1119" s="596">
        <f t="shared" si="166"/>
        <v>46061</v>
      </c>
      <c r="S1119" s="597" t="e">
        <f t="shared" si="167"/>
        <v>#N/A</v>
      </c>
      <c r="T1119" s="526" t="e">
        <f t="shared" si="168"/>
        <v>#N/A</v>
      </c>
      <c r="U1119" s="598">
        <v>661.46</v>
      </c>
      <c r="V1119" s="598">
        <v>0</v>
      </c>
      <c r="X1119" s="599">
        <v>6932.2976699999999</v>
      </c>
    </row>
    <row r="1120" spans="17:24" ht="11.1" customHeight="1" x14ac:dyDescent="0.45">
      <c r="Q1120" s="439">
        <f t="shared" si="165"/>
        <v>68</v>
      </c>
      <c r="R1120" s="596">
        <f t="shared" si="166"/>
        <v>46062</v>
      </c>
      <c r="S1120" s="597">
        <f t="shared" si="167"/>
        <v>677.22</v>
      </c>
      <c r="T1120" s="526">
        <f t="shared" si="168"/>
        <v>10048.27139</v>
      </c>
      <c r="U1120" s="598">
        <v>677.22</v>
      </c>
      <c r="V1120" s="598">
        <v>10048.27139</v>
      </c>
      <c r="X1120" s="599">
        <v>6964.8198499999999</v>
      </c>
    </row>
    <row r="1121" spans="17:24" ht="11.1" customHeight="1" x14ac:dyDescent="0.45">
      <c r="Q1121" s="439">
        <f t="shared" si="165"/>
        <v>67</v>
      </c>
      <c r="R1121" s="596">
        <f t="shared" si="166"/>
        <v>46063</v>
      </c>
      <c r="S1121" s="597">
        <f t="shared" si="167"/>
        <v>670.72</v>
      </c>
      <c r="T1121" s="526">
        <f t="shared" si="168"/>
        <v>7012.9249099999997</v>
      </c>
      <c r="U1121" s="598">
        <v>670.72</v>
      </c>
      <c r="V1121" s="598">
        <v>7012.9249099999997</v>
      </c>
      <c r="X1121" s="599">
        <v>6941.8125099999997</v>
      </c>
    </row>
    <row r="1122" spans="17:24" ht="11.1" customHeight="1" x14ac:dyDescent="0.45">
      <c r="Q1122" s="439">
        <f t="shared" si="165"/>
        <v>66</v>
      </c>
      <c r="R1122" s="596">
        <f t="shared" si="166"/>
        <v>46064</v>
      </c>
      <c r="S1122" s="597">
        <f t="shared" si="167"/>
        <v>668.69</v>
      </c>
      <c r="T1122" s="526">
        <f t="shared" si="168"/>
        <v>9578.1938599999994</v>
      </c>
      <c r="U1122" s="598">
        <v>668.69</v>
      </c>
      <c r="V1122" s="598">
        <v>9578.1938599999994</v>
      </c>
      <c r="X1122" s="599">
        <v>6941.4710100000002</v>
      </c>
    </row>
    <row r="1123" spans="17:24" ht="11.1" customHeight="1" x14ac:dyDescent="0.45">
      <c r="Q1123" s="439">
        <f t="shared" si="165"/>
        <v>65</v>
      </c>
      <c r="R1123" s="596">
        <f t="shared" si="166"/>
        <v>46065</v>
      </c>
      <c r="S1123" s="597">
        <f t="shared" si="167"/>
        <v>649.80999999999995</v>
      </c>
      <c r="T1123" s="526">
        <f t="shared" si="168"/>
        <v>9721.2277799999993</v>
      </c>
      <c r="U1123" s="598">
        <v>649.80999999999995</v>
      </c>
      <c r="V1123" s="598">
        <v>9721.2277799999993</v>
      </c>
      <c r="X1123" s="599">
        <v>6832.7614700000004</v>
      </c>
    </row>
    <row r="1124" spans="17:24" ht="11.1" customHeight="1" x14ac:dyDescent="0.45">
      <c r="Q1124" s="439">
        <f t="shared" si="165"/>
        <v>64</v>
      </c>
      <c r="R1124" s="596">
        <f t="shared" si="166"/>
        <v>46066</v>
      </c>
      <c r="S1124" s="597">
        <f t="shared" si="167"/>
        <v>639.77</v>
      </c>
      <c r="T1124" s="526">
        <f t="shared" si="168"/>
        <v>7892.4349599999996</v>
      </c>
      <c r="U1124" s="598">
        <v>639.77</v>
      </c>
      <c r="V1124" s="598">
        <v>7892.4349599999996</v>
      </c>
      <c r="X1124" s="599">
        <v>6836.17209</v>
      </c>
    </row>
    <row r="1125" spans="17:24" ht="11.1" customHeight="1" x14ac:dyDescent="0.45">
      <c r="Q1125" s="439">
        <f t="shared" si="165"/>
        <v>63</v>
      </c>
      <c r="R1125" s="596">
        <f t="shared" si="166"/>
        <v>46067</v>
      </c>
      <c r="S1125" s="597" t="e">
        <f t="shared" si="167"/>
        <v>#N/A</v>
      </c>
      <c r="T1125" s="526" t="e">
        <f t="shared" si="168"/>
        <v>#N/A</v>
      </c>
      <c r="U1125" s="598">
        <v>639.77</v>
      </c>
      <c r="V1125" s="598">
        <v>0</v>
      </c>
      <c r="X1125" s="599">
        <v>6836.17209</v>
      </c>
    </row>
    <row r="1126" spans="17:24" ht="11.1" customHeight="1" x14ac:dyDescent="0.45">
      <c r="Q1126" s="439">
        <f t="shared" si="165"/>
        <v>62</v>
      </c>
      <c r="R1126" s="596">
        <f t="shared" si="166"/>
        <v>46068</v>
      </c>
      <c r="S1126" s="597" t="e">
        <f t="shared" si="167"/>
        <v>#N/A</v>
      </c>
      <c r="T1126" s="526" t="e">
        <f t="shared" si="168"/>
        <v>#N/A</v>
      </c>
      <c r="U1126" s="598">
        <v>639.77</v>
      </c>
      <c r="V1126" s="598">
        <v>0</v>
      </c>
      <c r="X1126" s="599">
        <v>6836.17209</v>
      </c>
    </row>
    <row r="1127" spans="17:24" ht="11.1" customHeight="1" x14ac:dyDescent="0.45">
      <c r="Q1127" s="439">
        <f t="shared" si="165"/>
        <v>61</v>
      </c>
      <c r="R1127" s="596">
        <f t="shared" si="166"/>
        <v>46069</v>
      </c>
      <c r="S1127" s="597" t="e">
        <f t="shared" si="167"/>
        <v>#N/A</v>
      </c>
      <c r="T1127" s="526" t="e">
        <f t="shared" si="168"/>
        <v>#N/A</v>
      </c>
      <c r="U1127" s="598">
        <v>639.77</v>
      </c>
      <c r="V1127" s="598">
        <v>0</v>
      </c>
      <c r="X1127" s="599">
        <v>6836.17209</v>
      </c>
    </row>
    <row r="1128" spans="17:24" ht="11.1" customHeight="1" x14ac:dyDescent="0.45">
      <c r="Q1128" s="439">
        <f t="shared" si="165"/>
        <v>60</v>
      </c>
      <c r="R1128" s="596">
        <f t="shared" si="166"/>
        <v>46070</v>
      </c>
      <c r="S1128" s="597">
        <f t="shared" si="167"/>
        <v>639.29</v>
      </c>
      <c r="T1128" s="526">
        <f t="shared" si="168"/>
        <v>8102.8338999999996</v>
      </c>
      <c r="U1128" s="598">
        <v>639.29</v>
      </c>
      <c r="V1128" s="598">
        <v>8102.8338999999996</v>
      </c>
      <c r="X1128" s="599">
        <v>6843.2232599999998</v>
      </c>
    </row>
    <row r="1129" spans="17:24" ht="11.1" customHeight="1" x14ac:dyDescent="0.45">
      <c r="Q1129" s="439">
        <f t="shared" si="165"/>
        <v>59</v>
      </c>
      <c r="R1129" s="596">
        <f t="shared" si="166"/>
        <v>46071</v>
      </c>
      <c r="S1129" s="597">
        <f t="shared" si="167"/>
        <v>643.22</v>
      </c>
      <c r="T1129" s="526">
        <f t="shared" si="168"/>
        <v>9422.6558499999992</v>
      </c>
      <c r="U1129" s="598">
        <v>643.22</v>
      </c>
      <c r="V1129" s="598">
        <v>9422.6558499999992</v>
      </c>
      <c r="X1129" s="599">
        <v>6881.3145599999998</v>
      </c>
    </row>
    <row r="1130" spans="17:24" ht="11.1" customHeight="1" x14ac:dyDescent="0.45">
      <c r="Q1130" s="439">
        <f t="shared" si="165"/>
        <v>58</v>
      </c>
      <c r="R1130" s="596">
        <f t="shared" si="166"/>
        <v>46072</v>
      </c>
      <c r="S1130" s="597">
        <f t="shared" si="167"/>
        <v>644.78</v>
      </c>
      <c r="T1130" s="526">
        <f t="shared" si="168"/>
        <v>6470.81736</v>
      </c>
      <c r="U1130" s="598">
        <v>644.78</v>
      </c>
      <c r="V1130" s="598">
        <v>6470.81736</v>
      </c>
      <c r="X1130" s="599">
        <v>6861.8937400000004</v>
      </c>
    </row>
    <row r="1131" spans="17:24" ht="11.1" customHeight="1" x14ac:dyDescent="0.45">
      <c r="Q1131" s="439">
        <f t="shared" si="165"/>
        <v>57</v>
      </c>
      <c r="R1131" s="596">
        <f t="shared" si="166"/>
        <v>46073</v>
      </c>
      <c r="S1131" s="597">
        <f t="shared" si="167"/>
        <v>655.66</v>
      </c>
      <c r="T1131" s="526">
        <f t="shared" si="168"/>
        <v>9299.5614800000003</v>
      </c>
      <c r="U1131" s="598">
        <v>655.66</v>
      </c>
      <c r="V1131" s="598">
        <v>9299.5614800000003</v>
      </c>
      <c r="X1131" s="599">
        <v>6909.5066200000001</v>
      </c>
    </row>
    <row r="1132" spans="17:24" ht="11.1" customHeight="1" x14ac:dyDescent="0.45">
      <c r="Q1132" s="439">
        <f t="shared" si="165"/>
        <v>56</v>
      </c>
      <c r="R1132" s="596">
        <f t="shared" si="166"/>
        <v>46074</v>
      </c>
      <c r="S1132" s="597" t="e">
        <f t="shared" si="167"/>
        <v>#N/A</v>
      </c>
      <c r="T1132" s="526" t="e">
        <f t="shared" si="168"/>
        <v>#N/A</v>
      </c>
      <c r="U1132" s="598">
        <v>655.66</v>
      </c>
      <c r="V1132" s="598">
        <v>0</v>
      </c>
      <c r="X1132" s="599">
        <v>6909.5066200000001</v>
      </c>
    </row>
    <row r="1133" spans="17:24" ht="11.1" customHeight="1" x14ac:dyDescent="0.45">
      <c r="Q1133" s="439">
        <f t="shared" si="165"/>
        <v>55</v>
      </c>
      <c r="R1133" s="596">
        <f t="shared" si="166"/>
        <v>46075</v>
      </c>
      <c r="S1133" s="597" t="e">
        <f t="shared" si="167"/>
        <v>#N/A</v>
      </c>
      <c r="T1133" s="526" t="e">
        <f t="shared" si="168"/>
        <v>#N/A</v>
      </c>
      <c r="U1133" s="598">
        <v>655.66</v>
      </c>
      <c r="V1133" s="598">
        <v>0</v>
      </c>
      <c r="X1133" s="599">
        <v>6909.5066200000001</v>
      </c>
    </row>
    <row r="1134" spans="17:24" ht="11.1" customHeight="1" x14ac:dyDescent="0.45">
      <c r="Q1134" s="439">
        <f t="shared" si="165"/>
        <v>54</v>
      </c>
      <c r="R1134" s="596">
        <f t="shared" si="166"/>
        <v>46076</v>
      </c>
      <c r="S1134" s="597">
        <f t="shared" si="167"/>
        <v>637.25</v>
      </c>
      <c r="T1134" s="526">
        <f t="shared" si="168"/>
        <v>5484.1155099999996</v>
      </c>
      <c r="U1134" s="598">
        <v>637.25</v>
      </c>
      <c r="V1134" s="598">
        <v>5484.1155099999996</v>
      </c>
      <c r="X1134" s="599">
        <v>6837.7545200000004</v>
      </c>
    </row>
    <row r="1135" spans="17:24" ht="11.1" customHeight="1" x14ac:dyDescent="0.45">
      <c r="Q1135" s="439">
        <f t="shared" si="165"/>
        <v>53</v>
      </c>
      <c r="R1135" s="596">
        <f t="shared" si="166"/>
        <v>46077</v>
      </c>
      <c r="S1135" s="597">
        <f t="shared" si="167"/>
        <v>639.29999999999995</v>
      </c>
      <c r="T1135" s="526">
        <f t="shared" si="168"/>
        <v>6479.7191300000004</v>
      </c>
      <c r="U1135" s="598">
        <v>639.29999999999995</v>
      </c>
      <c r="V1135" s="598">
        <v>6479.7191300000004</v>
      </c>
      <c r="X1135" s="599">
        <v>6890.0723099999996</v>
      </c>
    </row>
    <row r="1136" spans="17:24" ht="11.1" customHeight="1" x14ac:dyDescent="0.45">
      <c r="Q1136" s="439">
        <f t="shared" si="165"/>
        <v>52</v>
      </c>
      <c r="R1136" s="596">
        <f t="shared" si="166"/>
        <v>46078</v>
      </c>
      <c r="S1136" s="597">
        <f t="shared" si="167"/>
        <v>653.69000000000005</v>
      </c>
      <c r="T1136" s="526">
        <f t="shared" si="168"/>
        <v>7406.7607099999996</v>
      </c>
      <c r="U1136" s="598">
        <v>653.69000000000005</v>
      </c>
      <c r="V1136" s="598">
        <v>7406.7607099999996</v>
      </c>
      <c r="X1136" s="599">
        <v>6946.1266900000001</v>
      </c>
    </row>
    <row r="1137" spans="17:24" ht="11.1" customHeight="1" x14ac:dyDescent="0.45">
      <c r="Q1137" s="439">
        <f t="shared" si="165"/>
        <v>51</v>
      </c>
      <c r="R1137" s="596">
        <f t="shared" si="166"/>
        <v>46079</v>
      </c>
      <c r="S1137" s="597">
        <f t="shared" si="167"/>
        <v>657.01</v>
      </c>
      <c r="T1137" s="526">
        <f t="shared" si="168"/>
        <v>6989.0989300000001</v>
      </c>
      <c r="U1137" s="598">
        <v>657.01</v>
      </c>
      <c r="V1137" s="598">
        <v>6989.0989300000001</v>
      </c>
      <c r="X1137" s="599">
        <v>6908.8646799999997</v>
      </c>
    </row>
    <row r="1138" spans="17:24" ht="11.1" customHeight="1" x14ac:dyDescent="0.45">
      <c r="Q1138" s="439">
        <f t="shared" si="165"/>
        <v>50</v>
      </c>
      <c r="R1138" s="596">
        <f t="shared" si="166"/>
        <v>46080</v>
      </c>
      <c r="S1138" s="597">
        <f t="shared" si="167"/>
        <v>648.17999999999995</v>
      </c>
      <c r="T1138" s="526">
        <f t="shared" si="168"/>
        <v>10178.39712</v>
      </c>
      <c r="U1138" s="598">
        <v>648.17999999999995</v>
      </c>
      <c r="V1138" s="598">
        <v>10178.39712</v>
      </c>
      <c r="X1138" s="599">
        <v>6878.8784999999998</v>
      </c>
    </row>
    <row r="1139" spans="17:24" ht="11.1" customHeight="1" x14ac:dyDescent="0.45">
      <c r="Q1139" s="439">
        <f t="shared" si="165"/>
        <v>49</v>
      </c>
      <c r="R1139" s="596">
        <f t="shared" si="166"/>
        <v>46081</v>
      </c>
      <c r="S1139" s="597">
        <f t="shared" si="167"/>
        <v>647.85</v>
      </c>
      <c r="T1139" s="526">
        <f t="shared" si="168"/>
        <v>0</v>
      </c>
      <c r="U1139" s="598">
        <v>647.85</v>
      </c>
      <c r="V1139" s="598">
        <v>0</v>
      </c>
      <c r="X1139" s="599">
        <v>6878.8784999999998</v>
      </c>
    </row>
    <row r="1140" spans="17:24" ht="11.1" customHeight="1" x14ac:dyDescent="0.45">
      <c r="Q1140" s="439">
        <f t="shared" si="165"/>
        <v>48</v>
      </c>
      <c r="R1140" s="596">
        <f t="shared" si="166"/>
        <v>46082</v>
      </c>
      <c r="S1140" s="597">
        <f t="shared" si="167"/>
        <v>648.17999999999995</v>
      </c>
      <c r="T1140" s="526">
        <f t="shared" si="168"/>
        <v>0</v>
      </c>
      <c r="U1140" s="598">
        <v>648.17999999999995</v>
      </c>
      <c r="V1140" s="598">
        <v>0</v>
      </c>
      <c r="X1140" s="599">
        <v>6878.8784999999998</v>
      </c>
    </row>
    <row r="1141" spans="17:24" ht="11.1" customHeight="1" x14ac:dyDescent="0.45">
      <c r="Q1141" s="439">
        <f t="shared" si="165"/>
        <v>47</v>
      </c>
      <c r="R1141" s="596">
        <f t="shared" si="166"/>
        <v>46083</v>
      </c>
      <c r="S1141" s="597">
        <f t="shared" si="167"/>
        <v>653.55999999999995</v>
      </c>
      <c r="T1141" s="526">
        <f t="shared" si="168"/>
        <v>6415.4266600000001</v>
      </c>
      <c r="U1141" s="598">
        <v>653.55999999999995</v>
      </c>
      <c r="V1141" s="598">
        <v>6415.4266600000001</v>
      </c>
      <c r="X1141" s="599">
        <v>6881.6200799999997</v>
      </c>
    </row>
    <row r="1142" spans="17:24" ht="11.1" customHeight="1" x14ac:dyDescent="0.45">
      <c r="Q1142" s="439">
        <f t="shared" si="165"/>
        <v>46</v>
      </c>
      <c r="R1142" s="596">
        <f t="shared" si="166"/>
        <v>46084</v>
      </c>
      <c r="S1142" s="597">
        <f t="shared" si="167"/>
        <v>655.08000000000004</v>
      </c>
      <c r="T1142" s="526">
        <f t="shared" si="168"/>
        <v>8033.7399699999996</v>
      </c>
      <c r="U1142" s="598">
        <v>655.08000000000004</v>
      </c>
      <c r="V1142" s="598">
        <v>8033.7399699999996</v>
      </c>
      <c r="X1142" s="599">
        <v>6816.6270299999996</v>
      </c>
    </row>
    <row r="1143" spans="17:24" ht="11.1" customHeight="1" x14ac:dyDescent="0.45">
      <c r="Q1143" s="439">
        <f t="shared" si="165"/>
        <v>45</v>
      </c>
      <c r="R1143" s="596">
        <f t="shared" si="166"/>
        <v>46085</v>
      </c>
      <c r="S1143" s="597">
        <f t="shared" si="167"/>
        <v>667.73</v>
      </c>
      <c r="T1143" s="526">
        <f t="shared" si="168"/>
        <v>7218.1973600000001</v>
      </c>
      <c r="U1143" s="598">
        <v>667.73</v>
      </c>
      <c r="V1143" s="598">
        <v>7218.1973600000001</v>
      </c>
      <c r="X1143" s="599">
        <v>6869.5024400000002</v>
      </c>
    </row>
    <row r="1144" spans="17:24" ht="11.1" customHeight="1" x14ac:dyDescent="0.45">
      <c r="Q1144" s="439">
        <f t="shared" si="165"/>
        <v>44</v>
      </c>
      <c r="R1144" s="596">
        <f t="shared" si="166"/>
        <v>46086</v>
      </c>
      <c r="S1144" s="597">
        <f t="shared" si="167"/>
        <v>660.57</v>
      </c>
      <c r="T1144" s="526">
        <f t="shared" si="168"/>
        <v>8812.9068000000007</v>
      </c>
      <c r="U1144" s="598">
        <v>660.57</v>
      </c>
      <c r="V1144" s="598">
        <v>8812.9068000000007</v>
      </c>
      <c r="X1144" s="599">
        <v>6830.7080699999997</v>
      </c>
    </row>
    <row r="1145" spans="17:24" ht="11.1" customHeight="1" x14ac:dyDescent="0.45">
      <c r="Q1145" s="439">
        <f t="shared" si="165"/>
        <v>43</v>
      </c>
      <c r="R1145" s="596">
        <f t="shared" si="166"/>
        <v>46087</v>
      </c>
      <c r="S1145" s="597">
        <f t="shared" si="167"/>
        <v>644.86</v>
      </c>
      <c r="T1145" s="526">
        <f t="shared" si="168"/>
        <v>8485.9423100000004</v>
      </c>
      <c r="U1145" s="598">
        <v>644.86</v>
      </c>
      <c r="V1145" s="598">
        <v>8485.9423100000004</v>
      </c>
      <c r="X1145" s="599">
        <v>6740.0234300000002</v>
      </c>
    </row>
    <row r="1146" spans="17:24" ht="11.1" customHeight="1" x14ac:dyDescent="0.45">
      <c r="Q1146" s="439">
        <f t="shared" si="165"/>
        <v>42</v>
      </c>
      <c r="R1146" s="596">
        <f t="shared" si="166"/>
        <v>46088</v>
      </c>
      <c r="S1146" s="597" t="e">
        <f t="shared" si="167"/>
        <v>#N/A</v>
      </c>
      <c r="T1146" s="526" t="e">
        <f t="shared" si="168"/>
        <v>#N/A</v>
      </c>
      <c r="U1146" s="598">
        <v>644.86</v>
      </c>
      <c r="V1146" s="598">
        <v>0</v>
      </c>
      <c r="X1146" s="599">
        <v>6740.0234300000002</v>
      </c>
    </row>
    <row r="1147" spans="17:24" ht="11.1" customHeight="1" x14ac:dyDescent="0.45">
      <c r="Q1147" s="439">
        <f t="shared" si="165"/>
        <v>41</v>
      </c>
      <c r="R1147" s="596">
        <f t="shared" si="166"/>
        <v>46089</v>
      </c>
      <c r="S1147" s="597" t="e">
        <f t="shared" si="167"/>
        <v>#N/A</v>
      </c>
      <c r="T1147" s="526" t="e">
        <f t="shared" si="168"/>
        <v>#N/A</v>
      </c>
      <c r="U1147" s="598">
        <v>644.86</v>
      </c>
      <c r="V1147" s="598">
        <v>0</v>
      </c>
      <c r="X1147" s="599">
        <v>6740.0234300000002</v>
      </c>
    </row>
    <row r="1148" spans="17:24" ht="11.1" customHeight="1" x14ac:dyDescent="0.45">
      <c r="Q1148" s="439">
        <f t="shared" si="165"/>
        <v>40</v>
      </c>
      <c r="R1148" s="596">
        <f t="shared" si="166"/>
        <v>46090</v>
      </c>
      <c r="S1148" s="597">
        <f t="shared" si="167"/>
        <v>647.39</v>
      </c>
      <c r="T1148" s="526">
        <f t="shared" si="168"/>
        <v>8733.1240699999998</v>
      </c>
      <c r="U1148" s="598">
        <v>647.39</v>
      </c>
      <c r="V1148" s="598">
        <v>8733.1240699999998</v>
      </c>
      <c r="X1148" s="599">
        <v>6795.9918699999998</v>
      </c>
    </row>
    <row r="1149" spans="17:24" ht="11.1" customHeight="1" x14ac:dyDescent="0.45">
      <c r="Q1149" s="439">
        <f t="shared" si="165"/>
        <v>39</v>
      </c>
      <c r="R1149" s="596">
        <f t="shared" si="166"/>
        <v>46091</v>
      </c>
      <c r="S1149" s="597">
        <f t="shared" si="167"/>
        <v>654.07000000000005</v>
      </c>
      <c r="T1149" s="526">
        <f t="shared" si="168"/>
        <v>6448.6396500000001</v>
      </c>
      <c r="U1149" s="598">
        <v>654.07000000000005</v>
      </c>
      <c r="V1149" s="598">
        <v>6448.6396500000001</v>
      </c>
      <c r="X1149" s="599">
        <v>6781.4819299999999</v>
      </c>
    </row>
    <row r="1150" spans="17:24" ht="11.1" customHeight="1" x14ac:dyDescent="0.45">
      <c r="Q1150" s="439">
        <f t="shared" si="165"/>
        <v>38</v>
      </c>
      <c r="R1150" s="596">
        <f t="shared" si="166"/>
        <v>46092</v>
      </c>
      <c r="S1150" s="597">
        <f t="shared" si="167"/>
        <v>654.86</v>
      </c>
      <c r="T1150" s="526">
        <f t="shared" si="168"/>
        <v>5878.78431</v>
      </c>
      <c r="U1150" s="598">
        <v>654.86</v>
      </c>
      <c r="V1150" s="598">
        <v>5878.78431</v>
      </c>
      <c r="X1150" s="599">
        <v>6775.8043200000002</v>
      </c>
    </row>
    <row r="1151" spans="17:24" ht="11.1" customHeight="1" x14ac:dyDescent="0.45">
      <c r="Q1151" s="439">
        <f t="shared" si="165"/>
        <v>37</v>
      </c>
      <c r="R1151" s="596">
        <f t="shared" si="166"/>
        <v>46093</v>
      </c>
      <c r="S1151" s="597">
        <f t="shared" si="167"/>
        <v>638.17999999999995</v>
      </c>
      <c r="T1151" s="526">
        <f t="shared" si="168"/>
        <v>7414.0465800000002</v>
      </c>
      <c r="U1151" s="598">
        <v>638.17999999999995</v>
      </c>
      <c r="V1151" s="598">
        <v>7414.0465800000002</v>
      </c>
      <c r="X1151" s="599">
        <v>6672.6180400000003</v>
      </c>
    </row>
    <row r="1152" spans="17:24" ht="11.1" customHeight="1" x14ac:dyDescent="0.45">
      <c r="Q1152" s="439">
        <f t="shared" si="165"/>
        <v>36</v>
      </c>
      <c r="R1152" s="596">
        <f t="shared" si="166"/>
        <v>46094</v>
      </c>
      <c r="S1152" s="597">
        <f t="shared" si="167"/>
        <v>613.71</v>
      </c>
      <c r="T1152" s="526">
        <f t="shared" si="168"/>
        <v>11634.491400000001</v>
      </c>
      <c r="U1152" s="598">
        <v>613.71</v>
      </c>
      <c r="V1152" s="598">
        <v>11634.491400000001</v>
      </c>
      <c r="X1152" s="599">
        <v>6632.1915300000001</v>
      </c>
    </row>
    <row r="1153" spans="17:24" ht="11.1" customHeight="1" x14ac:dyDescent="0.45">
      <c r="Q1153" s="439">
        <f t="shared" si="165"/>
        <v>35</v>
      </c>
      <c r="R1153" s="596">
        <f t="shared" si="166"/>
        <v>46095</v>
      </c>
      <c r="S1153" s="597" t="e">
        <f t="shared" si="167"/>
        <v>#N/A</v>
      </c>
      <c r="T1153" s="526" t="e">
        <f t="shared" si="168"/>
        <v>#N/A</v>
      </c>
      <c r="U1153" s="598">
        <v>613.71</v>
      </c>
      <c r="V1153" s="598">
        <v>0</v>
      </c>
      <c r="X1153" s="599">
        <v>6632.1915300000001</v>
      </c>
    </row>
    <row r="1154" spans="17:24" ht="11.1" customHeight="1" x14ac:dyDescent="0.45">
      <c r="Q1154" s="439">
        <f t="shared" si="165"/>
        <v>34</v>
      </c>
      <c r="R1154" s="596">
        <f t="shared" si="166"/>
        <v>46096</v>
      </c>
      <c r="S1154" s="597" t="e">
        <f t="shared" si="167"/>
        <v>#N/A</v>
      </c>
      <c r="T1154" s="526" t="e">
        <f t="shared" si="168"/>
        <v>#N/A</v>
      </c>
      <c r="U1154" s="598">
        <v>613.71</v>
      </c>
      <c r="V1154" s="598">
        <v>0</v>
      </c>
      <c r="X1154" s="599">
        <v>6632.1915300000001</v>
      </c>
    </row>
    <row r="1155" spans="17:24" ht="11.1" customHeight="1" x14ac:dyDescent="0.45">
      <c r="Q1155" s="439">
        <f t="shared" si="165"/>
        <v>33</v>
      </c>
      <c r="R1155" s="596">
        <f t="shared" si="166"/>
        <v>46097</v>
      </c>
      <c r="S1155" s="597">
        <f t="shared" si="167"/>
        <v>627.45000000000005</v>
      </c>
      <c r="T1155" s="526">
        <f t="shared" si="168"/>
        <v>9496.3628900000003</v>
      </c>
      <c r="U1155" s="598">
        <v>627.45000000000005</v>
      </c>
      <c r="V1155" s="598">
        <v>9496.3628900000003</v>
      </c>
      <c r="X1155" s="599">
        <v>6699.3833299999997</v>
      </c>
    </row>
    <row r="1156" spans="17:24" ht="11.1" customHeight="1" x14ac:dyDescent="0.45">
      <c r="Q1156" s="439">
        <f t="shared" si="165"/>
        <v>32</v>
      </c>
      <c r="R1156" s="596">
        <f t="shared" si="166"/>
        <v>46098</v>
      </c>
      <c r="S1156" s="597">
        <f t="shared" si="167"/>
        <v>622.66</v>
      </c>
      <c r="T1156" s="526">
        <f t="shared" si="168"/>
        <v>6443.7557900000002</v>
      </c>
      <c r="U1156" s="598">
        <v>622.66</v>
      </c>
      <c r="V1156" s="598">
        <v>6443.7557900000002</v>
      </c>
      <c r="X1156" s="599">
        <v>6716.0925100000004</v>
      </c>
    </row>
    <row r="1157" spans="17:24" ht="11.1" customHeight="1" x14ac:dyDescent="0.45">
      <c r="Q1157" s="439">
        <f t="shared" si="165"/>
        <v>31</v>
      </c>
      <c r="R1157" s="596">
        <f t="shared" si="166"/>
        <v>46099</v>
      </c>
      <c r="S1157" s="597">
        <f t="shared" si="167"/>
        <v>615.67999999999995</v>
      </c>
      <c r="T1157" s="526">
        <f t="shared" si="168"/>
        <v>7219.6490000000003</v>
      </c>
      <c r="U1157" s="598">
        <v>615.67999999999995</v>
      </c>
      <c r="V1157" s="598">
        <v>7219.6490000000003</v>
      </c>
      <c r="X1157" s="599">
        <v>6624.6951600000002</v>
      </c>
    </row>
    <row r="1158" spans="17:24" ht="11.1" customHeight="1" x14ac:dyDescent="0.45">
      <c r="Q1158" s="439">
        <f t="shared" si="165"/>
        <v>30</v>
      </c>
      <c r="R1158" s="596">
        <f t="shared" si="166"/>
        <v>46100</v>
      </c>
      <c r="S1158" s="597">
        <f t="shared" si="167"/>
        <v>606.70000000000005</v>
      </c>
      <c r="T1158" s="526">
        <f t="shared" si="168"/>
        <v>8037.37716</v>
      </c>
      <c r="U1158" s="598">
        <v>606.70000000000005</v>
      </c>
      <c r="V1158" s="598">
        <v>8037.37716</v>
      </c>
      <c r="X1158" s="599">
        <v>6606.4945399999997</v>
      </c>
    </row>
    <row r="1159" spans="17:24" ht="11.1" customHeight="1" x14ac:dyDescent="0.45">
      <c r="Q1159" s="439">
        <f t="shared" si="165"/>
        <v>29</v>
      </c>
      <c r="R1159" s="596">
        <f t="shared" si="166"/>
        <v>46101</v>
      </c>
      <c r="S1159" s="597">
        <f t="shared" si="167"/>
        <v>593.66</v>
      </c>
      <c r="T1159" s="526">
        <f t="shared" si="168"/>
        <v>12594.43635</v>
      </c>
      <c r="U1159" s="598">
        <v>593.66</v>
      </c>
      <c r="V1159" s="598">
        <v>12594.43635</v>
      </c>
      <c r="X1159" s="599">
        <v>6506.4789099999998</v>
      </c>
    </row>
    <row r="1160" spans="17:24" ht="11.1" customHeight="1" x14ac:dyDescent="0.45">
      <c r="Q1160" s="439">
        <f t="shared" si="165"/>
        <v>28</v>
      </c>
      <c r="R1160" s="596">
        <f t="shared" si="166"/>
        <v>46102</v>
      </c>
      <c r="S1160" s="597" t="e">
        <f t="shared" si="167"/>
        <v>#N/A</v>
      </c>
      <c r="T1160" s="526" t="e">
        <f t="shared" si="168"/>
        <v>#N/A</v>
      </c>
      <c r="U1160" s="598">
        <v>593.66</v>
      </c>
      <c r="V1160" s="598">
        <v>0</v>
      </c>
      <c r="X1160" s="599">
        <v>6506.4789099999998</v>
      </c>
    </row>
    <row r="1161" spans="17:24" ht="11.1" customHeight="1" x14ac:dyDescent="0.45">
      <c r="Q1161" s="439">
        <f t="shared" si="165"/>
        <v>27</v>
      </c>
      <c r="R1161" s="596">
        <f t="shared" si="166"/>
        <v>46103</v>
      </c>
      <c r="S1161" s="597" t="e">
        <f t="shared" si="167"/>
        <v>#N/A</v>
      </c>
      <c r="T1161" s="526" t="e">
        <f t="shared" si="168"/>
        <v>#N/A</v>
      </c>
      <c r="U1161" s="598">
        <v>593.66</v>
      </c>
      <c r="V1161" s="598">
        <v>0</v>
      </c>
      <c r="X1161" s="599">
        <v>6506.4789099999998</v>
      </c>
    </row>
    <row r="1162" spans="17:24" ht="11.1" customHeight="1" x14ac:dyDescent="0.45">
      <c r="Q1162" s="439">
        <f t="shared" si="165"/>
        <v>26</v>
      </c>
      <c r="R1162" s="596">
        <f t="shared" si="166"/>
        <v>46104</v>
      </c>
      <c r="S1162" s="597">
        <f t="shared" si="167"/>
        <v>604.05999999999995</v>
      </c>
      <c r="T1162" s="526">
        <f t="shared" si="168"/>
        <v>8238.1455100000003</v>
      </c>
      <c r="U1162" s="598">
        <v>604.05999999999995</v>
      </c>
      <c r="V1162" s="598">
        <v>8238.1455100000003</v>
      </c>
      <c r="X1162" s="599">
        <v>6581.0002100000002</v>
      </c>
    </row>
    <row r="1163" spans="17:24" ht="11.1" customHeight="1" x14ac:dyDescent="0.45">
      <c r="Q1163" s="439">
        <f t="shared" si="165"/>
        <v>25</v>
      </c>
      <c r="R1163" s="596">
        <f t="shared" si="166"/>
        <v>46105</v>
      </c>
      <c r="S1163" s="597">
        <f t="shared" si="167"/>
        <v>592.91999999999996</v>
      </c>
      <c r="T1163" s="526">
        <f t="shared" si="168"/>
        <v>6367.8078299999997</v>
      </c>
      <c r="U1163" s="598">
        <v>592.91999999999996</v>
      </c>
      <c r="V1163" s="598">
        <v>6367.8078299999997</v>
      </c>
      <c r="X1163" s="599">
        <v>6556.3711400000002</v>
      </c>
    </row>
    <row r="1164" spans="17:24" ht="11.1" customHeight="1" x14ac:dyDescent="0.45">
      <c r="Q1164" s="439">
        <f t="shared" si="165"/>
        <v>24</v>
      </c>
      <c r="R1164" s="596">
        <f t="shared" si="166"/>
        <v>46106</v>
      </c>
      <c r="S1164" s="597">
        <f t="shared" si="167"/>
        <v>594.89</v>
      </c>
      <c r="T1164" s="526">
        <f t="shared" si="168"/>
        <v>7486.7090900000003</v>
      </c>
      <c r="U1164" s="598">
        <v>594.89</v>
      </c>
      <c r="V1164" s="598">
        <v>7486.7090900000003</v>
      </c>
      <c r="X1164" s="599">
        <v>6591.9005900000002</v>
      </c>
    </row>
    <row r="1165" spans="17:24" ht="11.1" customHeight="1" x14ac:dyDescent="0.45">
      <c r="Q1165" s="439">
        <f t="shared" si="165"/>
        <v>23</v>
      </c>
      <c r="R1165" s="596">
        <f t="shared" si="166"/>
        <v>46107</v>
      </c>
      <c r="S1165" s="597">
        <f t="shared" si="167"/>
        <v>547.54</v>
      </c>
      <c r="T1165" s="526">
        <f t="shared" si="168"/>
        <v>19591.052930000002</v>
      </c>
      <c r="U1165" s="598">
        <v>547.54</v>
      </c>
      <c r="V1165" s="598">
        <v>19591.052930000002</v>
      </c>
      <c r="X1165" s="599">
        <v>6477.1646300000002</v>
      </c>
    </row>
    <row r="1166" spans="17:24" ht="11.1" customHeight="1" x14ac:dyDescent="0.45">
      <c r="Q1166" s="439">
        <f t="shared" si="165"/>
        <v>22</v>
      </c>
      <c r="R1166" s="596">
        <f t="shared" si="166"/>
        <v>46108</v>
      </c>
      <c r="S1166" s="597">
        <f t="shared" si="167"/>
        <v>525.72</v>
      </c>
      <c r="T1166" s="526">
        <f t="shared" si="168"/>
        <v>15841.526019999999</v>
      </c>
      <c r="U1166" s="598">
        <v>525.72</v>
      </c>
      <c r="V1166" s="598">
        <v>15841.526019999999</v>
      </c>
      <c r="X1166" s="599">
        <v>6368.8530700000001</v>
      </c>
    </row>
    <row r="1167" spans="17:24" ht="11.1" customHeight="1" x14ac:dyDescent="0.45">
      <c r="Q1167" s="439">
        <f t="shared" si="165"/>
        <v>21</v>
      </c>
      <c r="R1167" s="596">
        <f t="shared" si="166"/>
        <v>46109</v>
      </c>
      <c r="S1167" s="597" t="e">
        <f t="shared" si="167"/>
        <v>#N/A</v>
      </c>
      <c r="T1167" s="526" t="e">
        <f t="shared" si="168"/>
        <v>#N/A</v>
      </c>
      <c r="U1167" s="598">
        <v>525.72</v>
      </c>
      <c r="V1167" s="598">
        <v>0</v>
      </c>
      <c r="X1167" s="599">
        <v>6368.8530700000001</v>
      </c>
    </row>
    <row r="1168" spans="17:24" ht="11.1" customHeight="1" x14ac:dyDescent="0.45">
      <c r="Q1168" s="439">
        <f t="shared" si="165"/>
        <v>20</v>
      </c>
      <c r="R1168" s="596">
        <f t="shared" si="166"/>
        <v>46110</v>
      </c>
      <c r="S1168" s="597" t="e">
        <f t="shared" si="167"/>
        <v>#N/A</v>
      </c>
      <c r="T1168" s="526" t="e">
        <f t="shared" si="168"/>
        <v>#N/A</v>
      </c>
      <c r="U1168" s="598">
        <v>525.72</v>
      </c>
      <c r="V1168" s="598">
        <v>0</v>
      </c>
      <c r="X1168" s="599">
        <v>6368.8530700000001</v>
      </c>
    </row>
    <row r="1169" spans="17:24" ht="11.1" customHeight="1" x14ac:dyDescent="0.45">
      <c r="Q1169" s="439">
        <f t="shared" si="165"/>
        <v>19</v>
      </c>
      <c r="R1169" s="596">
        <f t="shared" si="166"/>
        <v>46111</v>
      </c>
      <c r="S1169" s="597">
        <f t="shared" si="167"/>
        <v>536.38</v>
      </c>
      <c r="T1169" s="526">
        <f t="shared" si="168"/>
        <v>12226.89099</v>
      </c>
      <c r="U1169" s="598">
        <v>536.38</v>
      </c>
      <c r="V1169" s="598">
        <v>12226.89099</v>
      </c>
      <c r="X1169" s="599">
        <v>6343.7248300000001</v>
      </c>
    </row>
    <row r="1170" spans="17:24" ht="11.1" customHeight="1" x14ac:dyDescent="0.45">
      <c r="Q1170" s="439">
        <f t="shared" si="165"/>
        <v>18</v>
      </c>
      <c r="R1170" s="596">
        <f t="shared" si="166"/>
        <v>46112</v>
      </c>
      <c r="S1170" s="597">
        <f t="shared" si="167"/>
        <v>572.13</v>
      </c>
      <c r="T1170" s="526">
        <f t="shared" si="168"/>
        <v>18822.088360000002</v>
      </c>
      <c r="U1170" s="598">
        <v>572.13</v>
      </c>
      <c r="V1170" s="598">
        <v>18822.088360000002</v>
      </c>
      <c r="X1170" s="599">
        <v>6528.5173800000002</v>
      </c>
    </row>
    <row r="1171" spans="17:24" ht="11.1" customHeight="1" x14ac:dyDescent="0.45">
      <c r="Q1171" s="439">
        <f t="shared" si="165"/>
        <v>17</v>
      </c>
      <c r="R1171" s="596">
        <f t="shared" si="166"/>
        <v>46113</v>
      </c>
      <c r="S1171" s="597">
        <f t="shared" si="167"/>
        <v>579.23</v>
      </c>
      <c r="T1171" s="526">
        <f t="shared" si="168"/>
        <v>13674.535980000001</v>
      </c>
      <c r="U1171" s="598">
        <v>579.23</v>
      </c>
      <c r="V1171" s="598">
        <v>13674.535980000001</v>
      </c>
      <c r="X1171" s="599">
        <v>6575.3159299999998</v>
      </c>
    </row>
    <row r="1172" spans="17:24" ht="11.1" customHeight="1" x14ac:dyDescent="0.45">
      <c r="Q1172" s="439">
        <f t="shared" si="165"/>
        <v>16</v>
      </c>
      <c r="R1172" s="596">
        <f t="shared" si="166"/>
        <v>46114</v>
      </c>
      <c r="S1172" s="597">
        <f t="shared" si="167"/>
        <v>574.46</v>
      </c>
      <c r="T1172" s="526">
        <f t="shared" si="168"/>
        <v>7765.8645100000003</v>
      </c>
      <c r="U1172" s="598">
        <v>574.46</v>
      </c>
      <c r="V1172" s="598">
        <v>7765.8645100000003</v>
      </c>
      <c r="X1172" s="599">
        <v>6582.6867599999996</v>
      </c>
    </row>
    <row r="1173" spans="17:24" ht="11.1" customHeight="1" x14ac:dyDescent="0.45">
      <c r="Q1173" s="439">
        <f t="shared" si="165"/>
        <v>15</v>
      </c>
      <c r="R1173" s="596">
        <f t="shared" si="166"/>
        <v>46115</v>
      </c>
      <c r="S1173" s="597" t="e">
        <f t="shared" si="167"/>
        <v>#N/A</v>
      </c>
      <c r="T1173" s="526" t="e">
        <f t="shared" si="168"/>
        <v>#N/A</v>
      </c>
      <c r="U1173" s="598">
        <v>574.46</v>
      </c>
      <c r="V1173" s="598">
        <v>0</v>
      </c>
      <c r="X1173" s="599">
        <v>6582.6867599999996</v>
      </c>
    </row>
    <row r="1174" spans="17:24" ht="11.1" customHeight="1" x14ac:dyDescent="0.45">
      <c r="Q1174" s="439">
        <f t="shared" si="165"/>
        <v>14</v>
      </c>
      <c r="R1174" s="596">
        <f t="shared" si="166"/>
        <v>46116</v>
      </c>
      <c r="S1174" s="597" t="e">
        <f t="shared" si="167"/>
        <v>#N/A</v>
      </c>
      <c r="T1174" s="526" t="e">
        <f t="shared" si="168"/>
        <v>#N/A</v>
      </c>
      <c r="U1174" s="598">
        <v>574.46</v>
      </c>
      <c r="V1174" s="598">
        <v>0</v>
      </c>
      <c r="X1174" s="599">
        <v>6582.6867599999996</v>
      </c>
    </row>
    <row r="1175" spans="17:24" ht="11.1" customHeight="1" x14ac:dyDescent="0.45">
      <c r="Q1175" s="439">
        <f t="shared" si="165"/>
        <v>13</v>
      </c>
      <c r="R1175" s="596">
        <f t="shared" si="166"/>
        <v>46117</v>
      </c>
      <c r="S1175" s="597" t="e">
        <f t="shared" si="167"/>
        <v>#N/A</v>
      </c>
      <c r="T1175" s="526" t="e">
        <f t="shared" si="168"/>
        <v>#N/A</v>
      </c>
      <c r="U1175" s="598">
        <v>574.46</v>
      </c>
      <c r="V1175" s="598">
        <v>0</v>
      </c>
      <c r="X1175" s="599">
        <v>6582.6867599999996</v>
      </c>
    </row>
    <row r="1176" spans="17:24" ht="11.1" customHeight="1" x14ac:dyDescent="0.45">
      <c r="Q1176" s="439">
        <f t="shared" si="165"/>
        <v>12</v>
      </c>
      <c r="R1176" s="596">
        <f t="shared" si="166"/>
        <v>46118</v>
      </c>
      <c r="S1176" s="597">
        <f t="shared" si="167"/>
        <v>573.02</v>
      </c>
      <c r="T1176" s="526">
        <f t="shared" si="168"/>
        <v>5452.65834</v>
      </c>
      <c r="U1176" s="598">
        <v>573.02</v>
      </c>
      <c r="V1176" s="598">
        <v>5452.65834</v>
      </c>
      <c r="X1176" s="599">
        <v>6611.8304099999996</v>
      </c>
    </row>
    <row r="1177" spans="17:24" ht="11.1" customHeight="1" x14ac:dyDescent="0.45">
      <c r="Q1177" s="439">
        <f t="shared" si="165"/>
        <v>11</v>
      </c>
      <c r="R1177" s="596">
        <f t="shared" si="166"/>
        <v>46119</v>
      </c>
      <c r="S1177" s="597">
        <f t="shared" si="167"/>
        <v>575.04999999999995</v>
      </c>
      <c r="T1177" s="526">
        <f t="shared" si="168"/>
        <v>5509.4637700000003</v>
      </c>
      <c r="U1177" s="598">
        <v>575.04999999999995</v>
      </c>
      <c r="V1177" s="598">
        <v>5509.4637700000003</v>
      </c>
      <c r="X1177" s="599">
        <v>6616.8508300000003</v>
      </c>
    </row>
    <row r="1178" spans="17:24" ht="11.1" customHeight="1" x14ac:dyDescent="0.45">
      <c r="Q1178" s="439">
        <f t="shared" si="165"/>
        <v>10</v>
      </c>
      <c r="R1178" s="596">
        <f t="shared" si="166"/>
        <v>46120</v>
      </c>
      <c r="S1178" s="597">
        <f t="shared" si="167"/>
        <v>612.41999999999996</v>
      </c>
      <c r="T1178" s="526">
        <f t="shared" si="168"/>
        <v>19619.877840000001</v>
      </c>
      <c r="U1178" s="598">
        <v>612.41999999999996</v>
      </c>
      <c r="V1178" s="598">
        <v>19619.877840000001</v>
      </c>
      <c r="X1178" s="599">
        <v>6782.81167</v>
      </c>
    </row>
    <row r="1179" spans="17:24" ht="11.1" customHeight="1" x14ac:dyDescent="0.45">
      <c r="Q1179" s="439">
        <f t="shared" si="165"/>
        <v>9</v>
      </c>
      <c r="R1179" s="596">
        <f t="shared" si="166"/>
        <v>46121</v>
      </c>
      <c r="S1179" s="597">
        <f t="shared" si="167"/>
        <v>628.39</v>
      </c>
      <c r="T1179" s="526">
        <f t="shared" si="168"/>
        <v>11947.52377</v>
      </c>
      <c r="U1179" s="598">
        <v>628.39</v>
      </c>
      <c r="V1179" s="598">
        <v>11947.52377</v>
      </c>
      <c r="X1179" s="599">
        <v>6824.6572699999997</v>
      </c>
    </row>
    <row r="1180" spans="17:24" ht="11.1" customHeight="1" x14ac:dyDescent="0.45">
      <c r="Q1180" s="439">
        <f t="shared" si="165"/>
        <v>8</v>
      </c>
      <c r="R1180" s="596">
        <f t="shared" si="166"/>
        <v>46122</v>
      </c>
      <c r="S1180" s="597">
        <f t="shared" si="167"/>
        <v>629.86</v>
      </c>
      <c r="T1180" s="526">
        <f t="shared" si="168"/>
        <v>8373.8904399999992</v>
      </c>
      <c r="U1180" s="598">
        <v>629.86</v>
      </c>
      <c r="V1180" s="598">
        <v>8373.8904399999992</v>
      </c>
      <c r="X1180" s="599">
        <v>6816.89192</v>
      </c>
    </row>
    <row r="1181" spans="17:24" ht="11.1" customHeight="1" x14ac:dyDescent="0.45">
      <c r="Q1181" s="439">
        <f t="shared" ref="Q1181:Q1185" si="169">Q1182+1</f>
        <v>7</v>
      </c>
      <c r="R1181" s="596">
        <f t="shared" ref="R1181:R1185" si="170">R1182-1</f>
        <v>46123</v>
      </c>
      <c r="S1181" s="597" t="e">
        <f t="shared" ref="S1181:S1187" si="171">IF(U1181=U1180,#N/A,U1181)</f>
        <v>#N/A</v>
      </c>
      <c r="T1181" s="526" t="e">
        <f t="shared" ref="T1181:T1185" si="172">IF(S1181="#NV",#N/A,V1181)</f>
        <v>#N/A</v>
      </c>
      <c r="U1181" s="598">
        <v>629.86</v>
      </c>
      <c r="V1181" s="598">
        <v>0</v>
      </c>
      <c r="X1181" s="599">
        <v>6816.89192</v>
      </c>
    </row>
    <row r="1182" spans="17:24" ht="11.1" customHeight="1" x14ac:dyDescent="0.45">
      <c r="Q1182" s="439">
        <f t="shared" si="169"/>
        <v>6</v>
      </c>
      <c r="R1182" s="596">
        <f t="shared" si="170"/>
        <v>46124</v>
      </c>
      <c r="S1182" s="597" t="e">
        <f t="shared" si="171"/>
        <v>#N/A</v>
      </c>
      <c r="T1182" s="526" t="e">
        <f t="shared" si="172"/>
        <v>#N/A</v>
      </c>
      <c r="U1182" s="598">
        <v>629.86</v>
      </c>
      <c r="V1182" s="598">
        <v>0</v>
      </c>
      <c r="X1182" s="599">
        <v>6816.89192</v>
      </c>
    </row>
    <row r="1183" spans="17:24" ht="11.1" customHeight="1" x14ac:dyDescent="0.45">
      <c r="Q1183" s="439">
        <f t="shared" si="169"/>
        <v>5</v>
      </c>
      <c r="R1183" s="596">
        <f t="shared" si="170"/>
        <v>46125</v>
      </c>
      <c r="S1183" s="597">
        <f t="shared" si="171"/>
        <v>634.53</v>
      </c>
      <c r="T1183" s="526">
        <f t="shared" si="172"/>
        <v>6052.7378900000003</v>
      </c>
      <c r="U1183" s="598">
        <v>634.53</v>
      </c>
      <c r="V1183" s="598">
        <v>6052.7378900000003</v>
      </c>
      <c r="X1183" s="599">
        <v>6886.2352300000002</v>
      </c>
    </row>
    <row r="1184" spans="17:24" ht="11.1" customHeight="1" x14ac:dyDescent="0.45">
      <c r="Q1184" s="439">
        <f t="shared" si="169"/>
        <v>4</v>
      </c>
      <c r="R1184" s="596">
        <f t="shared" si="170"/>
        <v>46126</v>
      </c>
      <c r="S1184" s="597">
        <f t="shared" si="171"/>
        <v>662.49</v>
      </c>
      <c r="T1184" s="526">
        <f t="shared" si="172"/>
        <v>11804.21767</v>
      </c>
      <c r="U1184" s="598">
        <v>662.49</v>
      </c>
      <c r="V1184" s="598">
        <v>11804.21767</v>
      </c>
      <c r="X1184" s="599">
        <v>6967.3786899999996</v>
      </c>
    </row>
    <row r="1185" spans="17:24" ht="11.1" customHeight="1" x14ac:dyDescent="0.45">
      <c r="Q1185" s="439">
        <f t="shared" si="169"/>
        <v>3</v>
      </c>
      <c r="R1185" s="596">
        <f t="shared" si="170"/>
        <v>46127</v>
      </c>
      <c r="S1185" s="597">
        <f t="shared" si="171"/>
        <v>671.58</v>
      </c>
      <c r="T1185" s="526">
        <f t="shared" si="172"/>
        <v>10041.85166</v>
      </c>
      <c r="U1185" s="598">
        <v>671.58</v>
      </c>
      <c r="V1185" s="598">
        <v>10041.85166</v>
      </c>
      <c r="X1185" s="599">
        <v>7022.9523300000001</v>
      </c>
    </row>
    <row r="1186" spans="17:24" ht="11.1" customHeight="1" x14ac:dyDescent="0.45">
      <c r="Q1186" s="439">
        <f>Q1187+1</f>
        <v>2</v>
      </c>
      <c r="R1186" s="596">
        <f>R1187-1</f>
        <v>46128</v>
      </c>
      <c r="S1186" s="597">
        <f t="shared" si="171"/>
        <v>676.87</v>
      </c>
      <c r="T1186" s="526">
        <f>IF(S1186="#NV",#N/A,V1186)</f>
        <v>6460.61247</v>
      </c>
      <c r="U1186" s="598">
        <v>676.87</v>
      </c>
      <c r="V1186" s="598">
        <v>6460.61247</v>
      </c>
      <c r="X1186" s="599">
        <v>7041.2766899999997</v>
      </c>
    </row>
    <row r="1187" spans="17:24" ht="11.1" customHeight="1" x14ac:dyDescent="0.45">
      <c r="Q1187" s="439">
        <v>1</v>
      </c>
      <c r="R1187" s="596">
        <f>Datenquelle!B2</f>
        <v>46129</v>
      </c>
      <c r="S1187" s="597" t="e">
        <f t="shared" si="171"/>
        <v>#N/A</v>
      </c>
      <c r="T1187" s="526" t="e">
        <f>IF(S1187="#NV",#N/A,V1187)</f>
        <v>#N/A</v>
      </c>
      <c r="U1187" s="598">
        <v>676.87</v>
      </c>
      <c r="V1187" s="598">
        <v>6460.61247</v>
      </c>
      <c r="X1187" s="599">
        <v>7041.2766899999997</v>
      </c>
    </row>
    <row r="1188" spans="17:24" ht="11.1" customHeight="1" collapsed="1" x14ac:dyDescent="0.45"/>
  </sheetData>
  <mergeCells count="27">
    <mergeCell ref="C213:G213"/>
    <mergeCell ref="A90:B90"/>
    <mergeCell ref="E107:E108"/>
    <mergeCell ref="C91:D91"/>
    <mergeCell ref="C107:D107"/>
    <mergeCell ref="F107:F108"/>
    <mergeCell ref="C1:M1"/>
    <mergeCell ref="A3:C3"/>
    <mergeCell ref="G39:N49"/>
    <mergeCell ref="U43:V43"/>
    <mergeCell ref="T2:AA2"/>
    <mergeCell ref="W44:AD54"/>
    <mergeCell ref="K3:L3"/>
    <mergeCell ref="J122:N122"/>
    <mergeCell ref="J127:K127"/>
    <mergeCell ref="K129:N129"/>
    <mergeCell ref="G51:N57"/>
    <mergeCell ref="J116:K116"/>
    <mergeCell ref="M116:N116"/>
    <mergeCell ref="H107:H108"/>
    <mergeCell ref="I107:I108"/>
    <mergeCell ref="J107:J108"/>
    <mergeCell ref="K107:K108"/>
    <mergeCell ref="L107:L108"/>
    <mergeCell ref="M107:M108"/>
    <mergeCell ref="N107:N108"/>
    <mergeCell ref="G107:G108"/>
  </mergeCells>
  <conditionalFormatting sqref="A1">
    <cfRule type="duplicateValues" dxfId="128" priority="87"/>
  </conditionalFormatting>
  <conditionalFormatting sqref="A90">
    <cfRule type="cellIs" dxfId="127" priority="6" operator="equal">
      <formula>$C$7</formula>
    </cfRule>
  </conditionalFormatting>
  <conditionalFormatting sqref="A146:A147 J146:J147">
    <cfRule type="cellIs" dxfId="126" priority="182" operator="equal">
      <formula>$D$145</formula>
    </cfRule>
  </conditionalFormatting>
  <conditionalFormatting sqref="B15:N15 N167:N172 O168:O173">
    <cfRule type="cellIs" dxfId="125" priority="90" operator="lessThan">
      <formula>0</formula>
    </cfRule>
  </conditionalFormatting>
  <conditionalFormatting sqref="B20:N20">
    <cfRule type="cellIs" dxfId="124" priority="89" operator="lessThan">
      <formula>0</formula>
    </cfRule>
  </conditionalFormatting>
  <conditionalFormatting sqref="B25:N25">
    <cfRule type="cellIs" dxfId="123" priority="86" operator="lessThan">
      <formula>0</formula>
    </cfRule>
  </conditionalFormatting>
  <conditionalFormatting sqref="B27:N27">
    <cfRule type="cellIs" dxfId="122" priority="88" operator="lessThan">
      <formula>0</formula>
    </cfRule>
  </conditionalFormatting>
  <conditionalFormatting sqref="D369:F373 J369:L373">
    <cfRule type="cellIs" dxfId="121" priority="4" operator="lessThan">
      <formula>$L$362</formula>
    </cfRule>
    <cfRule type="cellIs" dxfId="120" priority="5" operator="greaterThan">
      <formula>$L$362</formula>
    </cfRule>
  </conditionalFormatting>
  <conditionalFormatting sqref="E102:F102 H102:N102">
    <cfRule type="top10" dxfId="119" priority="74" percent="1" rank="10"/>
    <cfRule type="top10" dxfId="118" priority="72" percent="1" bottom="1" rank="10"/>
  </conditionalFormatting>
  <conditionalFormatting sqref="E93:N93">
    <cfRule type="top10" dxfId="117" priority="81" percent="1" rank="10"/>
    <cfRule type="top10" dxfId="116" priority="76" percent="1" bottom="1" rank="10"/>
  </conditionalFormatting>
  <conditionalFormatting sqref="E93:N95">
    <cfRule type="cellIs" dxfId="115" priority="65" operator="equal">
      <formula>0</formula>
    </cfRule>
  </conditionalFormatting>
  <conditionalFormatting sqref="E94:N94">
    <cfRule type="top10" dxfId="114" priority="80" percent="1" rank="10"/>
    <cfRule type="top10" dxfId="113" priority="77" percent="1" bottom="1" rank="10"/>
  </conditionalFormatting>
  <conditionalFormatting sqref="E95:N95">
    <cfRule type="top10" dxfId="112" priority="79" percent="1" rank="10"/>
    <cfRule type="top10" dxfId="111" priority="78" percent="1" bottom="1" rank="10"/>
  </conditionalFormatting>
  <conditionalFormatting sqref="E97:N99">
    <cfRule type="cellIs" dxfId="110" priority="62" operator="equal">
      <formula>0</formula>
    </cfRule>
  </conditionalFormatting>
  <conditionalFormatting sqref="E101:N101 E102:F102 H102:N102">
    <cfRule type="cellIs" dxfId="109" priority="63" operator="equal">
      <formula>0</formula>
    </cfRule>
  </conditionalFormatting>
  <conditionalFormatting sqref="E101:N101">
    <cfRule type="top10" dxfId="108" priority="75" percent="1" rank="10"/>
    <cfRule type="top10" dxfId="107" priority="73" percent="1" bottom="1" rank="10"/>
  </conditionalFormatting>
  <conditionalFormatting sqref="E104:N104">
    <cfRule type="top10" dxfId="106" priority="71" percent="1" rank="10"/>
    <cfRule type="top10" dxfId="105" priority="69" percent="1" bottom="1" rank="10"/>
  </conditionalFormatting>
  <conditionalFormatting sqref="E104:N105">
    <cfRule type="cellIs" dxfId="104" priority="64" operator="equal">
      <formula>0</formula>
    </cfRule>
  </conditionalFormatting>
  <conditionalFormatting sqref="E105:N105">
    <cfRule type="top10" dxfId="103" priority="70" percent="1" rank="10"/>
    <cfRule type="top10" dxfId="102" priority="68" percent="1" bottom="1" rank="10"/>
  </conditionalFormatting>
  <conditionalFormatting sqref="E109:N111">
    <cfRule type="cellIs" dxfId="101" priority="60" operator="equal">
      <formula>0</formula>
    </cfRule>
  </conditionalFormatting>
  <conditionalFormatting sqref="E109:N114">
    <cfRule type="top10" dxfId="100" priority="66" percent="1" bottom="1" rank="10"/>
    <cfRule type="top10" dxfId="99" priority="67" percent="1" rank="10"/>
  </conditionalFormatting>
  <conditionalFormatting sqref="E113:N114">
    <cfRule type="cellIs" dxfId="98" priority="61" operator="equal">
      <formula>0</formula>
    </cfRule>
  </conditionalFormatting>
  <conditionalFormatting sqref="G102">
    <cfRule type="top10" dxfId="97" priority="24" percent="1" rank="10"/>
    <cfRule type="top10" dxfId="96" priority="23" percent="1" bottom="1" rank="10"/>
    <cfRule type="cellIs" dxfId="95" priority="22" operator="equal">
      <formula>0</formula>
    </cfRule>
  </conditionalFormatting>
  <conditionalFormatting sqref="H6:I6">
    <cfRule type="cellIs" dxfId="94" priority="82" operator="lessThan">
      <formula>1</formula>
    </cfRule>
    <cfRule type="cellIs" dxfId="93" priority="83" operator="greaterThan">
      <formula>1</formula>
    </cfRule>
    <cfRule type="cellIs" dxfId="92" priority="85" operator="greaterThan">
      <formula>1</formula>
    </cfRule>
  </conditionalFormatting>
  <conditionalFormatting sqref="M266:M269">
    <cfRule type="cellIs" dxfId="91" priority="9" operator="lessThan">
      <formula>$M$265</formula>
    </cfRule>
    <cfRule type="cellIs" dxfId="90" priority="10" operator="greaterThan">
      <formula>$M$265</formula>
    </cfRule>
  </conditionalFormatting>
  <conditionalFormatting sqref="M362:M365">
    <cfRule type="cellIs" dxfId="89" priority="2" operator="greaterThan">
      <formula>1</formula>
    </cfRule>
    <cfRule type="cellIs" dxfId="88" priority="1" operator="lessThan">
      <formula>1</formula>
    </cfRule>
    <cfRule type="cellIs" dxfId="87" priority="3" operator="greaterThan">
      <formula>1</formula>
    </cfRule>
  </conditionalFormatting>
  <conditionalFormatting sqref="N12">
    <cfRule type="cellIs" dxfId="86" priority="84" operator="greaterThan">
      <formula>1</formula>
    </cfRule>
  </conditionalFormatting>
  <conditionalFormatting sqref="N179:N184">
    <cfRule type="cellIs" dxfId="85" priority="57" operator="lessThan">
      <formula>0</formula>
    </cfRule>
  </conditionalFormatting>
  <conditionalFormatting sqref="N186:N187">
    <cfRule type="cellIs" dxfId="84" priority="59" operator="lessThan">
      <formula>0</formula>
    </cfRule>
  </conditionalFormatting>
  <conditionalFormatting sqref="O183:O185">
    <cfRule type="cellIs" dxfId="83" priority="58" operator="lessThan">
      <formula>0</formula>
    </cfRule>
  </conditionalFormatting>
  <conditionalFormatting sqref="Q1">
    <cfRule type="duplicateValues" dxfId="82" priority="11"/>
  </conditionalFormatting>
  <conditionalFormatting sqref="R14:AD14">
    <cfRule type="cellIs" dxfId="81" priority="20" operator="lessThan">
      <formula>0</formula>
    </cfRule>
  </conditionalFormatting>
  <conditionalFormatting sqref="R25:AD25">
    <cfRule type="cellIs" dxfId="80" priority="15" operator="lessThan">
      <formula>0</formula>
    </cfRule>
  </conditionalFormatting>
  <conditionalFormatting sqref="R32:AD32">
    <cfRule type="cellIs" dxfId="79" priority="14" operator="lessThan">
      <formula>0</formula>
    </cfRule>
  </conditionalFormatting>
  <conditionalFormatting sqref="AC18:AD19">
    <cfRule type="cellIs" dxfId="78" priority="17" operator="lessThan">
      <formula>0</formula>
    </cfRule>
  </conditionalFormatting>
  <conditionalFormatting sqref="AC21:AD22">
    <cfRule type="cellIs" dxfId="77" priority="16" operator="lessThan">
      <formula>0</formula>
    </cfRule>
  </conditionalFormatting>
  <conditionalFormatting sqref="AD5">
    <cfRule type="cellIs" dxfId="76" priority="19" operator="greaterThan">
      <formula>1</formula>
    </cfRule>
  </conditionalFormatting>
  <conditionalFormatting sqref="AD8">
    <cfRule type="cellIs" dxfId="75" priority="13" operator="greaterThan">
      <formula>1</formula>
    </cfRule>
  </conditionalFormatting>
  <conditionalFormatting sqref="AD11">
    <cfRule type="cellIs" dxfId="74" priority="18" operator="greaterThan">
      <formula>1</formula>
    </cfRule>
  </conditionalFormatting>
  <printOptions horizontalCentered="1" verticalCentered="1"/>
  <pageMargins left="0.39370078740157483" right="0.11811023622047245" top="0.19685039370078741" bottom="0.19685039370078741" header="0.31496062992125984" footer="0.31496062992125984"/>
  <pageSetup paperSize="9" fitToHeight="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D7971-B896-4C36-9000-CC62AC4FD6D4}">
  <sheetPr>
    <tabColor theme="4" tint="0.79998168889431442"/>
  </sheetPr>
  <dimension ref="A1:AJH43"/>
  <sheetViews>
    <sheetView showGridLines="0" showZeros="0" zoomScale="130" zoomScaleNormal="130" workbookViewId="0">
      <pane xSplit="2" ySplit="11" topLeftCell="AEI12" activePane="bottomRight" state="frozen"/>
      <selection pane="topRight" activeCell="C1" sqref="C1"/>
      <selection pane="bottomLeft" activeCell="A12" sqref="A12"/>
      <selection pane="bottomRight" activeCell="AEJ13" sqref="AEJ13"/>
    </sheetView>
  </sheetViews>
  <sheetFormatPr baseColWidth="10" defaultRowHeight="14.25" outlineLevelCol="1" x14ac:dyDescent="0.45"/>
  <cols>
    <col min="1" max="1" width="12.86328125" style="186" customWidth="1"/>
    <col min="2" max="2" width="25.33203125" style="108" customWidth="1"/>
    <col min="3" max="3" width="30.1328125" style="108" hidden="1" customWidth="1" outlineLevel="1"/>
    <col min="4" max="4" width="15.46484375" style="108" hidden="1" customWidth="1" outlineLevel="1"/>
    <col min="5" max="5" width="11.1328125" style="108" hidden="1" customWidth="1" outlineLevel="1"/>
    <col min="6" max="6" width="16.46484375" style="108" hidden="1" customWidth="1" outlineLevel="1"/>
    <col min="7" max="7" width="20.46484375" style="108" hidden="1" customWidth="1" outlineLevel="1"/>
    <col min="8" max="9" width="30.1328125" style="108" hidden="1" customWidth="1" outlineLevel="1"/>
    <col min="10" max="10" width="12.53125" style="108" hidden="1" customWidth="1" outlineLevel="1"/>
    <col min="11" max="12" width="10.53125" style="108" hidden="1" customWidth="1" outlineLevel="1"/>
    <col min="13" max="14" width="9.53125" style="108" hidden="1" customWidth="1" outlineLevel="1"/>
    <col min="15" max="15" width="20.46484375" style="108" hidden="1" customWidth="1" outlineLevel="1"/>
    <col min="16" max="16" width="11.1328125" hidden="1" customWidth="1" outlineLevel="1"/>
    <col min="17" max="17" width="2.53125" hidden="1" customWidth="1" outlineLevel="1"/>
    <col min="18" max="23" width="12.53125" style="122" hidden="1" customWidth="1" outlineLevel="1"/>
    <col min="24" max="24" width="2.53125" hidden="1" customWidth="1" outlineLevel="1"/>
    <col min="25" max="25" width="10.53125" style="107" hidden="1" customWidth="1" outlineLevel="1"/>
    <col min="26" max="26" width="6.6640625" style="107" hidden="1" customWidth="1" outlineLevel="1"/>
    <col min="27" max="27" width="10.53125" style="107" hidden="1" customWidth="1" outlineLevel="1"/>
    <col min="28" max="28" width="2.53125" hidden="1" customWidth="1" outlineLevel="1"/>
    <col min="29" max="29" width="10.33203125" style="257" hidden="1" customWidth="1" outlineLevel="1"/>
    <col min="30" max="30" width="10.33203125" style="108" hidden="1" customWidth="1" outlineLevel="1"/>
    <col min="31" max="32" width="15.46484375" style="122" hidden="1" customWidth="1" outlineLevel="1"/>
    <col min="33" max="33" width="2.53125" hidden="1" customWidth="1" outlineLevel="1"/>
    <col min="34" max="40" width="15.46484375" style="122" hidden="1" customWidth="1" outlineLevel="1"/>
    <col min="41" max="41" width="2.53125" hidden="1" customWidth="1" outlineLevel="1"/>
    <col min="42" max="43" width="10.53125" style="257" hidden="1" customWidth="1" outlineLevel="1"/>
    <col min="44" max="44" width="2.53125" hidden="1" customWidth="1" outlineLevel="1"/>
    <col min="45" max="46" width="10.53125" style="257" hidden="1" customWidth="1" outlineLevel="1"/>
    <col min="47" max="47" width="2.53125" hidden="1" customWidth="1" outlineLevel="1"/>
    <col min="48" max="48" width="15.46484375" style="258" hidden="1" customWidth="1" outlineLevel="1"/>
    <col min="49" max="49" width="10.53125" style="402" hidden="1" customWidth="1" outlineLevel="1"/>
    <col min="50" max="65" width="10.53125" style="258" hidden="1" customWidth="1" outlineLevel="1"/>
    <col min="66" max="66" width="2.53125" hidden="1" customWidth="1" outlineLevel="1"/>
    <col min="67" max="70" width="10.53125" style="258" hidden="1" customWidth="1" outlineLevel="1"/>
    <col min="71" max="71" width="2.53125" hidden="1" customWidth="1" outlineLevel="1"/>
    <col min="72" max="72" width="10.33203125" hidden="1" customWidth="1" outlineLevel="1"/>
    <col min="73" max="83" width="15.46484375" style="258" hidden="1" customWidth="1" outlineLevel="1"/>
    <col min="84" max="84" width="2.53125" hidden="1" customWidth="1" outlineLevel="1"/>
    <col min="85" max="87" width="15.46484375" style="258" hidden="1" customWidth="1" outlineLevel="1"/>
    <col min="88" max="88" width="2.53125" hidden="1" customWidth="1" outlineLevel="1"/>
    <col min="89" max="98" width="10.33203125" hidden="1" customWidth="1" outlineLevel="1"/>
    <col min="99" max="99" width="2.53125" hidden="1" customWidth="1" outlineLevel="1"/>
    <col min="100" max="110" width="15.46484375" style="258" hidden="1" customWidth="1" outlineLevel="1"/>
    <col min="111" max="111" width="2.53125" hidden="1" customWidth="1" outlineLevel="1"/>
    <col min="112" max="121" width="10.33203125" hidden="1" customWidth="1" outlineLevel="1"/>
    <col min="122" max="122" width="2.53125" hidden="1" customWidth="1" outlineLevel="1"/>
    <col min="123" max="133" width="15.46484375" style="258" hidden="1" customWidth="1" outlineLevel="1"/>
    <col min="134" max="134" width="2.53125" hidden="1" customWidth="1" outlineLevel="1"/>
    <col min="135" max="141" width="6.6640625" hidden="1" customWidth="1" outlineLevel="1"/>
    <col min="142" max="142" width="2.53125" hidden="1" customWidth="1" outlineLevel="1"/>
    <col min="143" max="148" width="15.46484375" style="258" hidden="1" customWidth="1" outlineLevel="1"/>
    <col min="149" max="149" width="2.53125" hidden="1" customWidth="1" outlineLevel="1"/>
    <col min="150" max="150" width="10.33203125" hidden="1" customWidth="1" outlineLevel="1"/>
    <col min="151" max="161" width="15.46484375" style="258" hidden="1" customWidth="1" outlineLevel="1"/>
    <col min="162" max="162" width="2.86328125" hidden="1" customWidth="1" outlineLevel="1"/>
    <col min="163" max="165" width="15.46484375" style="258" hidden="1" customWidth="1" outlineLevel="1"/>
    <col min="166" max="166" width="2.86328125" hidden="1" customWidth="1" outlineLevel="1"/>
    <col min="167" max="171" width="15.46484375" style="258" hidden="1" customWidth="1" outlineLevel="1"/>
    <col min="172" max="172" width="2.86328125" hidden="1" customWidth="1" outlineLevel="1"/>
    <col min="173" max="173" width="10.33203125" hidden="1" customWidth="1" outlineLevel="1"/>
    <col min="174" max="184" width="15.46484375" style="258" hidden="1" customWidth="1" outlineLevel="1"/>
    <col min="185" max="185" width="2.86328125" hidden="1" customWidth="1" outlineLevel="1"/>
    <col min="186" max="188" width="15.46484375" style="258" hidden="1" customWidth="1" outlineLevel="1"/>
    <col min="189" max="189" width="2.86328125" hidden="1" customWidth="1" outlineLevel="1"/>
    <col min="190" max="190" width="10.53125" style="258" hidden="1" customWidth="1" outlineLevel="1"/>
    <col min="191" max="201" width="15.46484375" style="258" hidden="1" customWidth="1" outlineLevel="1"/>
    <col min="202" max="202" width="2.86328125" style="258" hidden="1" customWidth="1" outlineLevel="1"/>
    <col min="203" max="204" width="15.46484375" style="258" hidden="1" customWidth="1" outlineLevel="1"/>
    <col min="205" max="205" width="2.86328125" hidden="1" customWidth="1" outlineLevel="1"/>
    <col min="206" max="206" width="0.86328125" hidden="1" customWidth="1" outlineLevel="1"/>
    <col min="207" max="207" width="2.86328125" hidden="1" customWidth="1" outlineLevel="1"/>
    <col min="208" max="208" width="10.53125" hidden="1" customWidth="1" outlineLevel="1"/>
    <col min="209" max="219" width="15.46484375" style="258" hidden="1" customWidth="1" outlineLevel="1"/>
    <col min="220" max="220" width="2.86328125" style="258" hidden="1" customWidth="1" outlineLevel="1"/>
    <col min="221" max="223" width="15.46484375" style="258" hidden="1" customWidth="1" outlineLevel="1"/>
    <col min="224" max="224" width="2.86328125" hidden="1" customWidth="1" outlineLevel="1"/>
    <col min="225" max="225" width="0.86328125" hidden="1" customWidth="1" outlineLevel="1"/>
    <col min="226" max="226" width="2.86328125" hidden="1" customWidth="1" outlineLevel="1"/>
    <col min="227" max="231" width="10.53125" hidden="1" customWidth="1" outlineLevel="1"/>
    <col min="232" max="232" width="2.86328125" hidden="1" customWidth="1" outlineLevel="1"/>
    <col min="233" max="233" width="10.53125" style="258" hidden="1" customWidth="1" outlineLevel="1"/>
    <col min="234" max="238" width="10.53125" hidden="1" customWidth="1" outlineLevel="1"/>
    <col min="239" max="239" width="2.86328125" hidden="1" customWidth="1" outlineLevel="1"/>
    <col min="240" max="244" width="10.53125" hidden="1" customWidth="1" outlineLevel="1"/>
    <col min="245" max="245" width="2.86328125" hidden="1" customWidth="1" outlineLevel="1"/>
    <col min="246" max="246" width="10.53125" hidden="1" customWidth="1" outlineLevel="1"/>
    <col min="247" max="247" width="2.86328125" hidden="1" customWidth="1" outlineLevel="1"/>
    <col min="248" max="252" width="10.53125" hidden="1" customWidth="1" outlineLevel="1"/>
    <col min="253" max="253" width="2.86328125" hidden="1" customWidth="1" outlineLevel="1"/>
    <col min="254" max="256" width="10.53125" hidden="1" customWidth="1" outlineLevel="1"/>
    <col min="257" max="257" width="2.86328125" hidden="1" customWidth="1" outlineLevel="1"/>
    <col min="258" max="258" width="26.53125" style="403" hidden="1" customWidth="1" outlineLevel="1"/>
    <col min="259" max="259" width="15.46484375" style="258" hidden="1" customWidth="1" outlineLevel="1"/>
    <col min="260" max="265" width="10.53125" hidden="1" customWidth="1" outlineLevel="1"/>
    <col min="266" max="266" width="2.86328125" hidden="1" customWidth="1" outlineLevel="1"/>
    <col min="267" max="267" width="10.53125" style="272" hidden="1" customWidth="1" outlineLevel="1"/>
    <col min="268" max="268" width="2.86328125" hidden="1" customWidth="1" outlineLevel="1"/>
    <col min="269" max="271" width="10.53125" style="272" hidden="1" customWidth="1" outlineLevel="1"/>
    <col min="272" max="272" width="8.1328125" style="272" hidden="1" customWidth="1" outlineLevel="1"/>
    <col min="273" max="273" width="0.86328125" hidden="1" customWidth="1" outlineLevel="1"/>
    <col min="274" max="274" width="2.86328125" hidden="1" customWidth="1" outlineLevel="1"/>
    <col min="275" max="286" width="10.53125" hidden="1" customWidth="1" outlineLevel="1"/>
    <col min="287" max="287" width="2.86328125" hidden="1" customWidth="1" outlineLevel="1"/>
    <col min="288" max="298" width="10.53125" hidden="1" customWidth="1" outlineLevel="1"/>
    <col min="299" max="299" width="2.86328125" hidden="1" customWidth="1" outlineLevel="1"/>
    <col min="300" max="310" width="10.53125" hidden="1" customWidth="1" outlineLevel="1"/>
    <col min="311" max="311" width="2.86328125" hidden="1" customWidth="1" outlineLevel="1"/>
    <col min="312" max="314" width="10.53125" hidden="1" customWidth="1" outlineLevel="1"/>
    <col min="315" max="315" width="2.86328125" hidden="1" customWidth="1" outlineLevel="1"/>
    <col min="316" max="327" width="10.53125" hidden="1" customWidth="1" outlineLevel="1"/>
    <col min="328" max="328" width="2.86328125" hidden="1" customWidth="1" outlineLevel="1"/>
    <col min="329" max="339" width="10.53125" hidden="1" customWidth="1" outlineLevel="1"/>
    <col min="340" max="340" width="2.86328125" hidden="1" customWidth="1" outlineLevel="1"/>
    <col min="341" max="351" width="10.53125" hidden="1" customWidth="1" outlineLevel="1"/>
    <col min="352" max="352" width="2.86328125" hidden="1" customWidth="1" outlineLevel="1"/>
    <col min="353" max="364" width="15.46484375" hidden="1" customWidth="1" outlineLevel="1"/>
    <col min="365" max="365" width="2.86328125" hidden="1" customWidth="1" outlineLevel="1"/>
    <col min="366" max="377" width="10.53125" hidden="1" customWidth="1" outlineLevel="1"/>
    <col min="378" max="378" width="2.86328125" hidden="1" customWidth="1" outlineLevel="1"/>
    <col min="379" max="384" width="10.53125" style="108" hidden="1" customWidth="1" outlineLevel="1"/>
    <col min="385" max="385" width="10.53125" hidden="1" customWidth="1" outlineLevel="1"/>
    <col min="386" max="387" width="10.53125" style="108" hidden="1" customWidth="1" outlineLevel="1"/>
    <col min="388" max="388" width="2.86328125" hidden="1" customWidth="1" outlineLevel="1"/>
    <col min="389" max="389" width="10.53125" hidden="1" customWidth="1" outlineLevel="1"/>
    <col min="390" max="390" width="10.53125" style="108" hidden="1" customWidth="1" outlineLevel="1"/>
    <col min="391" max="396" width="10.53125" hidden="1" customWidth="1" outlineLevel="1"/>
    <col min="397" max="397" width="2.86328125" hidden="1" customWidth="1" outlineLevel="1"/>
    <col min="398" max="399" width="10.53125" style="108" hidden="1" customWidth="1" outlineLevel="1"/>
    <col min="400" max="400" width="2.86328125" hidden="1" customWidth="1" outlineLevel="1"/>
    <col min="401" max="401" width="0.86328125" hidden="1" customWidth="1" outlineLevel="1"/>
    <col min="402" max="501" width="2.86328125" hidden="1" customWidth="1" outlineLevel="1"/>
    <col min="502" max="502" width="13.86328125" hidden="1" customWidth="1" outlineLevel="1"/>
    <col min="503" max="514" width="10.53125" style="272" hidden="1" customWidth="1" outlineLevel="1"/>
    <col min="515" max="515" width="2.86328125" hidden="1" customWidth="1" outlineLevel="1"/>
    <col min="516" max="527" width="15.46484375" style="272" hidden="1" customWidth="1" outlineLevel="1"/>
    <col min="528" max="528" width="2.86328125" hidden="1" customWidth="1" outlineLevel="1"/>
    <col min="529" max="540" width="10.53125" style="272" hidden="1" customWidth="1" outlineLevel="1"/>
    <col min="541" max="541" width="2.86328125" hidden="1" customWidth="1" outlineLevel="1"/>
    <col min="542" max="553" width="15.46484375" style="272" hidden="1" customWidth="1" outlineLevel="1"/>
    <col min="554" max="554" width="2.86328125" hidden="1" customWidth="1" outlineLevel="1"/>
    <col min="555" max="566" width="15.46484375" style="272" hidden="1" customWidth="1" outlineLevel="1"/>
    <col min="567" max="567" width="2.86328125" hidden="1" customWidth="1" outlineLevel="1"/>
    <col min="568" max="579" width="10.53125" style="272" hidden="1" customWidth="1" outlineLevel="1"/>
    <col min="580" max="580" width="2.86328125" hidden="1" customWidth="1" outlineLevel="1"/>
    <col min="581" max="592" width="15.46484375" style="404" hidden="1" customWidth="1" outlineLevel="1"/>
    <col min="593" max="593" width="2.86328125" hidden="1" customWidth="1" outlineLevel="1"/>
    <col min="594" max="604" width="10.53125" style="272" hidden="1" customWidth="1" outlineLevel="1"/>
    <col min="605" max="605" width="12.53125" style="272" hidden="1" customWidth="1" outlineLevel="1"/>
    <col min="606" max="606" width="2.86328125" hidden="1" customWidth="1" outlineLevel="1"/>
    <col min="607" max="618" width="15.46484375" style="404" hidden="1" customWidth="1" outlineLevel="1"/>
    <col min="619" max="619" width="2.86328125" style="726" hidden="1" customWidth="1" outlineLevel="1"/>
    <col min="620" max="630" width="15.46484375" style="404" hidden="1" customWidth="1" outlineLevel="1"/>
    <col min="631" max="631" width="2.86328125" hidden="1" customWidth="1" outlineLevel="1"/>
    <col min="632" max="642" width="10.53125" style="272" hidden="1" customWidth="1" outlineLevel="1"/>
    <col min="643" max="643" width="2.86328125" hidden="1" customWidth="1" outlineLevel="1"/>
    <col min="644" max="654" width="15.46484375" style="404" hidden="1" customWidth="1" outlineLevel="1"/>
    <col min="655" max="655" width="2.86328125" hidden="1" customWidth="1" outlineLevel="1"/>
    <col min="656" max="666" width="15.46484375" style="404" hidden="1" customWidth="1" outlineLevel="1"/>
    <col min="667" max="667" width="2.86328125" customWidth="1" collapsed="1"/>
    <col min="668" max="670" width="15.46484375" style="404" customWidth="1"/>
    <col min="671" max="671" width="2.86328125" customWidth="1"/>
    <col min="672" max="672" width="15.46484375" style="272" customWidth="1"/>
    <col min="673" max="674" width="15.46484375" style="108" customWidth="1"/>
    <col min="675" max="675" width="2.86328125" customWidth="1"/>
    <col min="676" max="676" width="9.53125" style="274" customWidth="1"/>
    <col min="677" max="677" width="10.53125" style="107" customWidth="1"/>
    <col min="678" max="680" width="2.86328125" customWidth="1"/>
    <col min="681" max="685" width="11.53125" customWidth="1"/>
    <col min="686" max="686" width="2.86328125" customWidth="1"/>
    <col min="687" max="709" width="7.6640625" customWidth="1"/>
    <col min="710" max="710" width="2.86328125" customWidth="1"/>
    <col min="711" max="719" width="7.6640625" customWidth="1"/>
    <col min="720" max="720" width="2.86328125" customWidth="1"/>
    <col min="721" max="732" width="10.53125" style="258" customWidth="1"/>
    <col min="733" max="733" width="2.86328125" customWidth="1"/>
    <col min="734" max="735" width="10.53125" style="258" customWidth="1"/>
    <col min="736" max="736" width="10.53125" customWidth="1"/>
    <col min="737" max="737" width="2.86328125" customWidth="1"/>
    <col min="738" max="738" width="10.53125" style="258" customWidth="1"/>
    <col min="739" max="748" width="8.53125" style="258" customWidth="1"/>
    <col min="749" max="749" width="2.86328125" style="258" customWidth="1"/>
    <col min="750" max="754" width="8.53125" style="258" customWidth="1"/>
    <col min="755" max="755" width="2.86328125" style="258" customWidth="1"/>
    <col min="756" max="764" width="7.6640625" customWidth="1"/>
    <col min="765" max="765" width="3.86328125" customWidth="1"/>
    <col min="766" max="777" width="10.53125" style="404" customWidth="1"/>
    <col min="778" max="778" width="2.86328125" customWidth="1"/>
    <col min="779" max="779" width="10.53125" style="258" customWidth="1"/>
    <col min="780" max="796" width="8.53125" style="258" customWidth="1"/>
    <col min="797" max="797" width="2.86328125" customWidth="1"/>
    <col min="798" max="806" width="7.6640625" customWidth="1"/>
    <col min="807" max="807" width="2.86328125" customWidth="1"/>
    <col min="808" max="817" width="10.53125" style="404" customWidth="1"/>
    <col min="818" max="818" width="3.86328125" customWidth="1"/>
    <col min="819" max="829" width="10.53125" style="404" customWidth="1"/>
    <col min="830" max="830" width="3.86328125" customWidth="1"/>
    <col min="831" max="841" width="10.53125" style="404" customWidth="1"/>
    <col min="842" max="842" width="3.86328125" customWidth="1"/>
    <col min="843" max="854" width="10.53125" style="404" customWidth="1"/>
    <col min="855" max="855" width="3.86328125" customWidth="1"/>
    <col min="856" max="856" width="10.53125" style="404" customWidth="1"/>
    <col min="857" max="857" width="3.86328125" customWidth="1"/>
    <col min="858" max="862" width="8.53125" style="404" customWidth="1"/>
    <col min="863" max="863" width="3.86328125" customWidth="1"/>
    <col min="864" max="868" width="10.53125" style="404" customWidth="1"/>
    <col min="869" max="870" width="2.86328125" customWidth="1"/>
    <col min="871" max="887" width="8.53125" style="272" customWidth="1"/>
    <col min="888" max="888" width="3.86328125" customWidth="1"/>
    <col min="889" max="900" width="8.53125" style="272" customWidth="1"/>
    <col min="901" max="901" width="3.86328125" customWidth="1"/>
    <col min="902" max="912" width="8.53125" style="272" customWidth="1"/>
  </cols>
  <sheetData>
    <row r="1" spans="1:944" s="202" customFormat="1" ht="13.15" x14ac:dyDescent="0.35">
      <c r="A1" s="186"/>
      <c r="B1" s="200"/>
      <c r="C1" s="200">
        <v>1</v>
      </c>
      <c r="D1" s="200">
        <v>2</v>
      </c>
      <c r="E1" s="200">
        <v>3</v>
      </c>
      <c r="F1" s="200">
        <v>4</v>
      </c>
      <c r="G1" s="200">
        <v>5</v>
      </c>
      <c r="H1" s="200">
        <v>6</v>
      </c>
      <c r="I1" s="200">
        <v>7</v>
      </c>
      <c r="J1" s="200">
        <v>8</v>
      </c>
      <c r="K1" s="200">
        <v>9</v>
      </c>
      <c r="L1" s="200">
        <v>10</v>
      </c>
      <c r="M1" s="200">
        <v>11</v>
      </c>
      <c r="N1" s="200">
        <v>12</v>
      </c>
      <c r="O1" s="200">
        <v>13</v>
      </c>
      <c r="P1" s="200">
        <v>14</v>
      </c>
      <c r="Q1" s="200">
        <v>15</v>
      </c>
      <c r="R1" s="200">
        <v>16</v>
      </c>
      <c r="S1" s="200">
        <v>17</v>
      </c>
      <c r="T1" s="200">
        <v>18</v>
      </c>
      <c r="U1" s="200">
        <v>19</v>
      </c>
      <c r="V1" s="200">
        <v>20</v>
      </c>
      <c r="W1" s="200">
        <v>21</v>
      </c>
      <c r="X1" s="200">
        <v>22</v>
      </c>
      <c r="Y1" s="200">
        <v>23</v>
      </c>
      <c r="Z1" s="200">
        <v>24</v>
      </c>
      <c r="AA1" s="200">
        <v>25</v>
      </c>
      <c r="AB1" s="200">
        <v>26</v>
      </c>
      <c r="AC1" s="200">
        <v>27</v>
      </c>
      <c r="AD1" s="200">
        <v>28</v>
      </c>
      <c r="AE1" s="200">
        <v>29</v>
      </c>
      <c r="AF1" s="200">
        <v>30</v>
      </c>
      <c r="AG1" s="200">
        <v>31</v>
      </c>
      <c r="AH1" s="200">
        <v>32</v>
      </c>
      <c r="AI1" s="200">
        <v>33</v>
      </c>
      <c r="AJ1" s="200">
        <v>34</v>
      </c>
      <c r="AK1" s="200">
        <v>35</v>
      </c>
      <c r="AL1" s="200">
        <v>36</v>
      </c>
      <c r="AM1" s="200">
        <v>37</v>
      </c>
      <c r="AN1" s="200">
        <v>38</v>
      </c>
      <c r="AO1" s="200">
        <v>39</v>
      </c>
      <c r="AP1" s="200">
        <v>40</v>
      </c>
      <c r="AQ1" s="200">
        <v>41</v>
      </c>
      <c r="AR1" s="200">
        <v>42</v>
      </c>
      <c r="AS1" s="200">
        <v>43</v>
      </c>
      <c r="AT1" s="200">
        <v>44</v>
      </c>
      <c r="AU1" s="200">
        <v>45</v>
      </c>
      <c r="AV1" s="200">
        <v>46</v>
      </c>
      <c r="AW1" s="200">
        <v>47</v>
      </c>
      <c r="AX1" s="200">
        <v>48</v>
      </c>
      <c r="AY1" s="200">
        <v>49</v>
      </c>
      <c r="AZ1" s="200">
        <v>50</v>
      </c>
      <c r="BA1" s="200">
        <v>51</v>
      </c>
      <c r="BB1" s="200">
        <v>52</v>
      </c>
      <c r="BC1" s="200">
        <v>53</v>
      </c>
      <c r="BD1" s="200">
        <v>54</v>
      </c>
      <c r="BE1" s="200">
        <v>55</v>
      </c>
      <c r="BF1" s="200">
        <v>56</v>
      </c>
      <c r="BG1" s="200">
        <v>57</v>
      </c>
      <c r="BH1" s="200">
        <v>58</v>
      </c>
      <c r="BI1" s="200">
        <v>59</v>
      </c>
      <c r="BJ1" s="200">
        <v>60</v>
      </c>
      <c r="BK1" s="200">
        <v>61</v>
      </c>
      <c r="BL1" s="200">
        <v>62</v>
      </c>
      <c r="BM1" s="200">
        <v>63</v>
      </c>
      <c r="BN1" s="200">
        <v>64</v>
      </c>
      <c r="BO1" s="200">
        <v>65</v>
      </c>
      <c r="BP1" s="200">
        <v>66</v>
      </c>
      <c r="BQ1" s="200">
        <v>67</v>
      </c>
      <c r="BR1" s="200">
        <v>68</v>
      </c>
      <c r="BS1" s="200">
        <v>69</v>
      </c>
      <c r="BT1" s="200">
        <v>70</v>
      </c>
      <c r="BU1" s="200">
        <v>71</v>
      </c>
      <c r="BV1" s="200">
        <v>72</v>
      </c>
      <c r="BW1" s="200">
        <v>73</v>
      </c>
      <c r="BX1" s="200">
        <v>74</v>
      </c>
      <c r="BY1" s="200">
        <v>75</v>
      </c>
      <c r="BZ1" s="200">
        <v>76</v>
      </c>
      <c r="CA1" s="200">
        <v>77</v>
      </c>
      <c r="CB1" s="200">
        <v>78</v>
      </c>
      <c r="CC1" s="200">
        <v>79</v>
      </c>
      <c r="CD1" s="200">
        <v>80</v>
      </c>
      <c r="CE1" s="200">
        <v>81</v>
      </c>
      <c r="CF1" s="200">
        <v>82</v>
      </c>
      <c r="CG1" s="200">
        <v>83</v>
      </c>
      <c r="CH1" s="200">
        <v>84</v>
      </c>
      <c r="CI1" s="200">
        <v>85</v>
      </c>
      <c r="CJ1" s="200">
        <v>86</v>
      </c>
      <c r="CK1" s="200">
        <v>87</v>
      </c>
      <c r="CL1" s="200">
        <v>88</v>
      </c>
      <c r="CM1" s="200">
        <v>89</v>
      </c>
      <c r="CN1" s="200">
        <v>90</v>
      </c>
      <c r="CO1" s="200">
        <v>91</v>
      </c>
      <c r="CP1" s="200">
        <v>92</v>
      </c>
      <c r="CQ1" s="200">
        <v>93</v>
      </c>
      <c r="CR1" s="200">
        <v>94</v>
      </c>
      <c r="CS1" s="200">
        <v>95</v>
      </c>
      <c r="CT1" s="200">
        <v>96</v>
      </c>
      <c r="CU1" s="200">
        <v>97</v>
      </c>
      <c r="CV1" s="200">
        <v>98</v>
      </c>
      <c r="CW1" s="200">
        <v>99</v>
      </c>
      <c r="CX1" s="200">
        <v>100</v>
      </c>
      <c r="CY1" s="200">
        <v>101</v>
      </c>
      <c r="CZ1" s="200">
        <v>102</v>
      </c>
      <c r="DA1" s="200">
        <v>103</v>
      </c>
      <c r="DB1" s="200">
        <v>104</v>
      </c>
      <c r="DC1" s="200">
        <v>105</v>
      </c>
      <c r="DD1" s="200">
        <v>106</v>
      </c>
      <c r="DE1" s="200">
        <v>107</v>
      </c>
      <c r="DF1" s="200">
        <v>108</v>
      </c>
      <c r="DG1" s="200">
        <v>109</v>
      </c>
      <c r="DH1" s="200">
        <v>110</v>
      </c>
      <c r="DI1" s="200">
        <v>111</v>
      </c>
      <c r="DJ1" s="200">
        <v>112</v>
      </c>
      <c r="DK1" s="200">
        <v>113</v>
      </c>
      <c r="DL1" s="200">
        <v>114</v>
      </c>
      <c r="DM1" s="200">
        <v>115</v>
      </c>
      <c r="DN1" s="200">
        <v>116</v>
      </c>
      <c r="DO1" s="200">
        <v>117</v>
      </c>
      <c r="DP1" s="200">
        <v>118</v>
      </c>
      <c r="DQ1" s="200">
        <v>119</v>
      </c>
      <c r="DR1" s="200">
        <v>120</v>
      </c>
      <c r="DS1" s="200">
        <v>121</v>
      </c>
      <c r="DT1" s="200">
        <v>122</v>
      </c>
      <c r="DU1" s="200">
        <v>123</v>
      </c>
      <c r="DV1" s="200">
        <v>124</v>
      </c>
      <c r="DW1" s="200">
        <v>125</v>
      </c>
      <c r="DX1" s="200">
        <v>126</v>
      </c>
      <c r="DY1" s="200">
        <v>127</v>
      </c>
      <c r="DZ1" s="200">
        <v>128</v>
      </c>
      <c r="EA1" s="200">
        <v>129</v>
      </c>
      <c r="EB1" s="200">
        <v>130</v>
      </c>
      <c r="EC1" s="200">
        <v>131</v>
      </c>
      <c r="ED1" s="200">
        <v>132</v>
      </c>
      <c r="EE1" s="200">
        <v>133</v>
      </c>
      <c r="EF1" s="200">
        <v>134</v>
      </c>
      <c r="EG1" s="200">
        <v>135</v>
      </c>
      <c r="EH1" s="200">
        <v>136</v>
      </c>
      <c r="EI1" s="200">
        <v>137</v>
      </c>
      <c r="EJ1" s="200">
        <v>138</v>
      </c>
      <c r="EK1" s="200">
        <v>139</v>
      </c>
      <c r="EL1" s="200">
        <v>140</v>
      </c>
      <c r="EM1" s="200">
        <v>141</v>
      </c>
      <c r="EN1" s="200">
        <v>142</v>
      </c>
      <c r="EO1" s="200">
        <v>143</v>
      </c>
      <c r="EP1" s="200">
        <v>144</v>
      </c>
      <c r="EQ1" s="200">
        <v>145</v>
      </c>
      <c r="ER1" s="200">
        <v>146</v>
      </c>
      <c r="ES1" s="200">
        <v>147</v>
      </c>
      <c r="ET1" s="200">
        <v>148</v>
      </c>
      <c r="EU1" s="200">
        <v>149</v>
      </c>
      <c r="EV1" s="200">
        <v>150</v>
      </c>
      <c r="EW1" s="200">
        <v>151</v>
      </c>
      <c r="EX1" s="200">
        <v>152</v>
      </c>
      <c r="EY1" s="200">
        <v>153</v>
      </c>
      <c r="EZ1" s="200">
        <v>154</v>
      </c>
      <c r="FA1" s="200">
        <v>155</v>
      </c>
      <c r="FB1" s="200">
        <v>156</v>
      </c>
      <c r="FC1" s="200">
        <v>157</v>
      </c>
      <c r="FD1" s="200">
        <v>158</v>
      </c>
      <c r="FE1" s="200">
        <v>159</v>
      </c>
      <c r="FF1" s="200">
        <v>160</v>
      </c>
      <c r="FG1" s="200">
        <v>161</v>
      </c>
      <c r="FH1" s="200">
        <v>162</v>
      </c>
      <c r="FI1" s="200">
        <v>163</v>
      </c>
      <c r="FJ1" s="200">
        <v>164</v>
      </c>
      <c r="FK1" s="200">
        <v>165</v>
      </c>
      <c r="FL1" s="200">
        <v>166</v>
      </c>
      <c r="FM1" s="200">
        <v>167</v>
      </c>
      <c r="FN1" s="200">
        <v>168</v>
      </c>
      <c r="FO1" s="200">
        <v>169</v>
      </c>
      <c r="FP1" s="200">
        <v>170</v>
      </c>
      <c r="FQ1" s="200">
        <v>171</v>
      </c>
      <c r="FR1" s="200">
        <v>172</v>
      </c>
      <c r="FS1" s="200">
        <v>173</v>
      </c>
      <c r="FT1" s="200">
        <v>174</v>
      </c>
      <c r="FU1" s="200">
        <v>175</v>
      </c>
      <c r="FV1" s="200">
        <v>176</v>
      </c>
      <c r="FW1" s="200">
        <v>177</v>
      </c>
      <c r="FX1" s="200">
        <v>178</v>
      </c>
      <c r="FY1" s="200">
        <v>179</v>
      </c>
      <c r="FZ1" s="200">
        <v>180</v>
      </c>
      <c r="GA1" s="200">
        <v>181</v>
      </c>
      <c r="GB1" s="200">
        <v>182</v>
      </c>
      <c r="GC1" s="200">
        <v>183</v>
      </c>
      <c r="GD1" s="200">
        <v>184</v>
      </c>
      <c r="GE1" s="200">
        <v>185</v>
      </c>
      <c r="GF1" s="200">
        <v>186</v>
      </c>
      <c r="GG1" s="200">
        <v>187</v>
      </c>
      <c r="GH1" s="200">
        <v>188</v>
      </c>
      <c r="GI1" s="200">
        <v>189</v>
      </c>
      <c r="GJ1" s="200">
        <v>190</v>
      </c>
      <c r="GK1" s="200">
        <v>191</v>
      </c>
      <c r="GL1" s="200">
        <v>192</v>
      </c>
      <c r="GM1" s="200">
        <v>193</v>
      </c>
      <c r="GN1" s="200">
        <v>194</v>
      </c>
      <c r="GO1" s="200">
        <v>195</v>
      </c>
      <c r="GP1" s="200">
        <v>196</v>
      </c>
      <c r="GQ1" s="200">
        <v>197</v>
      </c>
      <c r="GR1" s="200">
        <v>198</v>
      </c>
      <c r="GS1" s="200">
        <v>199</v>
      </c>
      <c r="GT1" s="200">
        <v>200</v>
      </c>
      <c r="GU1" s="200">
        <v>201</v>
      </c>
      <c r="GV1" s="200">
        <v>202</v>
      </c>
      <c r="GW1" s="200"/>
      <c r="GX1" s="200"/>
      <c r="GY1" s="200"/>
      <c r="GZ1" s="200">
        <v>206</v>
      </c>
      <c r="HA1" s="200">
        <v>207</v>
      </c>
      <c r="HB1" s="200">
        <v>208</v>
      </c>
      <c r="HC1" s="200">
        <v>209</v>
      </c>
      <c r="HD1" s="200">
        <v>210</v>
      </c>
      <c r="HE1" s="200">
        <v>211</v>
      </c>
      <c r="HF1" s="200">
        <v>212</v>
      </c>
      <c r="HG1" s="200">
        <v>213</v>
      </c>
      <c r="HH1" s="200">
        <v>214</v>
      </c>
      <c r="HI1" s="200">
        <v>215</v>
      </c>
      <c r="HJ1" s="200">
        <v>216</v>
      </c>
      <c r="HK1" s="200">
        <v>217</v>
      </c>
      <c r="HL1" s="200">
        <v>218</v>
      </c>
      <c r="HM1" s="200">
        <v>219</v>
      </c>
      <c r="HN1" s="200">
        <v>220</v>
      </c>
      <c r="HO1" s="200">
        <v>221</v>
      </c>
      <c r="HP1" s="200">
        <v>222</v>
      </c>
      <c r="HQ1" s="200">
        <v>223</v>
      </c>
      <c r="HR1" s="200">
        <v>224</v>
      </c>
      <c r="HS1" s="200">
        <v>225</v>
      </c>
      <c r="HT1" s="200">
        <v>226</v>
      </c>
      <c r="HU1" s="200">
        <v>227</v>
      </c>
      <c r="HV1" s="200">
        <v>228</v>
      </c>
      <c r="HW1" s="200">
        <v>229</v>
      </c>
      <c r="HX1" s="200">
        <v>230</v>
      </c>
      <c r="HY1" s="200">
        <v>231</v>
      </c>
      <c r="HZ1" s="200">
        <v>232</v>
      </c>
      <c r="IA1" s="200">
        <v>233</v>
      </c>
      <c r="IB1" s="200">
        <v>234</v>
      </c>
      <c r="IC1" s="200">
        <v>235</v>
      </c>
      <c r="ID1" s="200">
        <v>236</v>
      </c>
      <c r="IE1" s="200">
        <v>237</v>
      </c>
      <c r="IF1" s="200">
        <v>238</v>
      </c>
      <c r="IG1" s="200">
        <v>239</v>
      </c>
      <c r="IH1" s="200">
        <v>240</v>
      </c>
      <c r="II1" s="200">
        <v>241</v>
      </c>
      <c r="IJ1" s="200">
        <v>242</v>
      </c>
      <c r="IK1" s="200">
        <v>243</v>
      </c>
      <c r="IL1" s="200">
        <v>244</v>
      </c>
      <c r="IM1" s="200">
        <v>245</v>
      </c>
      <c r="IN1" s="200">
        <v>246</v>
      </c>
      <c r="IO1" s="200">
        <v>247</v>
      </c>
      <c r="IP1" s="200">
        <v>248</v>
      </c>
      <c r="IQ1" s="200">
        <v>249</v>
      </c>
      <c r="IR1" s="200">
        <v>250</v>
      </c>
      <c r="IS1" s="200">
        <v>251</v>
      </c>
      <c r="IT1" s="200">
        <v>252</v>
      </c>
      <c r="IU1" s="200">
        <v>253</v>
      </c>
      <c r="IV1" s="200">
        <v>254</v>
      </c>
      <c r="IW1" s="200">
        <v>255</v>
      </c>
      <c r="IX1" s="200">
        <v>256</v>
      </c>
      <c r="IY1" s="200">
        <v>257</v>
      </c>
      <c r="IZ1" s="200">
        <v>258</v>
      </c>
      <c r="JA1" s="200">
        <v>259</v>
      </c>
      <c r="JB1" s="200">
        <v>260</v>
      </c>
      <c r="JC1" s="200">
        <v>261</v>
      </c>
      <c r="JD1" s="200">
        <v>262</v>
      </c>
      <c r="JE1" s="200">
        <v>263</v>
      </c>
      <c r="JF1" s="200">
        <v>264</v>
      </c>
      <c r="JG1" s="200">
        <v>265</v>
      </c>
      <c r="JH1" s="200">
        <v>266</v>
      </c>
      <c r="JI1" s="200">
        <v>267</v>
      </c>
      <c r="JJ1" s="200">
        <v>268</v>
      </c>
      <c r="JK1" s="200">
        <v>269</v>
      </c>
      <c r="JL1" s="200">
        <v>270</v>
      </c>
      <c r="JM1" s="200">
        <v>271</v>
      </c>
      <c r="JN1" s="200">
        <v>272</v>
      </c>
      <c r="JO1" s="200">
        <v>273</v>
      </c>
      <c r="JP1" s="200">
        <v>274</v>
      </c>
      <c r="JQ1" s="200">
        <v>275</v>
      </c>
      <c r="JR1" s="200">
        <v>276</v>
      </c>
      <c r="JS1" s="200">
        <v>277</v>
      </c>
      <c r="JT1" s="200">
        <v>278</v>
      </c>
      <c r="JU1" s="200">
        <v>279</v>
      </c>
      <c r="JV1" s="200">
        <v>280</v>
      </c>
      <c r="JW1" s="200">
        <v>281</v>
      </c>
      <c r="JX1" s="200">
        <v>282</v>
      </c>
      <c r="JY1" s="200">
        <v>283</v>
      </c>
      <c r="JZ1" s="200">
        <v>284</v>
      </c>
      <c r="KA1" s="200">
        <v>285</v>
      </c>
      <c r="KB1" s="200">
        <v>286</v>
      </c>
      <c r="KC1" s="200">
        <v>287</v>
      </c>
      <c r="KD1" s="200">
        <v>288</v>
      </c>
      <c r="KE1" s="200">
        <v>289</v>
      </c>
      <c r="KF1" s="200">
        <v>290</v>
      </c>
      <c r="KG1" s="200">
        <v>291</v>
      </c>
      <c r="KH1" s="200">
        <v>292</v>
      </c>
      <c r="KI1" s="200">
        <v>293</v>
      </c>
      <c r="KJ1" s="200">
        <v>294</v>
      </c>
      <c r="KK1" s="200">
        <v>295</v>
      </c>
      <c r="KL1" s="200">
        <v>296</v>
      </c>
      <c r="KM1" s="200">
        <v>297</v>
      </c>
      <c r="KN1" s="200">
        <v>298</v>
      </c>
      <c r="KO1" s="200">
        <v>299</v>
      </c>
      <c r="KP1" s="200">
        <v>300</v>
      </c>
      <c r="KQ1" s="200">
        <v>301</v>
      </c>
      <c r="KR1" s="200">
        <v>302</v>
      </c>
      <c r="KS1" s="200">
        <v>303</v>
      </c>
      <c r="KT1" s="200">
        <v>304</v>
      </c>
      <c r="KU1" s="200">
        <v>305</v>
      </c>
      <c r="KV1" s="200">
        <v>306</v>
      </c>
      <c r="KW1" s="200">
        <v>307</v>
      </c>
      <c r="KX1" s="200">
        <v>308</v>
      </c>
      <c r="KY1" s="200">
        <v>309</v>
      </c>
      <c r="KZ1" s="200">
        <v>310</v>
      </c>
      <c r="LA1" s="200">
        <v>311</v>
      </c>
      <c r="LB1" s="200">
        <v>312</v>
      </c>
      <c r="LC1" s="200">
        <v>313</v>
      </c>
      <c r="LD1" s="200">
        <v>314</v>
      </c>
      <c r="LE1" s="200">
        <v>315</v>
      </c>
      <c r="LF1" s="200">
        <v>316</v>
      </c>
      <c r="LG1" s="200">
        <v>317</v>
      </c>
      <c r="LH1" s="200">
        <v>318</v>
      </c>
      <c r="LI1" s="200">
        <v>319</v>
      </c>
      <c r="LJ1" s="200">
        <v>320</v>
      </c>
      <c r="LK1" s="200">
        <v>321</v>
      </c>
      <c r="LL1" s="200">
        <v>322</v>
      </c>
      <c r="LM1" s="200">
        <v>323</v>
      </c>
      <c r="LN1" s="200">
        <v>324</v>
      </c>
      <c r="LO1" s="200">
        <v>325</v>
      </c>
      <c r="LP1" s="200">
        <v>326</v>
      </c>
      <c r="LQ1" s="200">
        <v>327</v>
      </c>
      <c r="LR1" s="200">
        <v>328</v>
      </c>
      <c r="LS1" s="200">
        <v>329</v>
      </c>
      <c r="LT1" s="200">
        <v>330</v>
      </c>
      <c r="LU1" s="200">
        <v>331</v>
      </c>
      <c r="LV1" s="200">
        <v>332</v>
      </c>
      <c r="LW1" s="200">
        <v>333</v>
      </c>
      <c r="LX1" s="200">
        <v>334</v>
      </c>
      <c r="LY1" s="200">
        <v>335</v>
      </c>
      <c r="LZ1" s="200">
        <v>336</v>
      </c>
      <c r="MA1" s="200">
        <v>337</v>
      </c>
      <c r="MB1" s="200">
        <v>338</v>
      </c>
      <c r="MC1" s="200">
        <v>339</v>
      </c>
      <c r="MD1" s="200">
        <v>340</v>
      </c>
      <c r="ME1" s="200">
        <v>341</v>
      </c>
      <c r="MF1" s="200">
        <v>342</v>
      </c>
      <c r="MG1" s="200">
        <v>343</v>
      </c>
      <c r="MH1" s="200">
        <v>344</v>
      </c>
      <c r="MI1" s="200">
        <v>345</v>
      </c>
      <c r="MJ1" s="200">
        <v>346</v>
      </c>
      <c r="MK1" s="200">
        <v>347</v>
      </c>
      <c r="ML1" s="200">
        <v>348</v>
      </c>
      <c r="MM1" s="200">
        <v>349</v>
      </c>
      <c r="MN1" s="200">
        <v>350</v>
      </c>
      <c r="MO1" s="200">
        <v>351</v>
      </c>
      <c r="MP1" s="200">
        <v>352</v>
      </c>
      <c r="MQ1" s="200">
        <v>353</v>
      </c>
      <c r="MR1" s="200">
        <v>354</v>
      </c>
      <c r="MS1" s="200">
        <v>355</v>
      </c>
      <c r="MT1" s="200">
        <v>356</v>
      </c>
      <c r="MU1" s="200">
        <v>357</v>
      </c>
      <c r="MV1" s="200">
        <v>358</v>
      </c>
      <c r="MW1" s="200">
        <v>359</v>
      </c>
      <c r="MX1" s="200">
        <v>360</v>
      </c>
      <c r="MY1" s="200">
        <v>361</v>
      </c>
      <c r="MZ1" s="200">
        <v>362</v>
      </c>
      <c r="NA1" s="200">
        <v>363</v>
      </c>
      <c r="NB1" s="200">
        <v>364</v>
      </c>
      <c r="NC1" s="200">
        <v>365</v>
      </c>
      <c r="ND1" s="200">
        <v>366</v>
      </c>
      <c r="NE1" s="200">
        <v>367</v>
      </c>
      <c r="NF1" s="200">
        <v>368</v>
      </c>
      <c r="NG1" s="200">
        <v>369</v>
      </c>
      <c r="NH1" s="200">
        <v>370</v>
      </c>
      <c r="NI1" s="200">
        <v>371</v>
      </c>
      <c r="NJ1" s="200">
        <v>372</v>
      </c>
      <c r="NK1" s="200">
        <v>373</v>
      </c>
      <c r="NL1" s="200">
        <v>374</v>
      </c>
      <c r="NM1" s="200">
        <v>375</v>
      </c>
      <c r="NN1" s="200">
        <v>376</v>
      </c>
      <c r="NO1" s="200">
        <v>377</v>
      </c>
      <c r="NP1" s="200">
        <v>378</v>
      </c>
      <c r="NQ1" s="200">
        <v>379</v>
      </c>
      <c r="NR1" s="200">
        <v>380</v>
      </c>
      <c r="NS1" s="200">
        <v>381</v>
      </c>
      <c r="NT1" s="200">
        <v>382</v>
      </c>
      <c r="NU1" s="200">
        <v>383</v>
      </c>
      <c r="NV1" s="200">
        <v>384</v>
      </c>
      <c r="NW1" s="200">
        <v>385</v>
      </c>
      <c r="NX1" s="200">
        <v>386</v>
      </c>
      <c r="NY1" s="200">
        <v>387</v>
      </c>
      <c r="NZ1" s="200">
        <v>388</v>
      </c>
      <c r="OA1" s="200">
        <v>389</v>
      </c>
      <c r="OB1" s="200">
        <v>390</v>
      </c>
      <c r="OC1" s="200">
        <v>391</v>
      </c>
      <c r="OD1" s="200">
        <v>392</v>
      </c>
      <c r="OE1" s="200">
        <v>393</v>
      </c>
      <c r="OF1" s="200">
        <v>394</v>
      </c>
      <c r="OG1" s="200">
        <v>395</v>
      </c>
      <c r="OH1" s="200">
        <v>396</v>
      </c>
      <c r="OI1" s="200">
        <v>397</v>
      </c>
      <c r="OJ1" s="200">
        <v>398</v>
      </c>
      <c r="OK1" s="200">
        <v>399</v>
      </c>
      <c r="OL1" s="200">
        <v>400</v>
      </c>
      <c r="OM1" s="200">
        <v>401</v>
      </c>
      <c r="ON1" s="200">
        <v>402</v>
      </c>
      <c r="OO1" s="200">
        <v>403</v>
      </c>
      <c r="OP1" s="200">
        <v>404</v>
      </c>
      <c r="OQ1" s="200">
        <v>405</v>
      </c>
      <c r="OR1" s="200">
        <v>406</v>
      </c>
      <c r="OS1" s="200">
        <v>407</v>
      </c>
      <c r="OT1" s="200">
        <v>408</v>
      </c>
      <c r="OU1" s="200">
        <v>409</v>
      </c>
      <c r="OV1" s="200">
        <v>410</v>
      </c>
      <c r="OW1" s="200">
        <v>411</v>
      </c>
      <c r="OX1" s="200">
        <v>412</v>
      </c>
      <c r="OY1" s="200">
        <v>413</v>
      </c>
      <c r="OZ1" s="200">
        <v>414</v>
      </c>
      <c r="PA1" s="200">
        <v>415</v>
      </c>
      <c r="PB1" s="200">
        <v>416</v>
      </c>
      <c r="PC1" s="200">
        <v>417</v>
      </c>
      <c r="PD1" s="200">
        <v>418</v>
      </c>
      <c r="PE1" s="200">
        <v>419</v>
      </c>
      <c r="PF1" s="200">
        <v>420</v>
      </c>
      <c r="PG1" s="200">
        <v>421</v>
      </c>
      <c r="PH1" s="200">
        <v>422</v>
      </c>
      <c r="PI1" s="200">
        <v>423</v>
      </c>
      <c r="PJ1" s="200">
        <v>424</v>
      </c>
      <c r="PK1" s="200">
        <v>425</v>
      </c>
      <c r="PL1" s="200">
        <v>426</v>
      </c>
      <c r="PM1" s="200">
        <v>427</v>
      </c>
      <c r="PN1" s="200">
        <v>428</v>
      </c>
      <c r="PO1" s="200">
        <v>429</v>
      </c>
      <c r="PP1" s="200">
        <v>430</v>
      </c>
      <c r="PQ1" s="200">
        <v>431</v>
      </c>
      <c r="PR1" s="200">
        <v>432</v>
      </c>
      <c r="PS1" s="200">
        <v>433</v>
      </c>
      <c r="PT1" s="200">
        <v>434</v>
      </c>
      <c r="PU1" s="200">
        <v>435</v>
      </c>
      <c r="PV1" s="200">
        <v>436</v>
      </c>
      <c r="PW1" s="200">
        <v>437</v>
      </c>
      <c r="PX1" s="200">
        <v>438</v>
      </c>
      <c r="PY1" s="200">
        <v>439</v>
      </c>
      <c r="PZ1" s="200">
        <v>440</v>
      </c>
      <c r="QA1" s="200">
        <v>441</v>
      </c>
      <c r="QB1" s="200">
        <v>442</v>
      </c>
      <c r="QC1" s="200">
        <v>443</v>
      </c>
      <c r="QD1" s="200">
        <v>444</v>
      </c>
      <c r="QE1" s="200">
        <v>445</v>
      </c>
      <c r="QF1" s="200">
        <v>446</v>
      </c>
      <c r="QG1" s="200">
        <v>447</v>
      </c>
      <c r="QH1" s="200">
        <v>448</v>
      </c>
      <c r="QI1" s="200">
        <v>449</v>
      </c>
      <c r="QJ1" s="200">
        <v>450</v>
      </c>
      <c r="QK1" s="200">
        <v>451</v>
      </c>
      <c r="QL1" s="200">
        <v>452</v>
      </c>
      <c r="QM1" s="200">
        <v>453</v>
      </c>
      <c r="QN1" s="200">
        <v>454</v>
      </c>
      <c r="QO1" s="200">
        <v>455</v>
      </c>
      <c r="QP1" s="200">
        <v>456</v>
      </c>
      <c r="QQ1" s="200">
        <v>457</v>
      </c>
      <c r="QR1" s="200">
        <v>458</v>
      </c>
      <c r="QS1" s="200">
        <v>459</v>
      </c>
      <c r="QT1" s="200">
        <v>460</v>
      </c>
      <c r="QU1" s="200">
        <v>461</v>
      </c>
      <c r="QV1" s="200">
        <v>462</v>
      </c>
      <c r="QW1" s="200">
        <v>463</v>
      </c>
      <c r="QX1" s="200">
        <v>464</v>
      </c>
      <c r="QY1" s="200">
        <v>465</v>
      </c>
      <c r="QZ1" s="200">
        <v>466</v>
      </c>
      <c r="RA1" s="200">
        <v>467</v>
      </c>
      <c r="RB1" s="200">
        <v>468</v>
      </c>
      <c r="RC1" s="200">
        <v>469</v>
      </c>
      <c r="RD1" s="200">
        <v>470</v>
      </c>
      <c r="RE1" s="200">
        <v>471</v>
      </c>
      <c r="RF1" s="200">
        <v>472</v>
      </c>
      <c r="RG1" s="200">
        <v>473</v>
      </c>
      <c r="RH1" s="200">
        <v>474</v>
      </c>
      <c r="RI1" s="200">
        <v>475</v>
      </c>
      <c r="RJ1" s="200">
        <v>476</v>
      </c>
      <c r="RK1" s="200">
        <v>477</v>
      </c>
      <c r="RL1" s="200">
        <v>478</v>
      </c>
      <c r="RM1" s="200">
        <v>479</v>
      </c>
      <c r="RN1" s="200">
        <v>480</v>
      </c>
      <c r="RO1" s="200">
        <v>481</v>
      </c>
      <c r="RP1" s="200">
        <v>482</v>
      </c>
      <c r="RQ1" s="200">
        <v>483</v>
      </c>
      <c r="RR1" s="200">
        <v>484</v>
      </c>
      <c r="RS1" s="200">
        <v>485</v>
      </c>
      <c r="RT1" s="200">
        <v>486</v>
      </c>
      <c r="RU1" s="200">
        <v>487</v>
      </c>
      <c r="RV1" s="200">
        <v>488</v>
      </c>
      <c r="RW1" s="200">
        <v>489</v>
      </c>
      <c r="RX1" s="200">
        <v>490</v>
      </c>
      <c r="RY1" s="200">
        <v>491</v>
      </c>
      <c r="RZ1" s="200">
        <v>492</v>
      </c>
      <c r="SA1" s="200">
        <v>493</v>
      </c>
      <c r="SB1" s="200">
        <v>494</v>
      </c>
      <c r="SC1" s="200">
        <v>495</v>
      </c>
      <c r="SD1" s="200">
        <v>496</v>
      </c>
      <c r="SE1" s="200">
        <v>497</v>
      </c>
      <c r="SF1" s="200">
        <v>498</v>
      </c>
      <c r="SG1" s="200">
        <v>499</v>
      </c>
      <c r="SH1" s="200">
        <v>500</v>
      </c>
      <c r="SI1" s="200">
        <v>501</v>
      </c>
      <c r="SJ1" s="200">
        <v>502</v>
      </c>
      <c r="SK1" s="200">
        <v>503</v>
      </c>
      <c r="SL1" s="200">
        <v>504</v>
      </c>
      <c r="SM1" s="200">
        <v>505</v>
      </c>
      <c r="SN1" s="200">
        <v>506</v>
      </c>
      <c r="SO1" s="200">
        <v>507</v>
      </c>
      <c r="SP1" s="200">
        <v>508</v>
      </c>
      <c r="SQ1" s="200">
        <v>509</v>
      </c>
      <c r="SR1" s="200">
        <v>510</v>
      </c>
      <c r="SS1" s="200">
        <v>511</v>
      </c>
      <c r="ST1" s="200">
        <v>512</v>
      </c>
      <c r="SU1" s="200">
        <v>513</v>
      </c>
      <c r="SV1" s="200">
        <v>514</v>
      </c>
      <c r="SW1" s="200">
        <v>515</v>
      </c>
      <c r="SX1" s="200">
        <v>516</v>
      </c>
      <c r="SY1" s="200">
        <v>517</v>
      </c>
      <c r="SZ1" s="200">
        <v>518</v>
      </c>
      <c r="TA1" s="200">
        <v>519</v>
      </c>
      <c r="TB1" s="200">
        <v>520</v>
      </c>
      <c r="TC1" s="200">
        <v>521</v>
      </c>
      <c r="TD1" s="200">
        <v>522</v>
      </c>
      <c r="TE1" s="200">
        <v>523</v>
      </c>
      <c r="TF1" s="200">
        <v>524</v>
      </c>
      <c r="TG1" s="200">
        <v>525</v>
      </c>
      <c r="TH1" s="200">
        <v>526</v>
      </c>
      <c r="TI1" s="200">
        <v>527</v>
      </c>
      <c r="TJ1" s="200">
        <v>528</v>
      </c>
      <c r="TK1" s="200">
        <v>529</v>
      </c>
      <c r="TL1" s="200">
        <v>530</v>
      </c>
      <c r="TM1" s="200">
        <v>531</v>
      </c>
      <c r="TN1" s="200">
        <v>532</v>
      </c>
      <c r="TO1" s="200">
        <v>533</v>
      </c>
      <c r="TP1" s="200">
        <v>534</v>
      </c>
      <c r="TQ1" s="200">
        <v>535</v>
      </c>
      <c r="TR1" s="200">
        <v>536</v>
      </c>
      <c r="TS1" s="200">
        <v>537</v>
      </c>
      <c r="TT1" s="200">
        <v>538</v>
      </c>
      <c r="TU1" s="200">
        <v>539</v>
      </c>
      <c r="TV1" s="200">
        <v>540</v>
      </c>
      <c r="TW1" s="200">
        <v>541</v>
      </c>
      <c r="TX1" s="200">
        <v>542</v>
      </c>
      <c r="TY1" s="200">
        <v>543</v>
      </c>
      <c r="TZ1" s="200">
        <v>544</v>
      </c>
      <c r="UA1" s="200">
        <v>545</v>
      </c>
      <c r="UB1" s="200">
        <v>546</v>
      </c>
      <c r="UC1" s="200">
        <v>547</v>
      </c>
      <c r="UD1" s="200">
        <v>548</v>
      </c>
      <c r="UE1" s="200">
        <v>549</v>
      </c>
      <c r="UF1" s="200">
        <v>550</v>
      </c>
      <c r="UG1" s="200">
        <v>551</v>
      </c>
      <c r="UH1" s="200">
        <v>552</v>
      </c>
      <c r="UI1" s="200">
        <v>553</v>
      </c>
      <c r="UJ1" s="200">
        <v>554</v>
      </c>
      <c r="UK1" s="200">
        <v>555</v>
      </c>
      <c r="UL1" s="200">
        <v>556</v>
      </c>
      <c r="UM1" s="200">
        <v>557</v>
      </c>
      <c r="UN1" s="200">
        <v>558</v>
      </c>
      <c r="UO1" s="200">
        <v>559</v>
      </c>
      <c r="UP1" s="200">
        <v>560</v>
      </c>
      <c r="UQ1" s="200">
        <v>561</v>
      </c>
      <c r="UR1" s="200">
        <v>562</v>
      </c>
      <c r="US1" s="200">
        <v>563</v>
      </c>
      <c r="UT1" s="200">
        <v>564</v>
      </c>
      <c r="UU1" s="200">
        <v>565</v>
      </c>
      <c r="UV1" s="200">
        <v>566</v>
      </c>
      <c r="UW1" s="200">
        <v>567</v>
      </c>
      <c r="UX1" s="200">
        <v>568</v>
      </c>
      <c r="UY1" s="200">
        <v>569</v>
      </c>
      <c r="UZ1" s="200">
        <v>570</v>
      </c>
      <c r="VA1" s="200">
        <v>571</v>
      </c>
      <c r="VB1" s="200">
        <v>572</v>
      </c>
      <c r="VC1" s="200">
        <v>573</v>
      </c>
      <c r="VD1" s="200">
        <v>574</v>
      </c>
      <c r="VE1" s="200">
        <v>575</v>
      </c>
      <c r="VF1" s="200">
        <v>576</v>
      </c>
      <c r="VG1" s="200">
        <v>577</v>
      </c>
      <c r="VH1" s="200">
        <v>578</v>
      </c>
      <c r="VI1" s="200">
        <v>579</v>
      </c>
      <c r="VJ1" s="200">
        <v>580</v>
      </c>
      <c r="VK1" s="200">
        <v>581</v>
      </c>
      <c r="VL1" s="200">
        <v>582</v>
      </c>
      <c r="VM1" s="200">
        <v>583</v>
      </c>
      <c r="VN1" s="200">
        <v>584</v>
      </c>
      <c r="VO1" s="200">
        <v>585</v>
      </c>
      <c r="VP1" s="200">
        <v>586</v>
      </c>
      <c r="VQ1" s="200">
        <v>587</v>
      </c>
      <c r="VR1" s="200">
        <v>588</v>
      </c>
      <c r="VS1" s="200">
        <v>589</v>
      </c>
      <c r="VT1" s="200">
        <v>590</v>
      </c>
      <c r="VU1" s="200">
        <v>591</v>
      </c>
      <c r="VV1" s="200">
        <v>592</v>
      </c>
      <c r="VW1" s="200">
        <v>593</v>
      </c>
      <c r="VX1" s="200">
        <v>594</v>
      </c>
      <c r="VY1" s="200">
        <v>595</v>
      </c>
      <c r="VZ1" s="200">
        <v>596</v>
      </c>
      <c r="WA1" s="200">
        <v>597</v>
      </c>
      <c r="WB1" s="200">
        <v>598</v>
      </c>
      <c r="WC1" s="200">
        <v>599</v>
      </c>
      <c r="WD1" s="200">
        <v>600</v>
      </c>
      <c r="WE1" s="200">
        <v>601</v>
      </c>
      <c r="WF1" s="200">
        <v>602</v>
      </c>
      <c r="WG1" s="200">
        <v>603</v>
      </c>
      <c r="WH1" s="200">
        <v>604</v>
      </c>
      <c r="WI1" s="200">
        <v>605</v>
      </c>
      <c r="WJ1" s="200">
        <v>606</v>
      </c>
      <c r="WK1" s="200">
        <v>607</v>
      </c>
      <c r="WL1" s="200">
        <v>608</v>
      </c>
      <c r="WM1" s="200">
        <v>609</v>
      </c>
      <c r="WN1" s="200">
        <v>610</v>
      </c>
      <c r="WO1" s="200">
        <v>611</v>
      </c>
      <c r="WP1" s="200">
        <v>612</v>
      </c>
      <c r="WQ1" s="200">
        <v>613</v>
      </c>
      <c r="WR1" s="200">
        <v>614</v>
      </c>
      <c r="WS1" s="200">
        <v>615</v>
      </c>
      <c r="WT1" s="200">
        <v>616</v>
      </c>
      <c r="WU1" s="200">
        <v>617</v>
      </c>
      <c r="WV1" s="200">
        <v>618</v>
      </c>
      <c r="WW1" s="200">
        <v>619</v>
      </c>
      <c r="WX1" s="200">
        <v>620</v>
      </c>
      <c r="WY1" s="200">
        <v>621</v>
      </c>
      <c r="WZ1" s="200">
        <v>622</v>
      </c>
      <c r="XA1" s="200">
        <v>623</v>
      </c>
      <c r="XB1" s="200">
        <v>624</v>
      </c>
      <c r="XC1" s="200">
        <v>625</v>
      </c>
      <c r="XD1" s="200">
        <v>626</v>
      </c>
      <c r="XE1" s="200">
        <v>627</v>
      </c>
      <c r="XF1" s="200">
        <v>628</v>
      </c>
      <c r="XG1" s="200">
        <v>629</v>
      </c>
      <c r="XH1" s="200">
        <v>630</v>
      </c>
      <c r="XI1" s="200">
        <v>631</v>
      </c>
      <c r="XJ1" s="200">
        <v>632</v>
      </c>
      <c r="XK1" s="200">
        <v>633</v>
      </c>
      <c r="XL1" s="200">
        <v>634</v>
      </c>
      <c r="XM1" s="200">
        <v>635</v>
      </c>
      <c r="XN1" s="200">
        <v>636</v>
      </c>
      <c r="XO1" s="200">
        <v>637</v>
      </c>
      <c r="XP1" s="200">
        <v>638</v>
      </c>
      <c r="XQ1" s="200">
        <v>639</v>
      </c>
      <c r="XR1" s="200">
        <v>640</v>
      </c>
      <c r="XS1" s="200">
        <v>641</v>
      </c>
      <c r="XT1" s="200">
        <v>642</v>
      </c>
      <c r="XU1" s="200">
        <v>643</v>
      </c>
      <c r="XV1" s="200">
        <v>644</v>
      </c>
      <c r="XW1" s="200">
        <v>645</v>
      </c>
      <c r="XX1" s="200">
        <v>646</v>
      </c>
      <c r="XY1" s="200">
        <v>647</v>
      </c>
      <c r="XZ1" s="200">
        <v>648</v>
      </c>
      <c r="YA1" s="200">
        <v>649</v>
      </c>
      <c r="YB1" s="200">
        <v>650</v>
      </c>
      <c r="YC1" s="200">
        <v>651</v>
      </c>
      <c r="YD1" s="200">
        <v>652</v>
      </c>
      <c r="YE1" s="200">
        <v>653</v>
      </c>
      <c r="YF1" s="200">
        <v>654</v>
      </c>
      <c r="YG1" s="200">
        <v>655</v>
      </c>
      <c r="YH1" s="200">
        <v>656</v>
      </c>
      <c r="YI1" s="200">
        <v>657</v>
      </c>
      <c r="YJ1" s="200">
        <v>658</v>
      </c>
      <c r="YK1" s="200">
        <v>659</v>
      </c>
      <c r="YL1" s="200">
        <v>660</v>
      </c>
      <c r="YM1" s="200">
        <v>661</v>
      </c>
      <c r="YN1" s="200">
        <v>662</v>
      </c>
      <c r="YO1" s="200">
        <v>663</v>
      </c>
      <c r="YP1" s="200">
        <v>664</v>
      </c>
      <c r="YQ1" s="200">
        <v>665</v>
      </c>
      <c r="YR1" s="200">
        <v>666</v>
      </c>
      <c r="YS1" s="200">
        <v>667</v>
      </c>
      <c r="YT1" s="200">
        <v>668</v>
      </c>
      <c r="YU1" s="200">
        <v>669</v>
      </c>
      <c r="YV1" s="200">
        <v>670</v>
      </c>
      <c r="YW1" s="200">
        <v>671</v>
      </c>
      <c r="YX1" s="200">
        <v>672</v>
      </c>
      <c r="YY1" s="200" t="s">
        <v>208</v>
      </c>
      <c r="YZ1" s="200">
        <v>674</v>
      </c>
      <c r="ZA1" s="200">
        <v>675</v>
      </c>
      <c r="ZB1" s="200">
        <v>676</v>
      </c>
      <c r="ZC1" s="200">
        <v>677</v>
      </c>
      <c r="ZD1" s="200">
        <v>678</v>
      </c>
      <c r="ZE1" s="200">
        <v>679</v>
      </c>
      <c r="ZF1" s="200">
        <v>680</v>
      </c>
      <c r="ZG1" s="200">
        <v>681</v>
      </c>
      <c r="ZH1" s="200">
        <v>682</v>
      </c>
      <c r="ZI1" s="200">
        <v>683</v>
      </c>
      <c r="ZJ1" s="200">
        <v>684</v>
      </c>
      <c r="ZK1" s="200">
        <v>685</v>
      </c>
      <c r="ZL1" s="200">
        <v>686</v>
      </c>
      <c r="ZM1" s="200">
        <v>687</v>
      </c>
      <c r="ZN1" s="200">
        <v>688</v>
      </c>
      <c r="ZO1" s="200">
        <v>689</v>
      </c>
      <c r="ZP1" s="200">
        <v>690</v>
      </c>
      <c r="ZQ1" s="200">
        <v>691</v>
      </c>
      <c r="ZR1" s="200">
        <v>692</v>
      </c>
      <c r="ZS1" s="200">
        <v>693</v>
      </c>
      <c r="ZT1" s="200">
        <v>694</v>
      </c>
      <c r="ZU1" s="200">
        <v>695</v>
      </c>
      <c r="ZV1" s="200">
        <v>696</v>
      </c>
      <c r="ZW1" s="200">
        <v>697</v>
      </c>
      <c r="ZX1" s="200">
        <v>698</v>
      </c>
      <c r="ZY1" s="200">
        <v>699</v>
      </c>
      <c r="ZZ1" s="200">
        <v>700</v>
      </c>
      <c r="AAA1" s="200">
        <v>701</v>
      </c>
      <c r="AAB1" s="200">
        <v>702</v>
      </c>
      <c r="AAC1" s="200">
        <v>703</v>
      </c>
      <c r="AAD1" s="200">
        <v>704</v>
      </c>
      <c r="AAE1" s="200">
        <v>705</v>
      </c>
      <c r="AAF1" s="200">
        <v>706</v>
      </c>
      <c r="AAG1" s="200">
        <v>707</v>
      </c>
      <c r="AAH1" s="200">
        <v>708</v>
      </c>
      <c r="AAI1" s="200">
        <v>709</v>
      </c>
      <c r="AAJ1" s="200">
        <v>710</v>
      </c>
      <c r="AAK1" s="200">
        <v>711</v>
      </c>
      <c r="AAL1" s="200">
        <v>712</v>
      </c>
      <c r="AAM1" s="200">
        <v>713</v>
      </c>
      <c r="AAN1" s="200">
        <v>714</v>
      </c>
      <c r="AAO1" s="200">
        <v>715</v>
      </c>
      <c r="AAP1" s="200">
        <v>716</v>
      </c>
      <c r="AAQ1" s="200">
        <v>717</v>
      </c>
      <c r="AAR1" s="200">
        <v>718</v>
      </c>
      <c r="AAS1" s="200">
        <v>719</v>
      </c>
      <c r="AAT1" s="200">
        <v>720</v>
      </c>
      <c r="AAU1" s="200">
        <v>721</v>
      </c>
      <c r="AAV1" s="200">
        <v>722</v>
      </c>
      <c r="AAW1" s="200">
        <v>723</v>
      </c>
      <c r="AAX1" s="200">
        <v>724</v>
      </c>
      <c r="AAY1" s="200">
        <v>725</v>
      </c>
      <c r="AAZ1" s="200">
        <v>726</v>
      </c>
      <c r="ABA1" s="200">
        <v>727</v>
      </c>
      <c r="ABB1" s="200">
        <v>728</v>
      </c>
      <c r="ABC1" s="200">
        <v>729</v>
      </c>
      <c r="ABD1" s="200">
        <v>730</v>
      </c>
      <c r="ABE1" s="200">
        <v>731</v>
      </c>
      <c r="ABF1" s="200">
        <v>732</v>
      </c>
      <c r="ABG1" s="200">
        <v>733</v>
      </c>
      <c r="ABH1" s="200">
        <v>734</v>
      </c>
      <c r="ABI1" s="200">
        <v>735</v>
      </c>
      <c r="ABJ1" s="200">
        <v>736</v>
      </c>
      <c r="ABK1" s="200">
        <v>737</v>
      </c>
      <c r="ABL1" s="200">
        <v>738</v>
      </c>
      <c r="ABM1" s="200">
        <v>739</v>
      </c>
      <c r="ABN1" s="200">
        <v>740</v>
      </c>
      <c r="ABO1" s="200">
        <v>741</v>
      </c>
      <c r="ABP1" s="200">
        <v>742</v>
      </c>
      <c r="ABQ1" s="200">
        <v>743</v>
      </c>
      <c r="ABR1" s="200">
        <v>744</v>
      </c>
      <c r="ABS1" s="200">
        <v>745</v>
      </c>
      <c r="ABT1" s="200">
        <v>746</v>
      </c>
      <c r="ABU1" s="200">
        <v>747</v>
      </c>
      <c r="ABV1" s="200">
        <v>748</v>
      </c>
      <c r="ABW1" s="200">
        <v>749</v>
      </c>
      <c r="ABX1" s="200">
        <v>750</v>
      </c>
      <c r="ABY1" s="200">
        <v>751</v>
      </c>
      <c r="ABZ1" s="200">
        <v>752</v>
      </c>
      <c r="ACA1" s="200">
        <v>753</v>
      </c>
      <c r="ACB1" s="200">
        <v>754</v>
      </c>
      <c r="ACC1" s="200">
        <v>755</v>
      </c>
      <c r="ACD1" s="200">
        <v>756</v>
      </c>
      <c r="ACE1" s="200">
        <v>757</v>
      </c>
      <c r="ACF1" s="200">
        <v>758</v>
      </c>
      <c r="ACG1" s="200">
        <v>759</v>
      </c>
      <c r="ACH1" s="200">
        <v>760</v>
      </c>
      <c r="ACI1" s="200">
        <v>761</v>
      </c>
      <c r="ACJ1" s="200">
        <v>762</v>
      </c>
      <c r="ACK1" s="200">
        <v>763</v>
      </c>
      <c r="ACL1" s="200">
        <v>764</v>
      </c>
      <c r="ACM1" s="200">
        <v>765</v>
      </c>
      <c r="ACN1" s="200">
        <v>766</v>
      </c>
      <c r="ACO1" s="200">
        <v>767</v>
      </c>
      <c r="ACP1" s="200">
        <v>768</v>
      </c>
      <c r="ACQ1" s="200">
        <v>769</v>
      </c>
      <c r="ACR1" s="200">
        <v>770</v>
      </c>
      <c r="ACS1" s="200">
        <v>771</v>
      </c>
      <c r="ACT1" s="200">
        <v>772</v>
      </c>
      <c r="ACU1" s="200">
        <v>773</v>
      </c>
      <c r="ACV1" s="200">
        <v>774</v>
      </c>
      <c r="ACW1" s="200">
        <v>775</v>
      </c>
      <c r="ACX1" s="200">
        <v>776</v>
      </c>
      <c r="ACY1" s="200">
        <v>777</v>
      </c>
      <c r="ACZ1" s="200">
        <v>778</v>
      </c>
      <c r="ADA1" s="200">
        <v>779</v>
      </c>
      <c r="ADB1" s="200">
        <v>780</v>
      </c>
      <c r="ADC1" s="200">
        <v>781</v>
      </c>
      <c r="ADD1" s="200">
        <v>782</v>
      </c>
      <c r="ADE1" s="200">
        <v>783</v>
      </c>
      <c r="ADF1" s="200">
        <v>784</v>
      </c>
      <c r="ADG1" s="200">
        <v>785</v>
      </c>
      <c r="ADH1" s="200">
        <v>786</v>
      </c>
      <c r="ADI1" s="200">
        <v>787</v>
      </c>
      <c r="ADJ1" s="200">
        <v>788</v>
      </c>
      <c r="ADK1" s="200">
        <v>789</v>
      </c>
      <c r="ADL1" s="200">
        <v>790</v>
      </c>
      <c r="ADM1" s="200">
        <v>791</v>
      </c>
      <c r="ADN1" s="200">
        <v>792</v>
      </c>
      <c r="ADO1" s="200">
        <v>793</v>
      </c>
      <c r="ADP1" s="200">
        <v>794</v>
      </c>
      <c r="ADQ1" s="200">
        <v>795</v>
      </c>
      <c r="ADR1" s="200">
        <v>796</v>
      </c>
      <c r="ADS1" s="200">
        <v>797</v>
      </c>
      <c r="ADT1" s="200">
        <v>798</v>
      </c>
      <c r="ADU1" s="200">
        <v>799</v>
      </c>
      <c r="ADV1" s="200">
        <v>800</v>
      </c>
      <c r="ADW1" s="200">
        <v>801</v>
      </c>
      <c r="ADX1" s="200">
        <v>802</v>
      </c>
      <c r="ADY1" s="200">
        <v>803</v>
      </c>
      <c r="ADZ1" s="200">
        <v>804</v>
      </c>
      <c r="AEA1" s="200">
        <v>805</v>
      </c>
      <c r="AEB1" s="200">
        <v>806</v>
      </c>
      <c r="AEC1" s="200">
        <v>807</v>
      </c>
      <c r="AED1" s="200">
        <v>808</v>
      </c>
      <c r="AEE1" s="200">
        <v>809</v>
      </c>
      <c r="AEF1" s="200">
        <v>810</v>
      </c>
      <c r="AEG1" s="200">
        <v>811</v>
      </c>
      <c r="AEH1" s="200">
        <v>812</v>
      </c>
      <c r="AEI1" s="200">
        <v>813</v>
      </c>
      <c r="AEJ1" s="200">
        <v>814</v>
      </c>
      <c r="AEK1" s="200">
        <v>815</v>
      </c>
      <c r="AEL1" s="200">
        <v>816</v>
      </c>
      <c r="AEM1" s="200">
        <v>817</v>
      </c>
      <c r="AEN1" s="200">
        <v>818</v>
      </c>
      <c r="AEO1" s="200">
        <v>819</v>
      </c>
      <c r="AEP1" s="200">
        <v>820</v>
      </c>
      <c r="AEQ1" s="200">
        <v>821</v>
      </c>
      <c r="AER1" s="200">
        <v>822</v>
      </c>
      <c r="AES1" s="200">
        <v>823</v>
      </c>
      <c r="AET1" s="200">
        <v>824</v>
      </c>
      <c r="AEU1" s="200">
        <v>825</v>
      </c>
      <c r="AEV1" s="200">
        <v>826</v>
      </c>
      <c r="AEW1" s="200">
        <v>827</v>
      </c>
      <c r="AEX1" s="200">
        <v>828</v>
      </c>
      <c r="AEY1" s="200">
        <v>829</v>
      </c>
      <c r="AEZ1" s="200">
        <v>830</v>
      </c>
      <c r="AFA1" s="200">
        <v>831</v>
      </c>
      <c r="AFB1" s="200">
        <v>832</v>
      </c>
      <c r="AFC1" s="200">
        <v>833</v>
      </c>
      <c r="AFD1" s="200">
        <v>834</v>
      </c>
      <c r="AFE1" s="200">
        <v>835</v>
      </c>
      <c r="AFF1" s="200">
        <v>836</v>
      </c>
      <c r="AFG1" s="200">
        <v>837</v>
      </c>
      <c r="AFH1" s="200">
        <v>838</v>
      </c>
      <c r="AFI1" s="200">
        <v>839</v>
      </c>
      <c r="AFJ1" s="200">
        <v>840</v>
      </c>
      <c r="AFK1" s="200">
        <v>841</v>
      </c>
      <c r="AFL1" s="200">
        <v>842</v>
      </c>
      <c r="AFM1" s="200">
        <v>843</v>
      </c>
      <c r="AFN1" s="200">
        <v>844</v>
      </c>
      <c r="AFO1" s="200">
        <v>845</v>
      </c>
      <c r="AFP1" s="200">
        <v>846</v>
      </c>
      <c r="AFQ1" s="200">
        <v>847</v>
      </c>
      <c r="AFR1" s="200">
        <v>848</v>
      </c>
      <c r="AFS1" s="200">
        <v>849</v>
      </c>
      <c r="AFT1" s="200">
        <v>850</v>
      </c>
      <c r="AFU1" s="200">
        <v>851</v>
      </c>
      <c r="AFV1" s="200">
        <v>852</v>
      </c>
      <c r="AFW1" s="200">
        <v>853</v>
      </c>
      <c r="AFX1" s="200">
        <v>854</v>
      </c>
      <c r="AFY1" s="200">
        <v>855</v>
      </c>
      <c r="AFZ1" s="200">
        <v>856</v>
      </c>
      <c r="AGA1" s="200">
        <v>857</v>
      </c>
      <c r="AGB1" s="200">
        <v>858</v>
      </c>
      <c r="AGC1" s="200">
        <v>859</v>
      </c>
      <c r="AGD1" s="200">
        <v>860</v>
      </c>
      <c r="AGE1" s="200">
        <v>861</v>
      </c>
      <c r="AGF1" s="200">
        <v>862</v>
      </c>
      <c r="AGG1" s="200">
        <v>863</v>
      </c>
      <c r="AGH1" s="200">
        <v>864</v>
      </c>
      <c r="AGI1" s="200">
        <v>865</v>
      </c>
      <c r="AGJ1" s="200">
        <v>866</v>
      </c>
      <c r="AGK1" s="200">
        <v>867</v>
      </c>
      <c r="AGL1" s="200">
        <v>868</v>
      </c>
      <c r="AGM1" s="200">
        <v>869</v>
      </c>
      <c r="AGN1" s="200">
        <v>870</v>
      </c>
      <c r="AGO1" s="200">
        <v>871</v>
      </c>
      <c r="AGP1" s="200">
        <v>872</v>
      </c>
      <c r="AGQ1" s="200">
        <v>873</v>
      </c>
      <c r="AGR1" s="200">
        <v>874</v>
      </c>
      <c r="AGS1" s="200">
        <v>875</v>
      </c>
      <c r="AGT1" s="200">
        <v>876</v>
      </c>
      <c r="AGU1" s="200">
        <v>877</v>
      </c>
      <c r="AGV1" s="200">
        <v>878</v>
      </c>
      <c r="AGW1" s="200">
        <v>879</v>
      </c>
      <c r="AGX1" s="200">
        <v>880</v>
      </c>
      <c r="AGY1" s="200">
        <v>881</v>
      </c>
      <c r="AGZ1" s="200">
        <v>882</v>
      </c>
      <c r="AHA1" s="200">
        <v>883</v>
      </c>
      <c r="AHB1" s="200">
        <v>884</v>
      </c>
      <c r="AHC1" s="200">
        <v>885</v>
      </c>
      <c r="AHD1" s="200">
        <v>886</v>
      </c>
      <c r="AHE1" s="200">
        <v>887</v>
      </c>
      <c r="AHF1" s="200">
        <v>888</v>
      </c>
      <c r="AHG1" s="200">
        <v>889</v>
      </c>
      <c r="AHH1" s="200">
        <v>890</v>
      </c>
      <c r="AHI1" s="200">
        <v>891</v>
      </c>
      <c r="AHJ1" s="200">
        <v>892</v>
      </c>
      <c r="AHK1" s="200">
        <v>893</v>
      </c>
      <c r="AHL1" s="200">
        <v>894</v>
      </c>
      <c r="AHM1" s="200">
        <v>895</v>
      </c>
      <c r="AHN1" s="200">
        <v>896</v>
      </c>
      <c r="AHO1" s="200">
        <v>897</v>
      </c>
      <c r="AHP1" s="200">
        <v>898</v>
      </c>
      <c r="AHQ1" s="200">
        <v>899</v>
      </c>
      <c r="AHR1" s="200">
        <v>900</v>
      </c>
      <c r="AHS1" s="200">
        <v>901</v>
      </c>
      <c r="AHT1" s="200">
        <v>902</v>
      </c>
      <c r="AHU1" s="200">
        <v>903</v>
      </c>
      <c r="AHV1" s="200">
        <v>904</v>
      </c>
      <c r="AHW1" s="200">
        <v>905</v>
      </c>
      <c r="AHX1" s="200">
        <v>906</v>
      </c>
      <c r="AHY1" s="200">
        <v>907</v>
      </c>
      <c r="AHZ1" s="200">
        <v>908</v>
      </c>
      <c r="AIA1" s="200">
        <v>909</v>
      </c>
      <c r="AIB1" s="200">
        <v>910</v>
      </c>
      <c r="AIC1" s="201"/>
      <c r="AID1" s="201"/>
      <c r="AIE1" s="201"/>
      <c r="AIF1" s="201"/>
      <c r="AIG1" s="201"/>
      <c r="AIH1" s="201"/>
      <c r="AII1" s="201"/>
      <c r="AIJ1" s="201"/>
      <c r="AIK1" s="201"/>
    </row>
    <row r="2" spans="1:944" x14ac:dyDescent="0.45">
      <c r="A2" s="203" t="s">
        <v>21</v>
      </c>
      <c r="B2" s="204">
        <v>46129</v>
      </c>
      <c r="E2" s="107"/>
      <c r="P2" s="108"/>
      <c r="Q2" s="108"/>
      <c r="R2" s="108"/>
      <c r="S2" s="108"/>
      <c r="T2" s="108"/>
      <c r="U2" s="108"/>
      <c r="V2" s="108"/>
      <c r="W2" s="108"/>
      <c r="X2" s="108"/>
      <c r="Y2" s="108"/>
      <c r="Z2" s="108"/>
      <c r="AA2" s="108"/>
      <c r="AB2" s="108"/>
      <c r="AC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c r="IW2" s="108"/>
      <c r="IX2" s="108"/>
      <c r="IY2" s="108"/>
      <c r="IZ2" s="108"/>
      <c r="JA2" s="108"/>
      <c r="JB2" s="108"/>
      <c r="JC2" s="108"/>
      <c r="JD2" s="108"/>
      <c r="JE2" s="108"/>
      <c r="JF2" s="108"/>
      <c r="JG2" s="108"/>
      <c r="JH2" s="108"/>
      <c r="JI2" s="108"/>
      <c r="JJ2" s="108"/>
      <c r="JK2" s="108"/>
      <c r="JL2" s="108"/>
      <c r="JM2" s="108"/>
      <c r="JN2" s="108"/>
      <c r="JO2" s="108"/>
      <c r="JP2" s="108"/>
      <c r="JQ2" s="108"/>
      <c r="JR2" s="108"/>
      <c r="JS2" s="108"/>
      <c r="JT2" s="108"/>
      <c r="JU2" s="108"/>
      <c r="JV2" s="108"/>
      <c r="JW2" s="108"/>
      <c r="JX2" s="108"/>
      <c r="JY2" s="108"/>
      <c r="JZ2" s="108"/>
      <c r="KA2" s="108"/>
      <c r="KB2" s="108"/>
      <c r="KC2" s="108"/>
      <c r="KD2" s="108"/>
      <c r="KE2" s="108"/>
      <c r="KF2" s="108"/>
      <c r="KG2" s="108"/>
      <c r="KH2" s="108"/>
      <c r="KI2" s="108"/>
      <c r="KJ2" s="108"/>
      <c r="KK2" s="108"/>
      <c r="KL2" s="108"/>
      <c r="KM2" s="108"/>
      <c r="KN2" s="108"/>
      <c r="KO2" s="108"/>
      <c r="KP2" s="108"/>
      <c r="KQ2" s="108"/>
      <c r="KR2" s="108"/>
      <c r="KS2" s="108"/>
      <c r="KT2" s="108"/>
      <c r="KU2" s="108"/>
      <c r="KV2" s="108"/>
      <c r="KW2" s="108"/>
      <c r="KX2" s="108"/>
      <c r="KY2" s="108"/>
      <c r="KZ2" s="108"/>
      <c r="LA2" s="108"/>
      <c r="LB2" s="108"/>
      <c r="LC2" s="108"/>
      <c r="LD2" s="108"/>
      <c r="LE2" s="108"/>
      <c r="LF2" s="108"/>
      <c r="LG2" s="108"/>
      <c r="LH2" s="108"/>
      <c r="LI2" s="108"/>
      <c r="LJ2" s="108"/>
      <c r="LK2" s="108"/>
      <c r="LL2" s="108"/>
      <c r="LM2" s="108"/>
      <c r="LN2" s="108"/>
      <c r="LO2" s="108"/>
      <c r="LP2" s="108"/>
      <c r="LQ2" s="108"/>
      <c r="LR2" s="108"/>
      <c r="LS2" s="108"/>
      <c r="LT2" s="108"/>
      <c r="LU2" s="108"/>
      <c r="LV2" s="108"/>
      <c r="LW2" s="108"/>
      <c r="LX2" s="108"/>
      <c r="LY2" s="108"/>
      <c r="LZ2" s="108"/>
      <c r="MA2" s="108"/>
      <c r="MB2" s="108"/>
      <c r="MC2" s="108"/>
      <c r="MD2" s="108"/>
      <c r="ME2" s="108"/>
      <c r="MF2" s="108"/>
      <c r="MG2" s="108"/>
      <c r="MH2" s="108"/>
      <c r="MI2" s="108"/>
      <c r="MJ2" s="108"/>
      <c r="MK2" s="108"/>
      <c r="ML2" s="108"/>
      <c r="MM2" s="108"/>
      <c r="MN2" s="108"/>
      <c r="MO2" s="108"/>
      <c r="MP2" s="108"/>
      <c r="MQ2" s="108"/>
      <c r="MR2" s="108"/>
      <c r="MS2" s="108"/>
      <c r="MT2" s="108"/>
      <c r="MU2" s="108"/>
      <c r="MV2" s="108"/>
      <c r="MW2" s="108"/>
      <c r="MX2" s="108"/>
      <c r="MY2" s="108"/>
      <c r="MZ2" s="108"/>
      <c r="NA2" s="108"/>
      <c r="NB2" s="108"/>
      <c r="NC2" s="108"/>
      <c r="ND2" s="108"/>
      <c r="NE2" s="108"/>
      <c r="NF2" s="108"/>
      <c r="NG2" s="108"/>
      <c r="NH2" s="108"/>
      <c r="NI2" s="108"/>
      <c r="NJ2" s="108"/>
      <c r="NK2" s="108"/>
      <c r="NL2" s="108"/>
      <c r="NM2" s="108"/>
      <c r="NN2" s="108"/>
      <c r="NU2" s="108"/>
      <c r="NX2" s="108"/>
      <c r="NY2" s="108"/>
      <c r="OA2" s="108"/>
      <c r="OB2" s="108"/>
      <c r="OC2" s="108"/>
      <c r="OD2" s="108"/>
      <c r="OE2" s="108"/>
      <c r="OF2" s="108"/>
      <c r="OG2" s="108"/>
      <c r="OJ2" s="108"/>
      <c r="OK2" s="108"/>
      <c r="OL2" s="108"/>
      <c r="OM2" s="108"/>
      <c r="ON2" s="108"/>
      <c r="OO2" s="108"/>
      <c r="OP2" s="108"/>
      <c r="OQ2" s="108"/>
      <c r="OR2" s="108"/>
      <c r="OS2" s="108"/>
      <c r="OT2" s="108"/>
      <c r="OU2" s="108"/>
      <c r="OV2" s="108"/>
      <c r="OW2" s="108"/>
      <c r="OX2" s="108"/>
      <c r="OY2" s="108"/>
      <c r="OZ2" s="108"/>
      <c r="PA2" s="108"/>
      <c r="PB2" s="108"/>
      <c r="PC2" s="108"/>
      <c r="PD2" s="108"/>
      <c r="PE2" s="108"/>
      <c r="PF2" s="108"/>
      <c r="PG2" s="108"/>
      <c r="PH2" s="108"/>
      <c r="PI2" s="108"/>
      <c r="PJ2" s="108"/>
      <c r="PK2" s="108"/>
      <c r="PL2" s="108"/>
      <c r="PM2" s="108"/>
      <c r="PN2" s="108"/>
      <c r="PO2" s="108"/>
      <c r="PP2" s="108"/>
      <c r="PQ2" s="108"/>
      <c r="PR2" s="108"/>
      <c r="PS2" s="108"/>
      <c r="PT2" s="108"/>
      <c r="PU2" s="108"/>
      <c r="PV2" s="108"/>
      <c r="PW2" s="108"/>
      <c r="PX2" s="108"/>
      <c r="PY2" s="108"/>
      <c r="PZ2" s="108"/>
      <c r="QA2" s="108"/>
      <c r="QB2" s="108"/>
      <c r="QC2" s="108"/>
      <c r="QD2" s="108"/>
      <c r="QE2" s="108"/>
      <c r="QF2" s="108"/>
      <c r="QG2" s="108"/>
      <c r="QH2" s="108"/>
      <c r="QI2" s="108"/>
      <c r="QJ2" s="108"/>
      <c r="QK2" s="108"/>
      <c r="QL2" s="108"/>
      <c r="QM2" s="108"/>
      <c r="QN2" s="108"/>
      <c r="QO2" s="108"/>
      <c r="QP2" s="108"/>
      <c r="QQ2" s="108"/>
      <c r="QR2" s="108"/>
      <c r="QS2" s="108"/>
      <c r="QT2" s="108"/>
      <c r="QU2" s="108"/>
      <c r="QV2" s="108"/>
      <c r="QW2" s="108"/>
      <c r="QX2" s="108"/>
      <c r="QY2" s="108"/>
      <c r="QZ2" s="108"/>
      <c r="RA2" s="108"/>
      <c r="RB2" s="108"/>
      <c r="RC2" s="108"/>
      <c r="RD2" s="108"/>
      <c r="RE2" s="108"/>
      <c r="RF2" s="108"/>
      <c r="RG2" s="108"/>
      <c r="RH2" s="108"/>
      <c r="RI2" s="108"/>
      <c r="RJ2" s="108"/>
      <c r="RK2" s="108"/>
      <c r="RL2" s="108"/>
      <c r="RM2" s="108"/>
      <c r="RN2" s="108"/>
      <c r="RO2" s="108"/>
      <c r="RP2" s="108"/>
      <c r="RQ2" s="108"/>
      <c r="RR2" s="108"/>
      <c r="RS2" s="108"/>
      <c r="RT2" s="108"/>
      <c r="RU2" s="108"/>
      <c r="RV2" s="108"/>
      <c r="RW2" s="108"/>
      <c r="RX2" s="108"/>
      <c r="RY2" s="108"/>
      <c r="RZ2" s="108"/>
      <c r="SA2" s="108"/>
      <c r="SB2" s="108"/>
      <c r="SC2" s="108"/>
      <c r="SD2" s="108"/>
      <c r="SE2" s="108"/>
      <c r="SF2" s="108"/>
      <c r="SG2" s="108"/>
      <c r="SH2" s="108"/>
      <c r="SI2" s="108"/>
      <c r="SJ2" s="108"/>
      <c r="SK2" s="108"/>
      <c r="SL2" s="108"/>
      <c r="SM2" s="108"/>
      <c r="SN2" s="108"/>
      <c r="SO2" s="108"/>
      <c r="SP2" s="108"/>
      <c r="SQ2" s="108"/>
      <c r="SR2" s="108"/>
      <c r="SS2" s="108"/>
      <c r="ST2" s="108"/>
      <c r="SU2" s="108"/>
      <c r="SV2" s="108"/>
      <c r="SW2" s="108"/>
      <c r="SX2" s="108"/>
      <c r="SY2" s="108"/>
      <c r="SZ2" s="108"/>
      <c r="TA2" s="108"/>
      <c r="TB2" s="108"/>
      <c r="TC2" s="108"/>
      <c r="TD2" s="108"/>
      <c r="TE2" s="108"/>
      <c r="TF2" s="108"/>
      <c r="TG2" s="108"/>
      <c r="TH2" s="108"/>
      <c r="TI2" s="108"/>
      <c r="TJ2" s="108"/>
      <c r="TK2" s="108"/>
      <c r="TL2" s="108"/>
      <c r="TM2" s="108"/>
      <c r="TN2" s="108"/>
      <c r="TO2" s="108"/>
      <c r="TP2" s="108"/>
      <c r="TQ2" s="108"/>
      <c r="TR2" s="108"/>
      <c r="TS2" s="108"/>
      <c r="TT2" s="108"/>
      <c r="TU2" s="108"/>
      <c r="TV2" s="108"/>
      <c r="TW2" s="108"/>
      <c r="TX2" s="108"/>
      <c r="TY2" s="108"/>
      <c r="TZ2" s="108"/>
      <c r="UA2" s="108"/>
      <c r="UB2" s="108"/>
      <c r="UC2" s="108"/>
      <c r="UD2" s="108"/>
      <c r="UE2" s="108"/>
      <c r="UF2" s="108"/>
      <c r="UG2" s="108"/>
      <c r="UH2" s="108"/>
      <c r="UI2" s="108"/>
      <c r="UJ2" s="108"/>
      <c r="UK2" s="108"/>
      <c r="UL2" s="108"/>
      <c r="UM2" s="108"/>
      <c r="UN2" s="108"/>
      <c r="UO2" s="108"/>
      <c r="UP2" s="108"/>
      <c r="UQ2" s="108"/>
      <c r="UR2" s="108"/>
      <c r="US2" s="108"/>
      <c r="UT2" s="108"/>
      <c r="UU2" s="108"/>
      <c r="UV2" s="108"/>
      <c r="UW2" s="108"/>
      <c r="UX2" s="108"/>
      <c r="UY2" s="108"/>
      <c r="UZ2" s="108"/>
      <c r="VA2" s="108"/>
      <c r="VB2" s="108"/>
      <c r="VC2" s="108"/>
      <c r="VD2" s="108"/>
      <c r="VE2" s="108"/>
      <c r="VF2" s="108"/>
      <c r="VG2" s="108"/>
      <c r="VH2" s="108"/>
      <c r="VI2" s="108"/>
      <c r="VJ2" s="108"/>
      <c r="VK2" s="108"/>
      <c r="VL2" s="108"/>
      <c r="VM2" s="108"/>
      <c r="VN2" s="108"/>
      <c r="VO2" s="108"/>
      <c r="VP2" s="108"/>
      <c r="VQ2" s="108"/>
      <c r="VR2" s="108"/>
      <c r="VS2" s="108"/>
      <c r="VT2" s="108"/>
      <c r="VU2" s="108"/>
      <c r="VV2" s="108"/>
      <c r="VW2" s="108"/>
      <c r="VX2" s="108"/>
      <c r="VY2" s="108"/>
      <c r="VZ2" s="108"/>
      <c r="WA2" s="108"/>
      <c r="WB2" s="108"/>
      <c r="WC2" s="108"/>
      <c r="WD2" s="108"/>
      <c r="WE2" s="108"/>
      <c r="WF2" s="108"/>
      <c r="WG2" s="108"/>
      <c r="WH2" s="108"/>
      <c r="WI2" s="108"/>
      <c r="WJ2" s="108"/>
      <c r="WK2" s="108"/>
      <c r="WL2" s="108"/>
      <c r="WM2" s="108"/>
      <c r="WN2" s="108"/>
      <c r="WO2" s="108"/>
      <c r="WP2" s="108"/>
      <c r="WQ2" s="108"/>
      <c r="WR2" s="108"/>
      <c r="WS2" s="108"/>
      <c r="WT2" s="108"/>
      <c r="WU2" s="274"/>
      <c r="WV2" s="108"/>
      <c r="WW2" s="108"/>
      <c r="WX2" s="108"/>
      <c r="WY2" s="108"/>
      <c r="WZ2" s="108"/>
      <c r="XA2" s="108"/>
      <c r="XB2" s="108"/>
      <c r="XC2" s="108"/>
      <c r="XD2" s="108"/>
      <c r="XE2" s="108"/>
      <c r="XF2" s="108"/>
      <c r="XG2" s="108"/>
      <c r="XH2" s="108"/>
      <c r="XI2" s="108"/>
      <c r="XJ2" s="108"/>
      <c r="XK2" s="108"/>
      <c r="XL2" s="108"/>
      <c r="XM2" s="108"/>
      <c r="XN2" s="108"/>
      <c r="XO2" s="108"/>
      <c r="XP2" s="108"/>
      <c r="XQ2" s="108"/>
      <c r="XR2" s="108"/>
      <c r="XS2" s="108"/>
      <c r="XT2" s="108"/>
      <c r="XU2" s="108"/>
      <c r="XV2" s="108"/>
      <c r="XW2" s="108"/>
      <c r="XX2" s="108"/>
      <c r="XY2" s="108"/>
      <c r="XZ2" s="108"/>
      <c r="YA2" s="108"/>
      <c r="YB2" s="108"/>
      <c r="YC2" s="108"/>
      <c r="YD2" s="108"/>
      <c r="YE2" s="108"/>
      <c r="YF2" s="108"/>
      <c r="YG2" s="108"/>
      <c r="YH2" s="108"/>
      <c r="YI2" s="108"/>
      <c r="YJ2" s="108"/>
      <c r="YK2" s="108"/>
      <c r="YL2" s="108"/>
      <c r="YM2" s="108"/>
      <c r="YN2" s="108"/>
      <c r="YO2" s="108"/>
      <c r="YP2" s="108"/>
      <c r="YQ2" s="108"/>
      <c r="YR2" s="108"/>
      <c r="YS2" s="108"/>
      <c r="YT2" s="108"/>
      <c r="YU2" s="108"/>
      <c r="YV2" s="108"/>
      <c r="YY2" s="108"/>
      <c r="YZ2" s="108"/>
      <c r="ZA2" s="108"/>
      <c r="ZB2" s="108"/>
      <c r="ZC2" s="108"/>
      <c r="ZD2" s="108"/>
      <c r="ZE2" s="108"/>
      <c r="ZF2" s="108"/>
      <c r="ZG2" s="108"/>
      <c r="ZH2" s="108"/>
      <c r="ZI2" s="108"/>
      <c r="ZJ2" s="108"/>
      <c r="ZK2" s="108"/>
      <c r="ZL2" s="108"/>
      <c r="ZM2" s="108"/>
      <c r="ZN2" s="108"/>
      <c r="ZO2" s="108"/>
      <c r="ZP2" s="108"/>
      <c r="ZQ2" s="108"/>
      <c r="ZR2" s="108"/>
      <c r="ZS2" s="108"/>
      <c r="ZT2" s="108"/>
      <c r="ZU2" s="108"/>
      <c r="ZV2" s="108"/>
      <c r="ZW2" s="108"/>
      <c r="ZX2" s="108"/>
      <c r="ZY2" s="108"/>
      <c r="ZZ2" s="108"/>
      <c r="AAA2" s="108"/>
      <c r="AAB2" s="108"/>
      <c r="AAC2" s="108"/>
      <c r="AAD2" s="108"/>
      <c r="AAE2" s="108"/>
      <c r="AAF2" s="108"/>
      <c r="AAG2" s="108"/>
      <c r="AAH2" s="108"/>
      <c r="AAI2" s="108"/>
      <c r="AAJ2" s="108"/>
      <c r="AAK2" s="108"/>
      <c r="AAL2" s="108"/>
      <c r="AAM2" s="108"/>
      <c r="AAN2" s="108"/>
      <c r="AAO2" s="108"/>
      <c r="AAP2" s="108"/>
      <c r="AAQ2" s="108"/>
      <c r="AAR2" s="108"/>
      <c r="AAS2" s="108"/>
      <c r="AAT2" s="108"/>
      <c r="AAU2" s="108"/>
      <c r="AAV2" s="108"/>
      <c r="AAW2" s="108"/>
      <c r="AAX2" s="108"/>
      <c r="AAY2" s="108"/>
      <c r="AAZ2" s="108"/>
      <c r="ABA2" s="108"/>
      <c r="ABB2" s="108"/>
      <c r="ABC2" s="108"/>
      <c r="ABD2" s="108"/>
      <c r="ABE2" s="108"/>
      <c r="ABF2" s="108"/>
      <c r="ABG2" s="108"/>
      <c r="ABH2" s="108"/>
      <c r="ABI2" s="108"/>
      <c r="ABJ2" s="108"/>
      <c r="ABK2" s="108"/>
      <c r="ABL2" s="108"/>
      <c r="ABM2" s="108"/>
      <c r="ABN2" s="108"/>
      <c r="ABO2" s="108"/>
      <c r="ABP2" s="108"/>
      <c r="ABQ2" s="108"/>
      <c r="ABR2" s="108"/>
      <c r="ABS2" s="108"/>
      <c r="ABT2" s="108"/>
      <c r="ABU2" s="108"/>
      <c r="ABV2" s="108"/>
      <c r="ABW2" s="108"/>
      <c r="ABX2" s="108"/>
      <c r="ABY2" s="108"/>
      <c r="ABZ2" s="108"/>
      <c r="ACA2" s="108"/>
      <c r="ACB2" s="108"/>
      <c r="ACC2" s="108"/>
      <c r="ACD2" s="108"/>
      <c r="ACE2" s="108"/>
      <c r="ACF2" s="108"/>
      <c r="ACG2" s="108"/>
      <c r="ACH2" s="108"/>
      <c r="ACI2" s="108"/>
      <c r="ACJ2" s="108"/>
      <c r="ACK2" s="108"/>
      <c r="ACL2" s="108"/>
      <c r="ACM2" s="108"/>
      <c r="ACN2" s="108"/>
      <c r="ACO2" s="108"/>
      <c r="ACP2" s="108"/>
      <c r="ACQ2" s="108"/>
      <c r="ACR2" s="108"/>
      <c r="ACS2" s="108"/>
      <c r="ACT2" s="108"/>
      <c r="ACU2" s="108"/>
      <c r="ACV2" s="108"/>
      <c r="ACW2" s="108"/>
      <c r="ACX2" s="108"/>
      <c r="ACY2" s="108"/>
      <c r="ACZ2" s="108"/>
      <c r="ADA2" s="108"/>
      <c r="ADB2" s="108"/>
      <c r="ADC2" s="108"/>
      <c r="ADD2" s="108"/>
      <c r="ADE2" s="108"/>
      <c r="ADF2" s="108"/>
      <c r="ADG2" s="108"/>
      <c r="ADH2" s="108"/>
      <c r="ADI2" s="108"/>
      <c r="ADJ2" s="108"/>
      <c r="ADK2" s="108"/>
      <c r="ADL2" s="108"/>
      <c r="ADM2" s="108"/>
      <c r="ADN2" s="108"/>
      <c r="ADO2" s="108"/>
      <c r="ADP2" s="108"/>
      <c r="ADQ2" s="108"/>
      <c r="ADR2" s="108"/>
      <c r="ADS2" s="108"/>
      <c r="ADT2" s="108"/>
      <c r="ADU2" s="108"/>
      <c r="ADV2" s="108"/>
      <c r="ADW2" s="108"/>
      <c r="ADX2" s="108"/>
      <c r="ADY2" s="108"/>
      <c r="ADZ2" s="108"/>
      <c r="AEA2" s="108"/>
      <c r="AEB2" s="108"/>
      <c r="AEC2" s="108"/>
      <c r="AED2" s="108"/>
      <c r="AEE2" s="108"/>
      <c r="AEF2" s="108"/>
      <c r="AEG2" s="108"/>
      <c r="AEH2" s="108"/>
      <c r="AEI2" s="108"/>
      <c r="AEJ2" s="108"/>
      <c r="AEK2" s="108"/>
      <c r="AEL2" s="108"/>
      <c r="AEM2" s="108"/>
      <c r="AEN2" s="108"/>
      <c r="AEO2" s="108"/>
      <c r="AEP2" s="108"/>
      <c r="AEQ2" s="108"/>
      <c r="AER2" s="108"/>
      <c r="AES2" s="108"/>
      <c r="AET2" s="108"/>
      <c r="AEU2" s="108"/>
      <c r="AEV2" s="108"/>
      <c r="AEW2" s="108"/>
      <c r="AEX2" s="108"/>
      <c r="AEY2" s="108"/>
      <c r="AEZ2" s="108"/>
      <c r="AFA2" s="108"/>
      <c r="AFB2" s="108"/>
      <c r="AFC2" s="108"/>
      <c r="AFD2" s="108"/>
      <c r="AFE2" s="108"/>
      <c r="AFF2" s="108"/>
      <c r="AFG2" s="108"/>
      <c r="AFH2" s="108"/>
      <c r="AFI2" s="108"/>
      <c r="AFJ2" s="108"/>
      <c r="AFK2" s="108"/>
      <c r="AFL2" s="108"/>
      <c r="AFM2" s="108"/>
      <c r="AFN2" s="108"/>
      <c r="AFO2" s="108"/>
      <c r="AFP2" s="108"/>
      <c r="AFQ2" s="108"/>
      <c r="AFR2" s="108"/>
      <c r="AFS2" s="108"/>
      <c r="AFT2" s="108"/>
      <c r="AFU2" s="108"/>
      <c r="AFV2" s="108"/>
      <c r="AFW2" s="108"/>
      <c r="AFX2" s="108"/>
      <c r="AFY2" s="108"/>
      <c r="AFZ2" s="108"/>
      <c r="AGA2" s="108"/>
      <c r="AGB2" s="108"/>
      <c r="AGC2" s="108"/>
      <c r="AGD2" s="108"/>
      <c r="AGE2" s="108"/>
      <c r="AGF2" s="108"/>
      <c r="AGG2" s="108"/>
      <c r="AGH2" s="108"/>
      <c r="AGI2" s="108"/>
      <c r="AGJ2" s="108"/>
      <c r="AGK2" s="108"/>
      <c r="AGL2" s="108"/>
      <c r="AGM2" s="108"/>
      <c r="AGN2" s="108"/>
      <c r="AGO2" s="108"/>
      <c r="AGP2" s="108"/>
      <c r="AGQ2" s="108"/>
      <c r="AGR2" s="108"/>
      <c r="AGS2" s="108"/>
      <c r="AGT2" s="108"/>
      <c r="AGU2" s="108"/>
      <c r="AGV2" s="108"/>
      <c r="AGW2" s="108"/>
      <c r="AGX2" s="108"/>
      <c r="AGY2" s="108"/>
      <c r="AGZ2" s="108"/>
      <c r="AHA2" s="108"/>
      <c r="AHB2" s="108"/>
      <c r="AHC2" s="108"/>
      <c r="AHD2" s="108"/>
      <c r="AHE2" s="108"/>
      <c r="AHF2" s="108"/>
      <c r="AHG2" s="108"/>
      <c r="AHH2" s="108"/>
      <c r="AHI2" s="108"/>
      <c r="AHJ2" s="108"/>
      <c r="AHK2" s="108"/>
      <c r="AHL2" s="108"/>
      <c r="AHM2" s="108"/>
      <c r="AHN2" s="108"/>
      <c r="AHO2" s="108"/>
      <c r="AHP2" s="108"/>
      <c r="AHQ2" s="108"/>
      <c r="AHR2" s="108"/>
      <c r="AHS2" s="108"/>
      <c r="AHT2" s="108"/>
      <c r="AHU2" s="108"/>
      <c r="AHV2" s="108"/>
      <c r="AHW2" s="108"/>
      <c r="AHX2" s="108"/>
      <c r="AHY2" s="108"/>
      <c r="AHZ2" s="108"/>
      <c r="AIA2" s="108"/>
      <c r="AIB2" s="108"/>
    </row>
    <row r="3" spans="1:944" s="107" customFormat="1" x14ac:dyDescent="0.45">
      <c r="A3" s="186"/>
      <c r="B3" s="200"/>
      <c r="C3" s="108"/>
      <c r="D3" s="108"/>
      <c r="WU3" s="274"/>
      <c r="YV3" s="125" t="str">
        <f>A12</f>
        <v>Grundmodell = NL</v>
      </c>
      <c r="YW3" s="990">
        <v>46129</v>
      </c>
      <c r="YX3" s="125" t="s">
        <v>336</v>
      </c>
    </row>
    <row r="4" spans="1:944" s="107" customFormat="1" x14ac:dyDescent="0.45">
      <c r="A4" s="189"/>
      <c r="B4" s="200"/>
      <c r="C4" s="108"/>
      <c r="D4" s="108"/>
      <c r="WU4" s="274"/>
      <c r="YV4" s="125" t="str">
        <f t="shared" ref="YV4:YV6" si="0">A13</f>
        <v>Datenquelle (1)</v>
      </c>
      <c r="YW4" s="990" t="e">
        <f>#REF!</f>
        <v>#REF!</v>
      </c>
      <c r="YX4" s="991">
        <f t="shared" ref="YX4:YX6" si="1">YV13/$YV$12-1</f>
        <v>-2.2076074918104704E-2</v>
      </c>
    </row>
    <row r="5" spans="1:944" s="107" customFormat="1" x14ac:dyDescent="0.45">
      <c r="B5" s="200"/>
      <c r="C5" s="108"/>
      <c r="D5" s="108"/>
      <c r="WU5" s="274"/>
      <c r="YV5" s="125" t="str">
        <f t="shared" si="0"/>
        <v>Watchlist (2)</v>
      </c>
      <c r="YW5" s="990">
        <v>46125</v>
      </c>
      <c r="YX5" s="991">
        <f t="shared" si="1"/>
        <v>-2.2309420307012884E-2</v>
      </c>
    </row>
    <row r="6" spans="1:944" s="205" customFormat="1" x14ac:dyDescent="0.45">
      <c r="B6" s="200"/>
      <c r="C6" s="108"/>
      <c r="D6" s="108"/>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06"/>
      <c r="DH6" s="206"/>
      <c r="DI6" s="206"/>
      <c r="DJ6" s="206"/>
      <c r="DK6" s="206"/>
      <c r="DL6" s="206"/>
      <c r="DM6" s="206"/>
      <c r="DN6" s="206"/>
      <c r="DO6" s="206"/>
      <c r="DP6" s="206"/>
      <c r="DQ6" s="206"/>
      <c r="DR6" s="206"/>
      <c r="DS6" s="206"/>
      <c r="DT6" s="206"/>
      <c r="DU6" s="206"/>
      <c r="DV6" s="206"/>
      <c r="DW6" s="206"/>
      <c r="DX6" s="206"/>
      <c r="DY6" s="206"/>
      <c r="DZ6" s="206"/>
      <c r="EA6" s="206"/>
      <c r="EB6" s="206"/>
      <c r="EC6" s="206"/>
      <c r="ED6" s="206"/>
      <c r="EE6" s="206"/>
      <c r="EF6" s="206"/>
      <c r="EG6" s="206"/>
      <c r="EH6" s="206"/>
      <c r="EI6" s="206"/>
      <c r="EJ6" s="206"/>
      <c r="EK6" s="206"/>
      <c r="EL6" s="206"/>
      <c r="EM6" s="206"/>
      <c r="EN6" s="206"/>
      <c r="EO6" s="206"/>
      <c r="EP6" s="206"/>
      <c r="EQ6" s="206"/>
      <c r="ER6" s="206"/>
      <c r="ES6" s="206"/>
      <c r="ET6" s="206"/>
      <c r="EU6" s="206"/>
      <c r="EV6" s="206"/>
      <c r="EW6" s="206"/>
      <c r="EX6" s="206"/>
      <c r="EY6" s="206"/>
      <c r="EZ6" s="206"/>
      <c r="FA6" s="206"/>
      <c r="FB6" s="206"/>
      <c r="FC6" s="206"/>
      <c r="FD6" s="206"/>
      <c r="FE6" s="206"/>
      <c r="FF6" s="206"/>
      <c r="FG6" s="206"/>
      <c r="FH6" s="206"/>
      <c r="FI6" s="206"/>
      <c r="FJ6" s="206"/>
      <c r="FK6" s="206"/>
      <c r="FL6" s="206"/>
      <c r="FM6" s="206"/>
      <c r="FN6" s="206"/>
      <c r="FO6" s="206"/>
      <c r="FP6" s="206"/>
      <c r="FQ6" s="206"/>
      <c r="FR6" s="206"/>
      <c r="FS6" s="206"/>
      <c r="FT6" s="206"/>
      <c r="FU6" s="206"/>
      <c r="FV6" s="206"/>
      <c r="FW6" s="206"/>
      <c r="FX6" s="206"/>
      <c r="FY6" s="206"/>
      <c r="FZ6" s="206"/>
      <c r="GA6" s="206"/>
      <c r="GB6" s="206"/>
      <c r="GC6" s="206"/>
      <c r="GD6" s="206"/>
      <c r="GE6" s="206"/>
      <c r="GF6" s="206"/>
      <c r="GG6" s="206"/>
      <c r="GH6" s="206"/>
      <c r="GI6" s="206"/>
      <c r="GJ6" s="206"/>
      <c r="GK6" s="206"/>
      <c r="GL6" s="206"/>
      <c r="GM6" s="206"/>
      <c r="GN6" s="206"/>
      <c r="GO6" s="206"/>
      <c r="GP6" s="206"/>
      <c r="GQ6" s="206"/>
      <c r="GR6" s="206"/>
      <c r="GS6" s="206"/>
      <c r="GT6" s="206"/>
      <c r="GU6" s="206"/>
      <c r="GV6" s="206"/>
      <c r="GW6" s="206"/>
      <c r="GX6" s="206"/>
      <c r="GY6" s="206"/>
      <c r="GZ6" s="206"/>
      <c r="HA6" s="206"/>
      <c r="HB6" s="206"/>
      <c r="HC6" s="206"/>
      <c r="HD6" s="206"/>
      <c r="HE6" s="206"/>
      <c r="HF6" s="206"/>
      <c r="HG6" s="206"/>
      <c r="HH6" s="206"/>
      <c r="HI6" s="206"/>
      <c r="HJ6" s="206"/>
      <c r="HK6" s="206"/>
      <c r="HL6" s="206"/>
      <c r="HM6" s="206"/>
      <c r="HN6" s="206"/>
      <c r="HO6" s="206"/>
      <c r="HP6" s="206"/>
      <c r="HQ6" s="206"/>
      <c r="HR6" s="206"/>
      <c r="HS6" s="206"/>
      <c r="HT6" s="206"/>
      <c r="HU6" s="206"/>
      <c r="HV6" s="206"/>
      <c r="HW6" s="206"/>
      <c r="HX6" s="206"/>
      <c r="HY6" s="206"/>
      <c r="HZ6" s="206"/>
      <c r="IA6" s="206"/>
      <c r="IB6" s="206"/>
      <c r="IC6" s="206"/>
      <c r="ID6" s="206"/>
      <c r="IE6" s="206"/>
      <c r="IF6" s="206"/>
      <c r="IG6" s="206"/>
      <c r="IH6" s="206"/>
      <c r="II6" s="206"/>
      <c r="IJ6" s="206"/>
      <c r="IK6" s="206"/>
      <c r="IL6" s="206"/>
      <c r="IM6" s="206"/>
      <c r="IN6" s="206"/>
      <c r="IO6" s="206"/>
      <c r="IP6" s="206"/>
      <c r="IQ6" s="206"/>
      <c r="IR6" s="206"/>
      <c r="IS6" s="206"/>
      <c r="IT6" s="206"/>
      <c r="IU6" s="206"/>
      <c r="IV6" s="206"/>
      <c r="IW6" s="206"/>
      <c r="IX6" s="206"/>
      <c r="IY6" s="206"/>
      <c r="IZ6" s="206"/>
      <c r="JA6" s="206"/>
      <c r="JB6" s="206"/>
      <c r="JC6" s="206"/>
      <c r="JD6" s="206"/>
      <c r="JE6" s="206"/>
      <c r="JF6" s="206"/>
      <c r="JG6" s="206"/>
      <c r="JH6" s="206"/>
      <c r="JI6" s="206"/>
      <c r="JJ6" s="206"/>
      <c r="JK6" s="206"/>
      <c r="JL6" s="206"/>
      <c r="JM6" s="206"/>
      <c r="JN6" s="206"/>
      <c r="JO6" s="206"/>
      <c r="JP6" s="206"/>
      <c r="JQ6" s="206"/>
      <c r="JR6" s="206"/>
      <c r="JS6" s="206"/>
      <c r="JT6" s="206"/>
      <c r="JU6" s="206"/>
      <c r="JV6" s="206"/>
      <c r="JW6" s="206"/>
      <c r="JX6" s="206"/>
      <c r="JY6" s="206"/>
      <c r="JZ6" s="206"/>
      <c r="KA6" s="206"/>
      <c r="KB6" s="206"/>
      <c r="KC6" s="206"/>
      <c r="KD6" s="206"/>
      <c r="KE6" s="206"/>
      <c r="KF6" s="206"/>
      <c r="KG6" s="206"/>
      <c r="KH6" s="206"/>
      <c r="KI6" s="206"/>
      <c r="KJ6" s="206"/>
      <c r="KK6" s="206"/>
      <c r="KL6" s="206"/>
      <c r="KM6" s="206"/>
      <c r="KN6" s="206"/>
      <c r="KO6" s="206"/>
      <c r="KP6" s="206"/>
      <c r="KQ6" s="206"/>
      <c r="KR6" s="206"/>
      <c r="KS6" s="206"/>
      <c r="KT6" s="206"/>
      <c r="KU6" s="206"/>
      <c r="KV6" s="206"/>
      <c r="KW6" s="206"/>
      <c r="KX6" s="206"/>
      <c r="KY6" s="206"/>
      <c r="KZ6" s="206"/>
      <c r="LA6" s="206"/>
      <c r="LB6" s="206"/>
      <c r="LC6" s="206"/>
      <c r="LD6" s="206"/>
      <c r="LE6" s="206"/>
      <c r="LF6" s="206"/>
      <c r="LG6" s="206"/>
      <c r="LH6" s="206"/>
      <c r="LI6" s="206"/>
      <c r="LJ6" s="206"/>
      <c r="LK6" s="206"/>
      <c r="LL6" s="206"/>
      <c r="LM6" s="206"/>
      <c r="LN6" s="206"/>
      <c r="LO6" s="206"/>
      <c r="LP6" s="206"/>
      <c r="LQ6" s="206"/>
      <c r="LR6" s="206"/>
      <c r="LS6" s="206"/>
      <c r="LT6" s="206"/>
      <c r="LU6" s="206"/>
      <c r="LV6" s="206"/>
      <c r="LW6" s="206"/>
      <c r="LX6" s="206"/>
      <c r="LY6" s="206"/>
      <c r="LZ6" s="206"/>
      <c r="MA6" s="206"/>
      <c r="MB6" s="206"/>
      <c r="MC6" s="206"/>
      <c r="MD6" s="206"/>
      <c r="ME6" s="206"/>
      <c r="MF6" s="206"/>
      <c r="MG6" s="206"/>
      <c r="MH6" s="206"/>
      <c r="MI6" s="206"/>
      <c r="MJ6" s="206"/>
      <c r="MK6" s="206"/>
      <c r="ML6" s="206"/>
      <c r="MM6" s="206"/>
      <c r="MN6" s="206"/>
      <c r="MO6" s="206"/>
      <c r="MP6" s="206"/>
      <c r="MQ6" s="206"/>
      <c r="MR6" s="206"/>
      <c r="MS6" s="206"/>
      <c r="MT6" s="206"/>
      <c r="MU6" s="206"/>
      <c r="MV6" s="206"/>
      <c r="MW6" s="206"/>
      <c r="MX6" s="206"/>
      <c r="MY6" s="206"/>
      <c r="MZ6" s="206"/>
      <c r="NA6" s="206"/>
      <c r="NB6" s="206"/>
      <c r="NC6" s="206"/>
      <c r="ND6" s="206"/>
      <c r="NE6" s="206"/>
      <c r="NF6" s="206"/>
      <c r="NG6" s="206"/>
      <c r="NH6" s="206"/>
      <c r="NI6" s="206"/>
      <c r="NJ6" s="206"/>
      <c r="NK6" s="206"/>
      <c r="NL6" s="206"/>
      <c r="NM6" s="206"/>
      <c r="NN6" s="206"/>
      <c r="NO6" s="206"/>
      <c r="NP6" s="206"/>
      <c r="NQ6" s="206"/>
      <c r="NR6" s="206"/>
      <c r="NS6" s="206"/>
      <c r="NT6" s="206"/>
      <c r="NU6" s="206"/>
      <c r="NV6" s="206"/>
      <c r="NW6" s="206"/>
      <c r="NX6" s="206"/>
      <c r="NY6" s="206"/>
      <c r="NZ6" s="206"/>
      <c r="OA6" s="206"/>
      <c r="OB6" s="206"/>
      <c r="OC6" s="206"/>
      <c r="OD6" s="206"/>
      <c r="OE6" s="206"/>
      <c r="OF6" s="206"/>
      <c r="OG6" s="206"/>
      <c r="OH6" s="206"/>
      <c r="OI6" s="206"/>
      <c r="OJ6" s="206"/>
      <c r="OK6" s="206"/>
      <c r="OL6" s="206"/>
      <c r="OM6" s="206"/>
      <c r="ON6" s="206"/>
      <c r="OO6" s="206"/>
      <c r="OP6" s="206"/>
      <c r="OQ6" s="206"/>
      <c r="OR6" s="206"/>
      <c r="OS6" s="206"/>
      <c r="OT6" s="206"/>
      <c r="OU6" s="206"/>
      <c r="OV6" s="206"/>
      <c r="OW6" s="206"/>
      <c r="OX6" s="206"/>
      <c r="OY6" s="206"/>
      <c r="OZ6" s="206"/>
      <c r="PA6" s="206"/>
      <c r="PB6" s="206"/>
      <c r="PC6" s="206"/>
      <c r="PD6" s="206"/>
      <c r="PE6" s="206"/>
      <c r="PF6" s="206"/>
      <c r="PG6" s="206"/>
      <c r="PH6" s="206"/>
      <c r="PI6" s="206"/>
      <c r="PJ6" s="206"/>
      <c r="PK6" s="206"/>
      <c r="PL6" s="206"/>
      <c r="PM6" s="206"/>
      <c r="PN6" s="206"/>
      <c r="PO6" s="206"/>
      <c r="PP6" s="206"/>
      <c r="PQ6" s="206"/>
      <c r="PR6" s="206"/>
      <c r="PS6" s="206"/>
      <c r="PT6" s="206"/>
      <c r="PU6" s="206"/>
      <c r="PV6" s="206"/>
      <c r="PW6" s="206"/>
      <c r="PX6" s="206"/>
      <c r="PY6" s="206"/>
      <c r="PZ6" s="206"/>
      <c r="QA6" s="206"/>
      <c r="QB6" s="206"/>
      <c r="QC6" s="206"/>
      <c r="QD6" s="206"/>
      <c r="QE6" s="206"/>
      <c r="QF6" s="206"/>
      <c r="QG6" s="206"/>
      <c r="QH6" s="206"/>
      <c r="QI6" s="206"/>
      <c r="QJ6" s="206"/>
      <c r="QK6" s="206"/>
      <c r="QL6" s="206"/>
      <c r="QM6" s="206"/>
      <c r="QN6" s="206"/>
      <c r="QO6" s="206"/>
      <c r="QP6" s="206"/>
      <c r="QQ6" s="206"/>
      <c r="QR6" s="206"/>
      <c r="QS6" s="206"/>
      <c r="QT6" s="206"/>
      <c r="QU6" s="206"/>
      <c r="QV6" s="206"/>
      <c r="QW6" s="206"/>
      <c r="QX6" s="206"/>
      <c r="QY6" s="206"/>
      <c r="QZ6" s="206"/>
      <c r="RA6" s="206"/>
      <c r="RB6" s="206"/>
      <c r="RC6" s="206"/>
      <c r="RD6" s="206"/>
      <c r="RE6" s="206"/>
      <c r="RF6" s="206"/>
      <c r="RG6" s="206"/>
      <c r="RH6" s="206"/>
      <c r="RI6" s="206"/>
      <c r="RJ6" s="206"/>
      <c r="RK6" s="206"/>
      <c r="RL6" s="206"/>
      <c r="RM6" s="206"/>
      <c r="RN6" s="206"/>
      <c r="RO6" s="206"/>
      <c r="RP6" s="206"/>
      <c r="RQ6" s="206"/>
      <c r="RR6" s="206"/>
      <c r="RS6" s="206"/>
      <c r="RT6" s="206"/>
      <c r="RU6" s="206"/>
      <c r="RV6" s="206"/>
      <c r="RW6" s="206"/>
      <c r="RX6" s="206"/>
      <c r="RY6" s="206"/>
      <c r="RZ6" s="206"/>
      <c r="SA6" s="206"/>
      <c r="SB6" s="206"/>
      <c r="SC6" s="206"/>
      <c r="SD6" s="206"/>
      <c r="SE6" s="206"/>
      <c r="SF6" s="206"/>
      <c r="SG6" s="206"/>
      <c r="SH6" s="206"/>
      <c r="SI6" s="206"/>
      <c r="SJ6" s="206"/>
      <c r="SK6" s="206"/>
      <c r="SL6" s="206"/>
      <c r="SM6" s="206"/>
      <c r="SN6" s="206"/>
      <c r="SO6" s="206"/>
      <c r="SP6" s="206"/>
      <c r="SQ6" s="206"/>
      <c r="SR6" s="206"/>
      <c r="SS6" s="206"/>
      <c r="ST6" s="206"/>
      <c r="SU6" s="206"/>
      <c r="SV6" s="206"/>
      <c r="SW6" s="206"/>
      <c r="SX6" s="206"/>
      <c r="SY6" s="206"/>
      <c r="SZ6" s="206"/>
      <c r="TA6" s="206"/>
      <c r="TB6" s="206"/>
      <c r="TC6" s="206"/>
      <c r="TD6" s="206"/>
      <c r="TE6" s="206"/>
      <c r="TF6" s="206"/>
      <c r="TG6" s="206"/>
      <c r="TH6" s="206"/>
      <c r="TI6" s="206"/>
      <c r="TJ6" s="206"/>
      <c r="TK6" s="206"/>
      <c r="TL6" s="206"/>
      <c r="TM6" s="206"/>
      <c r="TN6" s="206"/>
      <c r="TO6" s="206"/>
      <c r="TP6" s="206"/>
      <c r="TQ6" s="206"/>
      <c r="TR6" s="206"/>
      <c r="TS6" s="206"/>
      <c r="TT6" s="206"/>
      <c r="TU6" s="206"/>
      <c r="TV6" s="206"/>
      <c r="TW6" s="206"/>
      <c r="TX6" s="206"/>
      <c r="TY6" s="206"/>
      <c r="TZ6" s="206"/>
      <c r="UA6" s="206"/>
      <c r="UB6" s="206"/>
      <c r="UC6" s="206"/>
      <c r="UD6" s="206"/>
      <c r="UE6" s="206"/>
      <c r="UF6" s="206"/>
      <c r="UG6" s="206"/>
      <c r="UH6" s="206"/>
      <c r="UI6" s="206"/>
      <c r="UJ6" s="206"/>
      <c r="UK6" s="206"/>
      <c r="UL6" s="206"/>
      <c r="UM6" s="206"/>
      <c r="UN6" s="206"/>
      <c r="UO6" s="206"/>
      <c r="UP6" s="206"/>
      <c r="UQ6" s="206"/>
      <c r="UR6" s="206"/>
      <c r="US6" s="206"/>
      <c r="UT6" s="206"/>
      <c r="UU6" s="206"/>
      <c r="UV6" s="206"/>
      <c r="UW6" s="206"/>
      <c r="UX6" s="206"/>
      <c r="UY6" s="206"/>
      <c r="UZ6" s="206"/>
      <c r="VA6" s="206"/>
      <c r="VB6" s="206"/>
      <c r="VC6" s="206"/>
      <c r="VD6" s="206"/>
      <c r="VE6" s="206"/>
      <c r="VF6" s="206"/>
      <c r="VG6" s="206"/>
      <c r="VH6" s="206"/>
      <c r="VI6" s="206"/>
      <c r="VJ6" s="206"/>
      <c r="VK6" s="206"/>
      <c r="VL6" s="206"/>
      <c r="VM6" s="206"/>
      <c r="VN6" s="206"/>
      <c r="VO6" s="206"/>
      <c r="VP6" s="206"/>
      <c r="VQ6" s="206"/>
      <c r="VR6" s="206"/>
      <c r="VS6" s="206"/>
      <c r="VT6" s="206"/>
      <c r="VU6" s="206"/>
      <c r="VV6" s="206"/>
      <c r="VW6" s="206"/>
      <c r="VX6" s="206"/>
      <c r="VY6" s="206"/>
      <c r="VZ6" s="206"/>
      <c r="WA6" s="206"/>
      <c r="WB6" s="206"/>
      <c r="WC6" s="206"/>
      <c r="WD6" s="206"/>
      <c r="WE6" s="206"/>
      <c r="WF6" s="206"/>
      <c r="WG6" s="206"/>
      <c r="WH6" s="206"/>
      <c r="WI6" s="206"/>
      <c r="WJ6" s="206"/>
      <c r="WK6" s="206"/>
      <c r="WL6" s="206"/>
      <c r="WM6" s="206"/>
      <c r="WN6" s="206"/>
      <c r="WO6" s="206"/>
      <c r="WP6" s="206"/>
      <c r="WQ6" s="206"/>
      <c r="WR6" s="206"/>
      <c r="WS6" s="206"/>
      <c r="WT6" s="206"/>
      <c r="WU6" s="723"/>
      <c r="WV6" s="206"/>
      <c r="WW6" s="206"/>
      <c r="WX6" s="206"/>
      <c r="WY6" s="206"/>
      <c r="WZ6" s="206"/>
      <c r="XA6" s="206"/>
      <c r="XB6" s="206"/>
      <c r="XC6" s="206"/>
      <c r="XD6" s="206"/>
      <c r="XE6" s="206"/>
      <c r="XF6" s="206"/>
      <c r="XG6" s="206"/>
      <c r="XH6" s="206"/>
      <c r="XI6" s="206"/>
      <c r="XJ6" s="206"/>
      <c r="XK6" s="206"/>
      <c r="XL6" s="206"/>
      <c r="XM6" s="206"/>
      <c r="XN6" s="206"/>
      <c r="XO6" s="206"/>
      <c r="XP6" s="206"/>
      <c r="XQ6" s="206"/>
      <c r="XR6" s="206"/>
      <c r="XS6" s="206"/>
      <c r="XT6" s="206"/>
      <c r="XU6" s="206"/>
      <c r="XV6" s="206"/>
      <c r="XW6" s="206"/>
      <c r="XX6" s="206"/>
      <c r="XY6" s="206"/>
      <c r="XZ6" s="206"/>
      <c r="YA6" s="206"/>
      <c r="YB6" s="206"/>
      <c r="YC6" s="206"/>
      <c r="YD6" s="206"/>
      <c r="YE6" s="206"/>
      <c r="YF6" s="206"/>
      <c r="YG6" s="206"/>
      <c r="YH6" s="206"/>
      <c r="YI6" s="206"/>
      <c r="YJ6" s="206"/>
      <c r="YK6" s="206"/>
      <c r="YL6" s="206"/>
      <c r="YM6" s="206"/>
      <c r="YN6" s="206"/>
      <c r="YO6" s="206"/>
      <c r="YP6" s="206"/>
      <c r="YQ6" s="206"/>
      <c r="YR6" s="206"/>
      <c r="YS6" s="206"/>
      <c r="YT6" s="206"/>
      <c r="YU6" s="206"/>
      <c r="YV6" s="125" t="str">
        <f t="shared" si="0"/>
        <v>neu (3)</v>
      </c>
      <c r="YW6" s="990">
        <f>B2</f>
        <v>46129</v>
      </c>
      <c r="YX6" s="991">
        <f t="shared" si="1"/>
        <v>-2.0705818900261797E-2</v>
      </c>
      <c r="YY6" s="206"/>
      <c r="YZ6" s="206"/>
      <c r="ZA6" s="206"/>
      <c r="ZB6" s="206"/>
      <c r="ZC6" s="206"/>
      <c r="ZD6" s="206"/>
      <c r="ZE6" s="206"/>
      <c r="ZF6" s="206"/>
      <c r="ZG6" s="206"/>
      <c r="ZH6" s="206"/>
      <c r="ZI6" s="206"/>
      <c r="ZJ6" s="206"/>
      <c r="ZK6" s="206"/>
      <c r="ZL6" s="206"/>
      <c r="ZM6" s="206"/>
      <c r="ZN6" s="206"/>
      <c r="ZO6" s="206"/>
      <c r="ZP6" s="206"/>
      <c r="ZQ6" s="206"/>
      <c r="ZR6" s="206"/>
      <c r="ZS6" s="206"/>
      <c r="ZT6" s="206"/>
      <c r="ZU6" s="206"/>
      <c r="ZV6" s="206"/>
      <c r="ZW6" s="206"/>
      <c r="ZX6" s="206"/>
      <c r="ZY6" s="206"/>
      <c r="ZZ6" s="206"/>
      <c r="AAA6" s="206"/>
      <c r="AAB6" s="206"/>
      <c r="AAC6" s="206"/>
      <c r="AAD6" s="206"/>
      <c r="AAE6" s="206"/>
      <c r="AAF6" s="206"/>
      <c r="AAG6" s="206"/>
      <c r="AAH6" s="206"/>
      <c r="AAI6" s="206"/>
      <c r="AAJ6" s="206"/>
      <c r="AAK6" s="206"/>
      <c r="AAL6" s="206"/>
      <c r="AAM6" s="206"/>
      <c r="AAN6" s="206"/>
      <c r="AAO6" s="206"/>
      <c r="AAP6" s="206"/>
      <c r="AAQ6" s="206"/>
      <c r="AAR6" s="206"/>
      <c r="AAS6" s="206"/>
      <c r="AAT6" s="206"/>
      <c r="AAU6" s="206"/>
      <c r="AAV6" s="206"/>
      <c r="AAW6" s="206"/>
      <c r="AAX6" s="206"/>
      <c r="AAY6" s="206"/>
      <c r="AAZ6" s="206"/>
      <c r="ABA6" s="206"/>
      <c r="ABB6" s="206"/>
      <c r="ABC6" s="206"/>
      <c r="ABD6" s="206"/>
      <c r="ABE6" s="206"/>
      <c r="ABF6" s="206"/>
      <c r="ABG6" s="206"/>
      <c r="ABH6" s="206"/>
      <c r="ABI6" s="206"/>
      <c r="ABJ6" s="206"/>
      <c r="ABK6" s="206"/>
      <c r="ABL6" s="206"/>
      <c r="ABM6" s="206"/>
      <c r="ABN6" s="206"/>
      <c r="ABO6" s="206"/>
      <c r="ABP6" s="206"/>
      <c r="ABQ6" s="206"/>
      <c r="ABR6" s="206"/>
      <c r="ABS6" s="206"/>
      <c r="ABT6" s="206"/>
      <c r="ABU6" s="206"/>
      <c r="ABV6" s="206"/>
      <c r="ABW6" s="206"/>
      <c r="ABX6" s="206"/>
      <c r="ABY6" s="206"/>
      <c r="ABZ6" s="206"/>
      <c r="ACA6" s="206"/>
      <c r="ACB6" s="206"/>
      <c r="ACC6" s="206"/>
      <c r="ACD6" s="206"/>
      <c r="ACE6" s="206"/>
      <c r="ACF6" s="206"/>
      <c r="ACG6" s="206"/>
      <c r="ACH6" s="206"/>
      <c r="ACI6" s="206"/>
      <c r="ACJ6" s="206"/>
      <c r="ACK6" s="206"/>
      <c r="ACL6" s="206"/>
      <c r="ACM6" s="206"/>
      <c r="ACN6" s="206"/>
      <c r="ACO6" s="206"/>
      <c r="ACP6" s="206"/>
      <c r="ACQ6" s="206"/>
      <c r="ACR6" s="206"/>
      <c r="ACS6" s="206"/>
      <c r="ACT6" s="206"/>
      <c r="ACU6" s="206"/>
      <c r="ACV6" s="206"/>
      <c r="ACW6" s="206"/>
      <c r="ACX6" s="206"/>
      <c r="ACY6" s="206"/>
      <c r="ACZ6" s="206"/>
      <c r="ADA6" s="206"/>
      <c r="ADB6" s="206"/>
      <c r="ADC6" s="206"/>
      <c r="ADD6" s="206"/>
      <c r="ADE6" s="206"/>
      <c r="ADF6" s="206"/>
      <c r="ADG6" s="206"/>
      <c r="ADH6" s="206"/>
      <c r="ADI6" s="206"/>
      <c r="ADJ6" s="206"/>
      <c r="ADK6" s="206"/>
      <c r="ADL6" s="206"/>
      <c r="ADM6" s="206"/>
      <c r="ADN6" s="206"/>
      <c r="ADO6" s="206"/>
      <c r="ADP6" s="206"/>
      <c r="ADQ6" s="206"/>
      <c r="ADR6" s="206"/>
      <c r="ADS6" s="206"/>
      <c r="ADT6" s="206"/>
      <c r="ADU6" s="206"/>
      <c r="ADV6" s="206"/>
      <c r="ADW6" s="206"/>
      <c r="ADX6" s="206"/>
      <c r="ADY6" s="206"/>
      <c r="ADZ6" s="206"/>
      <c r="AEA6" s="206"/>
      <c r="AEB6" s="206"/>
      <c r="AEC6" s="206"/>
      <c r="AED6" s="206"/>
      <c r="AEE6" s="206"/>
      <c r="AEF6" s="206"/>
      <c r="AEG6" s="206"/>
      <c r="AEH6" s="206"/>
      <c r="AEI6" s="206"/>
      <c r="AEJ6" s="206"/>
      <c r="AEK6" s="206"/>
      <c r="AEL6" s="206"/>
      <c r="AEM6" s="206"/>
      <c r="AEN6" s="206"/>
      <c r="AEO6" s="206"/>
      <c r="AEP6" s="206"/>
      <c r="AEQ6" s="206"/>
      <c r="AER6" s="206"/>
      <c r="AES6" s="206"/>
      <c r="AET6" s="206"/>
      <c r="AEU6" s="206"/>
      <c r="AEV6" s="206"/>
      <c r="AEW6" s="206"/>
      <c r="AEX6" s="206"/>
      <c r="AEY6" s="206"/>
      <c r="AEZ6" s="206"/>
      <c r="AFA6" s="206"/>
      <c r="AFB6" s="206"/>
      <c r="AFC6" s="206"/>
      <c r="AFD6" s="206"/>
      <c r="AFE6" s="206"/>
      <c r="AFF6" s="206"/>
      <c r="AFG6" s="206"/>
      <c r="AFH6" s="206"/>
      <c r="AFI6" s="206"/>
      <c r="AFJ6" s="206"/>
      <c r="AFK6" s="206"/>
      <c r="AFL6" s="206"/>
      <c r="AFM6" s="206"/>
      <c r="AFN6" s="206"/>
      <c r="AFO6" s="206"/>
      <c r="AFP6" s="206"/>
      <c r="AFQ6" s="206"/>
      <c r="AFR6" s="206"/>
      <c r="AFS6" s="206"/>
      <c r="AFT6" s="206"/>
      <c r="AFU6" s="206"/>
      <c r="AFV6" s="206"/>
      <c r="AFW6" s="206"/>
      <c r="AFX6" s="206"/>
      <c r="AFY6" s="206"/>
      <c r="AFZ6" s="206"/>
      <c r="AGA6" s="206"/>
      <c r="AGB6" s="206"/>
      <c r="AGC6" s="206"/>
      <c r="AGD6" s="206"/>
      <c r="AGE6" s="206"/>
      <c r="AGF6" s="206"/>
      <c r="AGG6" s="206"/>
      <c r="AGH6" s="206"/>
      <c r="AGI6" s="206"/>
      <c r="AGJ6" s="206"/>
      <c r="AGK6" s="206"/>
      <c r="AGL6" s="206"/>
      <c r="AGM6" s="206"/>
      <c r="AGN6" s="206"/>
      <c r="AGO6" s="206"/>
      <c r="AGP6" s="206"/>
      <c r="AGQ6" s="206"/>
      <c r="AGR6" s="206"/>
      <c r="AGS6" s="206"/>
      <c r="AGT6" s="206"/>
      <c r="AGU6" s="206"/>
      <c r="AGV6" s="206"/>
      <c r="AGW6" s="206"/>
      <c r="AGX6" s="206"/>
      <c r="AGY6" s="206"/>
      <c r="AGZ6" s="206"/>
      <c r="AHA6" s="206"/>
      <c r="AHB6" s="206"/>
      <c r="AHC6" s="206"/>
      <c r="AHD6" s="206"/>
      <c r="AHE6" s="206"/>
      <c r="AHF6" s="206"/>
      <c r="AHG6" s="206"/>
      <c r="AHH6" s="206"/>
      <c r="AHI6" s="206"/>
      <c r="AHJ6" s="206"/>
      <c r="AHK6" s="206"/>
      <c r="AHL6" s="206"/>
      <c r="AHM6" s="206"/>
      <c r="AHN6" s="206"/>
      <c r="AHO6" s="206"/>
      <c r="AHP6" s="206"/>
      <c r="AHQ6" s="206"/>
      <c r="AHR6" s="206"/>
      <c r="AHS6" s="206"/>
      <c r="AHT6" s="206"/>
      <c r="AHU6" s="206"/>
      <c r="AHV6" s="206"/>
      <c r="AHW6" s="206"/>
      <c r="AHX6" s="206"/>
      <c r="AHY6" s="206"/>
      <c r="AHZ6" s="206"/>
      <c r="AIA6" s="206"/>
      <c r="AIB6" s="206"/>
    </row>
    <row r="7" spans="1:944" s="227" customFormat="1" x14ac:dyDescent="0.45">
      <c r="B7" s="727" t="s">
        <v>222</v>
      </c>
      <c r="C7" s="108"/>
      <c r="D7" s="108"/>
      <c r="E7" s="207"/>
      <c r="F7" s="207"/>
      <c r="G7" s="208"/>
      <c r="H7" s="207"/>
      <c r="I7" s="207"/>
      <c r="J7" s="209"/>
      <c r="K7" s="209"/>
      <c r="L7" s="210"/>
      <c r="M7" s="211"/>
      <c r="N7" s="180"/>
      <c r="O7" s="209"/>
      <c r="P7" s="212"/>
      <c r="Q7" s="213"/>
      <c r="R7" s="214"/>
      <c r="S7" s="214"/>
      <c r="T7" s="214"/>
      <c r="U7" s="214"/>
      <c r="V7" s="214"/>
      <c r="W7" s="214"/>
      <c r="X7" s="213"/>
      <c r="Y7" s="124"/>
      <c r="Z7" s="215"/>
      <c r="AA7" s="124"/>
      <c r="AB7" s="213"/>
      <c r="AC7" s="216"/>
      <c r="AD7" s="217"/>
      <c r="AE7" s="218"/>
      <c r="AF7" s="218"/>
      <c r="AG7" s="213"/>
      <c r="AH7" s="218"/>
      <c r="AI7" s="218"/>
      <c r="AJ7" s="219" t="s">
        <v>201</v>
      </c>
      <c r="AK7" s="218"/>
      <c r="AL7" s="218"/>
      <c r="AM7" s="218"/>
      <c r="AN7" s="220"/>
      <c r="AO7" s="213"/>
      <c r="AP7" s="216"/>
      <c r="AQ7" s="216"/>
      <c r="AR7" s="213"/>
      <c r="AS7" s="216"/>
      <c r="AT7" s="221"/>
      <c r="AU7" s="213"/>
      <c r="AV7" s="218"/>
      <c r="AW7" s="218"/>
      <c r="AX7" s="218"/>
      <c r="AY7" s="222"/>
      <c r="AZ7" s="222"/>
      <c r="BA7" s="222"/>
      <c r="BB7" s="222"/>
      <c r="BC7" s="222"/>
      <c r="BD7" s="222"/>
      <c r="BE7" s="222"/>
      <c r="BF7" s="222"/>
      <c r="BG7" s="222"/>
      <c r="BH7" s="222"/>
      <c r="BI7" s="222"/>
      <c r="BJ7" s="222"/>
      <c r="BK7" s="222"/>
      <c r="BL7" s="222"/>
      <c r="BM7" s="222"/>
      <c r="BN7" s="213"/>
      <c r="BO7" s="223"/>
      <c r="BP7" s="223"/>
      <c r="BQ7" s="223"/>
      <c r="BR7" s="223"/>
      <c r="BS7" s="213"/>
      <c r="BT7" s="207"/>
      <c r="BU7" s="224"/>
      <c r="BV7" s="224"/>
      <c r="BW7" s="224"/>
      <c r="BX7" s="224"/>
      <c r="BY7" s="224"/>
      <c r="BZ7" s="224"/>
      <c r="CA7" s="224"/>
      <c r="CB7" s="224"/>
      <c r="CC7" s="224"/>
      <c r="CD7" s="224"/>
      <c r="CE7" s="224"/>
      <c r="CF7" s="213"/>
      <c r="CG7" s="224"/>
      <c r="CH7" s="224"/>
      <c r="CI7" s="224"/>
      <c r="CJ7" s="213"/>
      <c r="CK7" s="226"/>
      <c r="CL7" s="226"/>
      <c r="CM7" s="226"/>
      <c r="CN7" s="226"/>
      <c r="CO7" s="226"/>
      <c r="CP7" s="226"/>
      <c r="CQ7" s="226"/>
      <c r="CR7" s="226"/>
      <c r="CS7" s="226"/>
      <c r="CT7" s="226"/>
      <c r="CU7" s="213"/>
      <c r="CV7" s="228"/>
      <c r="CW7" s="228"/>
      <c r="CX7" s="228"/>
      <c r="CY7" s="228"/>
      <c r="CZ7" s="228"/>
      <c r="DA7" s="228"/>
      <c r="DB7" s="228"/>
      <c r="DC7" s="228"/>
      <c r="DD7" s="228"/>
      <c r="DE7" s="228"/>
      <c r="DF7" s="228"/>
      <c r="DG7" s="213"/>
      <c r="DH7" s="226"/>
      <c r="DI7" s="226"/>
      <c r="DJ7" s="226"/>
      <c r="DK7" s="226"/>
      <c r="DL7" s="226"/>
      <c r="DM7" s="226"/>
      <c r="DN7" s="226"/>
      <c r="DO7" s="226"/>
      <c r="DP7" s="226"/>
      <c r="DQ7" s="226"/>
      <c r="DR7" s="213"/>
      <c r="DS7" s="228"/>
      <c r="DT7" s="228"/>
      <c r="DU7" s="228"/>
      <c r="DV7" s="228"/>
      <c r="DW7" s="228"/>
      <c r="DX7" s="228"/>
      <c r="DY7" s="228"/>
      <c r="DZ7" s="228"/>
      <c r="EA7" s="228"/>
      <c r="EB7" s="228"/>
      <c r="EC7" s="228"/>
      <c r="ED7" s="213"/>
      <c r="EE7" s="229"/>
      <c r="EF7" s="224"/>
      <c r="EG7" s="224"/>
      <c r="EH7" s="224"/>
      <c r="EI7" s="224"/>
      <c r="EJ7" s="224"/>
      <c r="EK7" s="224"/>
      <c r="EL7" s="213"/>
      <c r="EM7" s="228"/>
      <c r="EN7" s="228"/>
      <c r="EO7" s="228"/>
      <c r="EP7" s="228"/>
      <c r="EQ7" s="228"/>
      <c r="ER7" s="228"/>
      <c r="ES7" s="213"/>
      <c r="ET7" s="207"/>
      <c r="EU7" s="228"/>
      <c r="EV7" s="228"/>
      <c r="EW7" s="228"/>
      <c r="EX7" s="228"/>
      <c r="EY7" s="228"/>
      <c r="EZ7" s="228"/>
      <c r="FA7" s="228"/>
      <c r="FB7" s="228"/>
      <c r="FC7" s="228"/>
      <c r="FD7" s="228"/>
      <c r="FE7" s="228"/>
      <c r="FF7" s="225"/>
      <c r="FG7" s="228"/>
      <c r="FH7" s="228"/>
      <c r="FI7" s="228"/>
      <c r="FJ7" s="225"/>
      <c r="FK7" s="228"/>
      <c r="FL7" s="228"/>
      <c r="FM7" s="228"/>
      <c r="FN7" s="228"/>
      <c r="FO7" s="228"/>
      <c r="FP7" s="225"/>
      <c r="FQ7" s="207"/>
      <c r="FR7" s="228"/>
      <c r="FS7" s="228"/>
      <c r="FT7" s="228"/>
      <c r="FU7" s="228"/>
      <c r="FV7" s="228"/>
      <c r="FW7" s="228"/>
      <c r="FX7" s="228"/>
      <c r="FY7" s="228"/>
      <c r="FZ7" s="228"/>
      <c r="GA7" s="228"/>
      <c r="GB7" s="228"/>
      <c r="GC7" s="225"/>
      <c r="GD7" s="228"/>
      <c r="GE7" s="228"/>
      <c r="GF7" s="228"/>
      <c r="GG7" s="225"/>
      <c r="GH7" s="169"/>
      <c r="GI7" s="228"/>
      <c r="GJ7" s="228"/>
      <c r="GK7" s="228"/>
      <c r="GL7" s="228"/>
      <c r="GM7" s="228"/>
      <c r="GN7" s="228"/>
      <c r="GO7" s="228"/>
      <c r="GP7" s="228"/>
      <c r="GQ7" s="228"/>
      <c r="GR7" s="228"/>
      <c r="GS7" s="228"/>
      <c r="GT7" s="225"/>
      <c r="GU7" s="228"/>
      <c r="GV7" s="228"/>
      <c r="GW7" s="107"/>
      <c r="GX7" s="230"/>
      <c r="GY7" s="107"/>
      <c r="GZ7" s="107"/>
      <c r="HA7" s="231"/>
      <c r="HB7" s="231"/>
      <c r="HC7" s="231"/>
      <c r="HD7" s="231"/>
      <c r="HE7" s="228"/>
      <c r="HF7" s="228"/>
      <c r="HG7" s="228"/>
      <c r="HH7" s="228"/>
      <c r="HI7" s="228"/>
      <c r="HJ7" s="228"/>
      <c r="HK7" s="228"/>
      <c r="HL7" s="232"/>
      <c r="HM7" s="228"/>
      <c r="HN7" s="228"/>
      <c r="HO7" s="228"/>
      <c r="HP7" s="225"/>
      <c r="HQ7" s="230"/>
      <c r="HR7" s="225"/>
      <c r="HS7" s="233"/>
      <c r="HT7" s="233"/>
      <c r="HU7" s="233"/>
      <c r="HV7" s="233"/>
      <c r="HW7" s="233"/>
      <c r="HX7" s="225"/>
      <c r="HY7" s="218"/>
      <c r="HZ7" s="233"/>
      <c r="IA7" s="233"/>
      <c r="IB7" s="233"/>
      <c r="IC7" s="233"/>
      <c r="ID7" s="233"/>
      <c r="IE7" s="225"/>
      <c r="IK7" s="225"/>
      <c r="IL7" s="233"/>
      <c r="IM7" s="225"/>
      <c r="IN7" s="233"/>
      <c r="IO7" s="233"/>
      <c r="IP7" s="233"/>
      <c r="IQ7" s="233"/>
      <c r="IR7" s="233"/>
      <c r="IS7" s="225"/>
      <c r="IT7" s="233"/>
      <c r="IU7" s="233"/>
      <c r="IV7" s="233"/>
      <c r="IW7" s="225"/>
      <c r="IX7" s="226"/>
      <c r="IY7" s="223"/>
      <c r="IZ7" s="235"/>
      <c r="JA7" s="235"/>
      <c r="JB7" s="235"/>
      <c r="JC7" s="235"/>
      <c r="JD7" s="235"/>
      <c r="JE7" s="235"/>
      <c r="JF7" s="225"/>
      <c r="JG7" s="235"/>
      <c r="JH7" s="225"/>
      <c r="JI7" s="235"/>
      <c r="JJ7" s="236"/>
      <c r="JK7" s="235"/>
      <c r="JL7" s="107"/>
      <c r="JM7" s="230"/>
      <c r="JN7" s="225"/>
      <c r="JO7" s="237"/>
      <c r="JP7" s="237"/>
      <c r="JQ7" s="237"/>
      <c r="JR7" s="237"/>
      <c r="JS7" s="237"/>
      <c r="JT7" s="237"/>
      <c r="JU7" s="237"/>
      <c r="JV7" s="237"/>
      <c r="JW7" s="237"/>
      <c r="JX7" s="237"/>
      <c r="JY7" s="237"/>
      <c r="JZ7" s="238"/>
      <c r="KA7" s="225"/>
      <c r="KB7" s="228"/>
      <c r="KC7" s="228"/>
      <c r="KD7" s="228"/>
      <c r="KE7" s="228"/>
      <c r="KF7" s="228"/>
      <c r="KG7" s="228"/>
      <c r="KH7" s="228"/>
      <c r="KI7" s="228"/>
      <c r="KJ7" s="228"/>
      <c r="KK7" s="228"/>
      <c r="KL7" s="232"/>
      <c r="KM7" s="225"/>
      <c r="KN7" s="235"/>
      <c r="KO7" s="235"/>
      <c r="KP7" s="235"/>
      <c r="KQ7" s="235"/>
      <c r="KR7" s="235"/>
      <c r="KS7" s="235"/>
      <c r="KT7" s="235"/>
      <c r="KU7" s="235"/>
      <c r="KV7" s="235"/>
      <c r="KW7" s="235"/>
      <c r="KX7" s="239"/>
      <c r="KY7" s="225"/>
      <c r="KZ7" s="235"/>
      <c r="LA7" s="235"/>
      <c r="LB7" s="235"/>
      <c r="LC7" s="225"/>
      <c r="LD7" s="237"/>
      <c r="LE7" s="237"/>
      <c r="LF7" s="237"/>
      <c r="LG7" s="237"/>
      <c r="LH7" s="237"/>
      <c r="LI7" s="237"/>
      <c r="LJ7" s="237"/>
      <c r="LK7" s="237"/>
      <c r="LL7" s="237"/>
      <c r="LM7" s="237"/>
      <c r="LN7" s="237"/>
      <c r="LO7" s="238"/>
      <c r="LP7" s="225"/>
      <c r="LQ7" s="240"/>
      <c r="LR7" s="240"/>
      <c r="LS7" s="240"/>
      <c r="LT7" s="240"/>
      <c r="LU7" s="240"/>
      <c r="LV7" s="240"/>
      <c r="LW7" s="240"/>
      <c r="LX7" s="240"/>
      <c r="LY7" s="240"/>
      <c r="LZ7" s="240"/>
      <c r="MA7" s="239"/>
      <c r="MB7" s="225"/>
      <c r="MC7" s="240"/>
      <c r="MD7" s="240"/>
      <c r="ME7" s="240"/>
      <c r="MF7" s="240"/>
      <c r="MG7" s="240"/>
      <c r="MH7" s="240"/>
      <c r="MI7" s="240"/>
      <c r="MJ7" s="240"/>
      <c r="MK7" s="240"/>
      <c r="ML7" s="240"/>
      <c r="MM7" s="213"/>
      <c r="MN7" s="225"/>
      <c r="MO7" s="228"/>
      <c r="MP7" s="228"/>
      <c r="MQ7" s="228"/>
      <c r="MR7" s="228"/>
      <c r="MS7" s="228"/>
      <c r="MT7" s="228"/>
      <c r="MU7" s="228"/>
      <c r="MV7" s="228"/>
      <c r="MW7" s="228"/>
      <c r="MX7" s="228"/>
      <c r="MY7" s="241"/>
      <c r="MZ7" s="228"/>
      <c r="NA7" s="225"/>
      <c r="NB7" s="238"/>
      <c r="NC7" s="238"/>
      <c r="ND7" s="238"/>
      <c r="NE7" s="238"/>
      <c r="NF7" s="238"/>
      <c r="NG7" s="238"/>
      <c r="NH7" s="238"/>
      <c r="NI7" s="238"/>
      <c r="NJ7" s="238"/>
      <c r="NK7" s="238"/>
      <c r="NL7" s="238"/>
      <c r="NM7" s="238"/>
      <c r="NN7" s="225"/>
      <c r="NO7" s="242"/>
      <c r="NP7" s="233"/>
      <c r="NQ7" s="233"/>
      <c r="NR7" s="243"/>
      <c r="NS7" s="244"/>
      <c r="NT7" s="233"/>
      <c r="NU7" s="233"/>
      <c r="NV7" s="233"/>
      <c r="NW7" s="233"/>
      <c r="NX7" s="225"/>
      <c r="NY7" s="233"/>
      <c r="NZ7" s="211"/>
      <c r="OA7" s="245"/>
      <c r="OB7" s="168"/>
      <c r="OC7" s="245"/>
      <c r="OD7" s="213"/>
      <c r="OE7" s="245"/>
      <c r="OF7" s="245"/>
      <c r="OG7" s="225"/>
      <c r="OH7" s="245"/>
      <c r="OI7" s="245"/>
      <c r="OJ7" s="225"/>
      <c r="OK7" s="230"/>
      <c r="OL7" s="225"/>
      <c r="OM7" s="205"/>
      <c r="ON7" s="205"/>
      <c r="OO7" s="205"/>
      <c r="OP7" s="205"/>
      <c r="OQ7" s="205"/>
      <c r="OR7" s="205"/>
      <c r="OS7" s="205"/>
      <c r="OT7" s="205"/>
      <c r="OU7" s="205"/>
      <c r="OV7" s="205"/>
      <c r="OW7" s="205"/>
      <c r="OX7" s="205"/>
      <c r="OY7" s="205"/>
      <c r="OZ7" s="205"/>
      <c r="PA7" s="205"/>
      <c r="PB7" s="205"/>
      <c r="PC7" s="205"/>
      <c r="PD7" s="205"/>
      <c r="PE7" s="205"/>
      <c r="PF7" s="205"/>
      <c r="PG7" s="205"/>
      <c r="PH7" s="205"/>
      <c r="PI7" s="205"/>
      <c r="PJ7" s="205"/>
      <c r="PK7" s="205"/>
      <c r="PL7" s="205"/>
      <c r="PM7" s="205"/>
      <c r="PN7" s="205"/>
      <c r="PO7" s="205"/>
      <c r="PP7" s="205"/>
      <c r="PQ7" s="205"/>
      <c r="PR7" s="205"/>
      <c r="PS7" s="205"/>
      <c r="PT7" s="205"/>
      <c r="PU7" s="205"/>
      <c r="PV7" s="205"/>
      <c r="PW7" s="205"/>
      <c r="PX7" s="205"/>
      <c r="PY7" s="205"/>
      <c r="PZ7" s="205"/>
      <c r="QA7" s="205"/>
      <c r="QB7" s="205"/>
      <c r="QC7" s="205"/>
      <c r="QD7" s="205"/>
      <c r="QE7" s="205"/>
      <c r="QF7" s="205"/>
      <c r="QG7" s="205"/>
      <c r="QH7" s="205"/>
      <c r="QI7" s="205"/>
      <c r="QJ7" s="205"/>
      <c r="QK7" s="205"/>
      <c r="QL7" s="205"/>
      <c r="QM7" s="205"/>
      <c r="QN7" s="205"/>
      <c r="QO7" s="205"/>
      <c r="QP7" s="205"/>
      <c r="QQ7" s="205"/>
      <c r="QR7" s="205"/>
      <c r="QS7" s="205"/>
      <c r="QT7" s="205"/>
      <c r="QU7" s="205"/>
      <c r="QV7" s="205"/>
      <c r="QW7" s="205"/>
      <c r="QX7" s="205"/>
      <c r="QY7" s="205"/>
      <c r="QZ7" s="205"/>
      <c r="RA7" s="205"/>
      <c r="RB7" s="205"/>
      <c r="RC7" s="205"/>
      <c r="RD7" s="205"/>
      <c r="RE7" s="205"/>
      <c r="RF7" s="205"/>
      <c r="RG7" s="205"/>
      <c r="RH7" s="205"/>
      <c r="RI7" s="205"/>
      <c r="RJ7" s="205"/>
      <c r="RK7" s="205"/>
      <c r="RL7" s="205"/>
      <c r="RM7" s="205"/>
      <c r="RN7" s="205"/>
      <c r="RO7" s="205"/>
      <c r="RP7" s="205"/>
      <c r="RQ7" s="205"/>
      <c r="RR7" s="205"/>
      <c r="RS7" s="205"/>
      <c r="RT7" s="205"/>
      <c r="RU7" s="205"/>
      <c r="RV7" s="205"/>
      <c r="RW7" s="205"/>
      <c r="RX7" s="205"/>
      <c r="RY7" s="205"/>
      <c r="RZ7" s="205"/>
      <c r="SA7" s="205"/>
      <c r="SB7" s="205"/>
      <c r="SC7" s="205"/>
      <c r="SD7" s="205"/>
      <c r="SE7" s="205"/>
      <c r="SF7" s="205"/>
      <c r="SG7" s="205"/>
      <c r="SH7" s="205"/>
      <c r="SI7" s="246"/>
      <c r="SJ7" s="246"/>
      <c r="SK7" s="246"/>
      <c r="SL7" s="246"/>
      <c r="SM7" s="246"/>
      <c r="SN7" s="247"/>
      <c r="SO7" s="247"/>
      <c r="SP7" s="246"/>
      <c r="SQ7" s="246"/>
      <c r="SR7" s="246"/>
      <c r="SS7" s="246"/>
      <c r="ST7" s="246"/>
      <c r="SU7" s="225"/>
      <c r="SV7" s="228"/>
      <c r="SW7" s="228"/>
      <c r="SX7" s="228"/>
      <c r="SY7" s="228"/>
      <c r="SZ7" s="228"/>
      <c r="TA7" s="228"/>
      <c r="TB7" s="228"/>
      <c r="TC7" s="228"/>
      <c r="TD7" s="228"/>
      <c r="TE7" s="228"/>
      <c r="TF7" s="228"/>
      <c r="TG7" s="228"/>
      <c r="TH7" s="225"/>
      <c r="TI7" s="233"/>
      <c r="TJ7" s="233"/>
      <c r="TK7" s="233"/>
      <c r="TL7" s="235"/>
      <c r="TM7" s="235"/>
      <c r="TN7" s="235"/>
      <c r="TO7" s="235"/>
      <c r="TP7" s="235"/>
      <c r="TQ7" s="235"/>
      <c r="TR7" s="235"/>
      <c r="TS7" s="233"/>
      <c r="TT7" s="233"/>
      <c r="TU7" s="225"/>
      <c r="TV7" s="248"/>
      <c r="TW7" s="248"/>
      <c r="TX7" s="248"/>
      <c r="TY7" s="248"/>
      <c r="TZ7" s="248"/>
      <c r="UA7" s="248"/>
      <c r="UB7" s="248"/>
      <c r="UC7" s="248"/>
      <c r="UD7" s="248"/>
      <c r="UE7" s="248"/>
      <c r="UF7" s="248"/>
      <c r="UG7" s="248"/>
      <c r="UH7" s="225"/>
      <c r="UI7" s="248"/>
      <c r="UJ7" s="107"/>
      <c r="UK7" s="248"/>
      <c r="UL7" s="248"/>
      <c r="UM7" s="248"/>
      <c r="UN7" s="248"/>
      <c r="UO7" s="248"/>
      <c r="UP7" s="107"/>
      <c r="UQ7" s="107"/>
      <c r="UR7" s="107"/>
      <c r="US7" s="107"/>
      <c r="UT7" s="107"/>
      <c r="UU7" s="225"/>
      <c r="UV7" s="246"/>
      <c r="UW7" s="247"/>
      <c r="UX7" s="247"/>
      <c r="UY7" s="247"/>
      <c r="UZ7" s="247"/>
      <c r="VA7" s="247"/>
      <c r="VB7" s="247"/>
      <c r="VC7" s="247"/>
      <c r="VD7" s="247"/>
      <c r="VE7" s="247"/>
      <c r="VF7" s="246"/>
      <c r="VG7" s="246"/>
      <c r="VH7" s="225"/>
      <c r="VI7" s="248"/>
      <c r="VJ7" s="231"/>
      <c r="VK7" s="248"/>
      <c r="VL7" s="248"/>
      <c r="VM7" s="248"/>
      <c r="VN7" s="248"/>
      <c r="VO7" s="248"/>
      <c r="VP7" s="248"/>
      <c r="VQ7" s="248"/>
      <c r="VR7" s="248"/>
      <c r="VS7" s="248"/>
      <c r="VT7" s="248"/>
      <c r="VU7" s="225"/>
      <c r="VV7" s="247"/>
      <c r="VW7" s="247"/>
      <c r="VX7" s="247"/>
      <c r="VY7" s="247"/>
      <c r="VZ7" s="247"/>
      <c r="WA7" s="247"/>
      <c r="WB7" s="247"/>
      <c r="WC7" s="247"/>
      <c r="WD7" s="247"/>
      <c r="WE7" s="247"/>
      <c r="WF7" s="247"/>
      <c r="WG7" s="247"/>
      <c r="WH7" s="225"/>
      <c r="WI7" s="248"/>
      <c r="WJ7" s="248"/>
      <c r="WK7" s="248"/>
      <c r="WL7" s="248"/>
      <c r="WM7" s="248"/>
      <c r="WN7" s="248"/>
      <c r="WO7" s="248"/>
      <c r="WP7" s="248"/>
      <c r="WQ7" s="248"/>
      <c r="WR7" s="248"/>
      <c r="WS7" s="248"/>
      <c r="WT7" s="248"/>
      <c r="WU7" s="723"/>
      <c r="WV7" s="248"/>
      <c r="WW7" s="248"/>
      <c r="WX7" s="248"/>
      <c r="WY7" s="248"/>
      <c r="WZ7" s="248"/>
      <c r="XA7" s="248"/>
      <c r="XB7" s="248"/>
      <c r="XC7" s="248"/>
      <c r="XD7" s="248"/>
      <c r="XE7" s="248"/>
      <c r="XF7" s="248"/>
      <c r="XG7" s="225"/>
      <c r="XH7" s="247"/>
      <c r="XI7" s="247"/>
      <c r="XJ7" s="247"/>
      <c r="XK7" s="247"/>
      <c r="XL7" s="247"/>
      <c r="XM7" s="247"/>
      <c r="XN7" s="247"/>
      <c r="XO7" s="247"/>
      <c r="XP7" s="247"/>
      <c r="XQ7" s="247"/>
      <c r="XR7" s="247"/>
      <c r="XS7" s="225"/>
      <c r="XT7" s="248"/>
      <c r="XU7" s="248"/>
      <c r="XV7" s="248"/>
      <c r="XW7" s="248"/>
      <c r="XX7" s="248"/>
      <c r="XY7" s="248"/>
      <c r="XZ7" s="248"/>
      <c r="YA7" s="248"/>
      <c r="YB7" s="248"/>
      <c r="YC7" s="248"/>
      <c r="YD7" s="248"/>
      <c r="YE7" s="225"/>
      <c r="YF7" s="248"/>
      <c r="YG7" s="248"/>
      <c r="YH7" s="248"/>
      <c r="YI7" s="248"/>
      <c r="YJ7" s="248"/>
      <c r="YK7" s="248"/>
      <c r="YL7" s="248"/>
      <c r="YM7" s="248"/>
      <c r="YN7" s="248"/>
      <c r="YO7" s="248"/>
      <c r="YP7" s="248"/>
      <c r="YQ7" s="225"/>
      <c r="YR7" s="248"/>
      <c r="YS7" s="248"/>
      <c r="YT7" s="248"/>
      <c r="YU7" s="225"/>
      <c r="YV7" s="248"/>
      <c r="YW7" s="248"/>
      <c r="YX7" s="248"/>
      <c r="YY7" s="249"/>
      <c r="YZ7" s="250"/>
      <c r="ZC7" s="249"/>
      <c r="ZE7" s="233"/>
      <c r="ZF7" s="233"/>
      <c r="ZG7" s="233"/>
      <c r="ZH7" s="233"/>
      <c r="ZI7" s="233"/>
      <c r="ZJ7" s="234"/>
      <c r="ZU7" s="251"/>
      <c r="AAS7" s="169"/>
      <c r="AAT7" s="228"/>
      <c r="AAU7" s="228"/>
      <c r="AAV7" s="228"/>
      <c r="AAW7" s="228"/>
      <c r="AAX7" s="228"/>
      <c r="AAY7" s="228"/>
      <c r="AAZ7" s="228"/>
      <c r="ABA7" s="228"/>
      <c r="ABB7" s="228"/>
      <c r="ABC7" s="228"/>
      <c r="ABD7" s="228"/>
      <c r="ABF7" s="228"/>
      <c r="ABG7" s="228"/>
      <c r="ABJ7" s="228"/>
      <c r="ABK7" s="228"/>
      <c r="ABL7" s="228"/>
      <c r="ABM7" s="228"/>
      <c r="ABN7" s="228"/>
      <c r="ABO7" s="228"/>
      <c r="ABP7" s="228"/>
      <c r="ABQ7" s="228"/>
      <c r="ABR7" s="228"/>
      <c r="ABS7" s="228"/>
      <c r="ABT7" s="228"/>
      <c r="ABU7" s="225"/>
      <c r="ABV7" s="228"/>
      <c r="ABW7" s="228"/>
      <c r="ABX7" s="228"/>
      <c r="ABY7" s="228"/>
      <c r="ABZ7" s="228"/>
      <c r="ACA7" s="225"/>
      <c r="ACL7" s="248"/>
      <c r="ACM7" s="248"/>
      <c r="ACN7" s="248"/>
      <c r="ACO7" s="248"/>
      <c r="ACP7" s="248"/>
      <c r="ACQ7" s="248"/>
      <c r="ACR7" s="248"/>
      <c r="ACS7" s="248"/>
      <c r="ACT7" s="248"/>
      <c r="ACU7" s="248"/>
      <c r="ACV7" s="248"/>
      <c r="ACW7" s="248"/>
      <c r="ACY7" s="169"/>
      <c r="ACZ7" s="228"/>
      <c r="ADA7" s="228"/>
      <c r="ADB7" s="228"/>
      <c r="ADC7" s="228"/>
      <c r="ADD7" s="228"/>
      <c r="ADE7" s="228"/>
      <c r="ADF7" s="228"/>
      <c r="ADG7" s="228"/>
      <c r="ADH7" s="228"/>
      <c r="ADI7" s="228"/>
      <c r="ADJ7" s="228"/>
      <c r="ADK7" s="228"/>
      <c r="ADL7" s="228"/>
      <c r="ADM7" s="228"/>
      <c r="ADN7" s="228"/>
      <c r="ADO7" s="228"/>
      <c r="ADP7" s="228"/>
      <c r="AEB7" s="248"/>
      <c r="AEC7" s="248"/>
      <c r="AED7" s="248"/>
      <c r="AEE7" s="248"/>
      <c r="AEF7" s="248"/>
      <c r="AEG7" s="248"/>
      <c r="AEH7" s="248"/>
      <c r="AEI7" s="248"/>
      <c r="AEJ7" s="248"/>
      <c r="AEK7" s="248"/>
      <c r="AEM7" s="248"/>
      <c r="AEN7" s="248"/>
      <c r="AEO7" s="248"/>
      <c r="AEP7" s="248"/>
      <c r="AEQ7" s="248"/>
      <c r="AER7" s="248"/>
      <c r="AES7" s="248"/>
      <c r="AET7" s="248"/>
      <c r="AEU7" s="248"/>
      <c r="AEV7" s="248"/>
      <c r="AEW7" s="248"/>
      <c r="AEY7" s="248"/>
      <c r="AEZ7" s="248"/>
      <c r="AFA7" s="248"/>
      <c r="AFB7" s="248"/>
      <c r="AFC7" s="248"/>
      <c r="AFD7" s="248"/>
      <c r="AFE7" s="248"/>
      <c r="AFF7" s="248"/>
      <c r="AFG7" s="248"/>
      <c r="AFH7" s="248"/>
      <c r="AFI7" s="248"/>
      <c r="AFK7" s="248"/>
      <c r="AFL7" s="248"/>
      <c r="AFM7" s="248"/>
      <c r="AFN7" s="248"/>
      <c r="AFO7" s="248"/>
      <c r="AFP7" s="248"/>
      <c r="AFQ7" s="248"/>
      <c r="AFR7" s="248"/>
      <c r="AFS7" s="248"/>
      <c r="AFT7" s="248"/>
      <c r="AFU7" s="248"/>
      <c r="AFV7" s="206"/>
      <c r="AFW7" s="206"/>
      <c r="AFX7" s="206"/>
      <c r="AFY7" s="206"/>
      <c r="AFZ7" s="206"/>
      <c r="AGA7" s="206"/>
      <c r="AGB7" s="206"/>
      <c r="AGC7" s="206"/>
      <c r="AGD7" s="206"/>
      <c r="AGE7" s="206"/>
      <c r="AGF7" s="248"/>
      <c r="AGG7" s="248"/>
      <c r="AGH7" s="248"/>
      <c r="AGI7" s="248"/>
      <c r="AGJ7" s="248"/>
      <c r="AGL7" s="253"/>
      <c r="AGM7" s="247"/>
      <c r="AGN7" s="247"/>
      <c r="AGO7" s="247"/>
      <c r="AGP7" s="247"/>
      <c r="AGQ7" s="247"/>
      <c r="AGR7" s="247"/>
      <c r="AGS7" s="247"/>
      <c r="AGT7" s="247"/>
      <c r="AGU7" s="247"/>
      <c r="AGV7" s="247"/>
      <c r="AGW7" s="247"/>
      <c r="AGX7" s="247"/>
      <c r="AGY7" s="247"/>
      <c r="AGZ7" s="247"/>
      <c r="AHA7" s="247"/>
      <c r="AHB7" s="247"/>
      <c r="AHC7" s="247"/>
      <c r="AHE7" s="247"/>
      <c r="AHF7" s="247"/>
      <c r="AHG7" s="247"/>
      <c r="AHH7" s="247"/>
      <c r="AHI7" s="247"/>
      <c r="AHJ7" s="247"/>
      <c r="AHK7" s="247"/>
      <c r="AHL7" s="247"/>
      <c r="AHM7" s="247"/>
      <c r="AHN7" s="247"/>
      <c r="AHO7" s="247"/>
      <c r="AHP7" s="247"/>
      <c r="AHR7" s="247"/>
      <c r="AHS7" s="247"/>
      <c r="AHT7" s="247"/>
      <c r="AHU7" s="247"/>
      <c r="AHV7" s="247"/>
      <c r="AHW7" s="247"/>
      <c r="AHX7" s="247"/>
      <c r="AHY7" s="247"/>
      <c r="AHZ7" s="247"/>
      <c r="AIA7" s="247"/>
      <c r="AIB7" s="247"/>
    </row>
    <row r="8" spans="1:944" x14ac:dyDescent="0.45">
      <c r="B8" s="72" t="str">
        <f>'DIY Grundmodell'!$A$2</f>
        <v>Meta Platforms, Inc.</v>
      </c>
      <c r="E8" s="254"/>
      <c r="F8" s="255" t="s">
        <v>97</v>
      </c>
      <c r="G8" s="255" t="s">
        <v>97</v>
      </c>
      <c r="J8" s="255" t="s">
        <v>97</v>
      </c>
      <c r="K8" s="255" t="s">
        <v>97</v>
      </c>
      <c r="L8" s="254"/>
      <c r="M8" s="255" t="s">
        <v>97</v>
      </c>
      <c r="N8" s="255" t="s">
        <v>97</v>
      </c>
      <c r="O8" s="255" t="s">
        <v>97</v>
      </c>
      <c r="P8" s="255" t="s">
        <v>97</v>
      </c>
      <c r="Q8" s="213"/>
      <c r="R8" s="255" t="s">
        <v>97</v>
      </c>
      <c r="S8" s="255" t="s">
        <v>97</v>
      </c>
      <c r="T8" s="255" t="s">
        <v>97</v>
      </c>
      <c r="U8" s="255" t="s">
        <v>97</v>
      </c>
      <c r="V8" s="255" t="s">
        <v>97</v>
      </c>
      <c r="W8" s="255" t="s">
        <v>97</v>
      </c>
      <c r="X8" s="213"/>
      <c r="Y8" s="255" t="s">
        <v>97</v>
      </c>
      <c r="Z8" s="256">
        <v>0</v>
      </c>
      <c r="AA8" s="255" t="s">
        <v>97</v>
      </c>
      <c r="AB8" s="213"/>
      <c r="AC8" s="255" t="s">
        <v>97</v>
      </c>
      <c r="AD8" s="255" t="s">
        <v>97</v>
      </c>
      <c r="AE8" s="255" t="s">
        <v>97</v>
      </c>
      <c r="AF8" s="255" t="s">
        <v>97</v>
      </c>
      <c r="AG8" s="213"/>
      <c r="AJ8" s="219" t="s">
        <v>337</v>
      </c>
      <c r="AK8" s="255" t="s">
        <v>97</v>
      </c>
      <c r="AL8" s="255" t="s">
        <v>97</v>
      </c>
      <c r="AM8" s="255" t="s">
        <v>97</v>
      </c>
      <c r="AN8" s="255" t="s">
        <v>97</v>
      </c>
      <c r="AO8" s="213"/>
      <c r="AP8" s="255" t="s">
        <v>97</v>
      </c>
      <c r="AQ8" s="255" t="s">
        <v>97</v>
      </c>
      <c r="AR8" s="213"/>
      <c r="AS8" s="255" t="s">
        <v>97</v>
      </c>
      <c r="AU8" s="213"/>
      <c r="AW8" s="255" t="s">
        <v>97</v>
      </c>
      <c r="AZ8" s="255" t="s">
        <v>97</v>
      </c>
      <c r="BC8" s="255" t="s">
        <v>97</v>
      </c>
      <c r="BF8" s="255" t="s">
        <v>97</v>
      </c>
      <c r="BI8" s="255" t="s">
        <v>97</v>
      </c>
      <c r="BL8" s="255" t="s">
        <v>97</v>
      </c>
      <c r="BN8" s="153"/>
      <c r="BO8" s="255" t="s">
        <v>97</v>
      </c>
      <c r="BP8" s="255" t="s">
        <v>97</v>
      </c>
      <c r="BQ8" s="255" t="s">
        <v>97</v>
      </c>
      <c r="BR8" s="255" t="s">
        <v>97</v>
      </c>
      <c r="BS8" s="153"/>
      <c r="BU8" s="259"/>
      <c r="BV8" s="259"/>
      <c r="BW8" s="259"/>
      <c r="BX8" s="259"/>
      <c r="BY8" s="259"/>
      <c r="BZ8" s="259"/>
      <c r="CA8" s="259"/>
      <c r="CB8" s="259"/>
      <c r="CC8" s="259"/>
      <c r="CD8" s="259"/>
      <c r="CE8" s="259"/>
      <c r="CF8" s="153"/>
      <c r="CG8" s="259"/>
      <c r="CH8" s="259"/>
      <c r="CI8" s="259"/>
      <c r="CJ8" s="153"/>
      <c r="CU8" s="153"/>
      <c r="CV8" s="259"/>
      <c r="CW8" s="259"/>
      <c r="CX8" s="259"/>
      <c r="CY8" s="259"/>
      <c r="CZ8" s="259"/>
      <c r="DA8" s="259"/>
      <c r="DB8" s="259"/>
      <c r="DC8" s="259"/>
      <c r="DD8" s="259"/>
      <c r="DE8" s="259"/>
      <c r="DF8" s="259"/>
      <c r="DG8" s="153"/>
      <c r="DR8" s="153"/>
      <c r="DS8" s="259"/>
      <c r="DT8" s="259"/>
      <c r="DU8" s="259"/>
      <c r="DV8" s="259"/>
      <c r="DW8" s="259"/>
      <c r="DX8" s="259"/>
      <c r="DY8" s="259"/>
      <c r="DZ8" s="259"/>
      <c r="EA8" s="259"/>
      <c r="EB8" s="259"/>
      <c r="EC8" s="259"/>
      <c r="ED8" s="153"/>
      <c r="EL8" s="153"/>
      <c r="EM8" s="259"/>
      <c r="EN8" s="259"/>
      <c r="EO8" s="259"/>
      <c r="EP8" s="259"/>
      <c r="EQ8" s="259"/>
      <c r="ER8" s="259"/>
      <c r="ES8" s="153"/>
      <c r="ET8" s="227"/>
      <c r="EU8" s="226" t="s">
        <v>464</v>
      </c>
      <c r="EV8" s="232"/>
      <c r="EW8" s="232"/>
      <c r="EX8" s="232"/>
      <c r="EY8" s="232"/>
      <c r="EZ8" s="232"/>
      <c r="FA8" s="232"/>
      <c r="FB8" s="232"/>
      <c r="FC8" s="232"/>
      <c r="FD8" s="232"/>
      <c r="FE8" s="232"/>
      <c r="FF8" s="232"/>
      <c r="FG8" s="232"/>
      <c r="FH8" s="232"/>
      <c r="FI8" s="232"/>
      <c r="FJ8" s="232"/>
      <c r="FK8" s="259"/>
      <c r="FL8" s="259"/>
      <c r="FM8" s="259"/>
      <c r="FN8" s="259"/>
      <c r="FO8" s="259"/>
      <c r="FP8" s="232"/>
      <c r="FR8" s="259"/>
      <c r="FS8" s="259"/>
      <c r="FT8" s="259"/>
      <c r="FU8" s="259"/>
      <c r="FV8" s="259"/>
      <c r="FW8" s="259"/>
      <c r="FX8" s="259"/>
      <c r="FY8" s="259"/>
      <c r="FZ8" s="259"/>
      <c r="GA8" s="259"/>
      <c r="GB8" s="259"/>
      <c r="GC8" s="232"/>
      <c r="GD8" s="259"/>
      <c r="GE8" s="259"/>
      <c r="GF8" s="224" t="s">
        <v>467</v>
      </c>
      <c r="GG8" s="232"/>
      <c r="GH8" s="260" t="s">
        <v>468</v>
      </c>
      <c r="GI8" s="261"/>
      <c r="GJ8" s="262"/>
      <c r="GK8" s="262"/>
      <c r="GL8" s="262"/>
      <c r="GM8" s="262"/>
      <c r="GN8" s="262"/>
      <c r="GO8" s="262"/>
      <c r="GP8" s="262"/>
      <c r="GQ8" s="262"/>
      <c r="GR8" s="262"/>
      <c r="GS8" s="262"/>
      <c r="GT8" s="225"/>
      <c r="GU8" s="262"/>
      <c r="GV8" s="262"/>
      <c r="GX8" s="263"/>
      <c r="HA8" s="259"/>
      <c r="HB8" s="259"/>
      <c r="HC8" s="259"/>
      <c r="HD8" s="259"/>
      <c r="HE8" s="259"/>
      <c r="HF8" s="259"/>
      <c r="HG8" s="259"/>
      <c r="HH8" s="259"/>
      <c r="HI8" s="259"/>
      <c r="HJ8" s="259"/>
      <c r="HK8" s="259"/>
      <c r="HL8" s="259"/>
      <c r="HM8" s="259"/>
      <c r="HN8" s="259"/>
      <c r="HO8" s="224" t="s">
        <v>467</v>
      </c>
      <c r="HP8" s="232"/>
      <c r="HQ8" s="263">
        <v>0</v>
      </c>
      <c r="HR8" s="232"/>
      <c r="HS8" s="233"/>
      <c r="HT8" s="233"/>
      <c r="HU8" s="233"/>
      <c r="HV8" s="233"/>
      <c r="HW8" s="233"/>
      <c r="HX8" s="232"/>
      <c r="HY8" s="218"/>
      <c r="HZ8" s="233"/>
      <c r="IA8" s="233"/>
      <c r="IB8" s="233"/>
      <c r="IC8" s="233"/>
      <c r="ID8" s="233"/>
      <c r="IE8" s="232"/>
      <c r="IF8" s="255" t="s">
        <v>97</v>
      </c>
      <c r="IG8" s="255" t="s">
        <v>97</v>
      </c>
      <c r="IH8" s="255" t="s">
        <v>97</v>
      </c>
      <c r="II8" s="255" t="s">
        <v>97</v>
      </c>
      <c r="IJ8" s="255" t="s">
        <v>97</v>
      </c>
      <c r="IK8" s="232"/>
      <c r="IL8" s="233">
        <v>0</v>
      </c>
      <c r="IM8" s="232"/>
      <c r="IN8" s="233"/>
      <c r="IO8" s="233"/>
      <c r="IP8" s="233"/>
      <c r="IQ8" s="233"/>
      <c r="IR8" s="233"/>
      <c r="IS8" s="232"/>
      <c r="IT8" s="233"/>
      <c r="IU8" s="233"/>
      <c r="IV8" s="233"/>
      <c r="IW8" s="232"/>
      <c r="IX8" s="226"/>
      <c r="IY8" s="223"/>
      <c r="IZ8" s="235"/>
      <c r="JA8" s="235"/>
      <c r="JB8" s="235"/>
      <c r="JC8" s="235"/>
      <c r="JD8" s="235"/>
      <c r="JE8" s="235"/>
      <c r="JF8" s="232"/>
      <c r="JG8" s="235"/>
      <c r="JH8" s="232"/>
      <c r="JI8" s="235"/>
      <c r="JJ8" s="236"/>
      <c r="JK8" s="235"/>
      <c r="JL8" s="107"/>
      <c r="JM8" s="230">
        <v>0</v>
      </c>
      <c r="JN8" s="232"/>
      <c r="JO8" s="237"/>
      <c r="JP8" s="237"/>
      <c r="JQ8" s="237"/>
      <c r="JR8" s="237"/>
      <c r="JS8" s="237"/>
      <c r="JT8" s="237"/>
      <c r="JU8" s="237"/>
      <c r="JV8" s="237"/>
      <c r="JW8" s="237"/>
      <c r="JX8" s="237"/>
      <c r="JY8" s="237"/>
      <c r="JZ8" s="238"/>
      <c r="KA8" s="232"/>
      <c r="KB8" s="228"/>
      <c r="KC8" s="228"/>
      <c r="KD8" s="228"/>
      <c r="KE8" s="228"/>
      <c r="KF8" s="228"/>
      <c r="KG8" s="228"/>
      <c r="KH8" s="228"/>
      <c r="KI8" s="228"/>
      <c r="KJ8" s="228"/>
      <c r="KK8" s="228"/>
      <c r="KL8" s="232"/>
      <c r="KM8" s="232"/>
      <c r="KN8" s="235"/>
      <c r="KO8" s="235"/>
      <c r="KP8" s="235"/>
      <c r="KQ8" s="235"/>
      <c r="KR8" s="235"/>
      <c r="KS8" s="235"/>
      <c r="KT8" s="235"/>
      <c r="KU8" s="235"/>
      <c r="KV8" s="235"/>
      <c r="KW8" s="235"/>
      <c r="KX8" s="239"/>
      <c r="KY8" s="232"/>
      <c r="KZ8" s="264"/>
      <c r="LA8" s="264" t="s">
        <v>483</v>
      </c>
      <c r="LB8" s="264"/>
      <c r="LC8" s="232"/>
      <c r="LD8" s="237"/>
      <c r="LE8" s="237"/>
      <c r="LF8" s="237"/>
      <c r="LG8" s="237"/>
      <c r="LH8" s="237"/>
      <c r="LI8" s="237"/>
      <c r="LJ8" s="237"/>
      <c r="LK8" s="237"/>
      <c r="LL8" s="237"/>
      <c r="LM8" s="237"/>
      <c r="LN8" s="237"/>
      <c r="LO8" s="238"/>
      <c r="LP8" s="232"/>
      <c r="LQ8" s="240"/>
      <c r="LR8" s="240"/>
      <c r="LS8" s="240"/>
      <c r="LT8" s="240"/>
      <c r="LU8" s="240"/>
      <c r="LV8" s="240"/>
      <c r="LW8" s="240"/>
      <c r="LX8" s="240"/>
      <c r="LY8" s="240"/>
      <c r="LZ8" s="240"/>
      <c r="MA8" s="239"/>
      <c r="MB8" s="232"/>
      <c r="MC8" s="240"/>
      <c r="MD8" s="240"/>
      <c r="ME8" s="240"/>
      <c r="MF8" s="240"/>
      <c r="MG8" s="240"/>
      <c r="MH8" s="240"/>
      <c r="MI8" s="240"/>
      <c r="MJ8" s="240"/>
      <c r="MK8" s="240"/>
      <c r="ML8" s="240"/>
      <c r="MM8" s="213"/>
      <c r="MN8" s="232"/>
      <c r="MO8" s="228"/>
      <c r="MP8" s="228"/>
      <c r="MQ8" s="228"/>
      <c r="MR8" s="228"/>
      <c r="MS8" s="228"/>
      <c r="MT8" s="228"/>
      <c r="MU8" s="228"/>
      <c r="MV8" s="228"/>
      <c r="MW8" s="228"/>
      <c r="MX8" s="228"/>
      <c r="MY8" s="241"/>
      <c r="MZ8" s="228"/>
      <c r="NA8" s="232"/>
      <c r="NB8" s="238"/>
      <c r="NC8" s="238"/>
      <c r="ND8" s="238"/>
      <c r="NE8" s="238"/>
      <c r="NF8" s="238"/>
      <c r="NG8" s="238"/>
      <c r="NH8" s="238"/>
      <c r="NI8" s="238"/>
      <c r="NJ8" s="238"/>
      <c r="NK8" s="238"/>
      <c r="NL8" s="238"/>
      <c r="NM8" s="238"/>
      <c r="NN8" s="232"/>
      <c r="NO8" s="242"/>
      <c r="NP8" s="219" t="s">
        <v>496</v>
      </c>
      <c r="NQ8" s="233"/>
      <c r="NR8" s="243"/>
      <c r="NS8" s="265" t="s">
        <v>483</v>
      </c>
      <c r="NT8" s="264"/>
      <c r="NU8" s="107"/>
      <c r="NV8" s="233"/>
      <c r="NW8" s="233"/>
      <c r="NX8" s="232"/>
      <c r="NY8" s="264" t="s">
        <v>483</v>
      </c>
      <c r="NZ8" s="211"/>
      <c r="OA8" s="107"/>
      <c r="OB8" s="168"/>
      <c r="OC8" s="245"/>
      <c r="OD8" s="213"/>
      <c r="OE8" s="264" t="s">
        <v>483</v>
      </c>
      <c r="OF8" s="245"/>
      <c r="OG8" s="232"/>
      <c r="OH8" s="245"/>
      <c r="OI8" s="245"/>
      <c r="OJ8" s="232"/>
      <c r="OK8" s="230">
        <v>0</v>
      </c>
      <c r="OL8" s="232"/>
      <c r="OM8" s="205">
        <v>0</v>
      </c>
      <c r="ON8" s="205">
        <v>0</v>
      </c>
      <c r="OO8" s="205">
        <v>0</v>
      </c>
      <c r="OP8" s="205">
        <v>0</v>
      </c>
      <c r="OQ8" s="205">
        <v>0</v>
      </c>
      <c r="OR8" s="205">
        <v>0</v>
      </c>
      <c r="OS8" s="205">
        <v>0</v>
      </c>
      <c r="OT8" s="205">
        <v>0</v>
      </c>
      <c r="OU8" s="205">
        <v>0</v>
      </c>
      <c r="OV8" s="205">
        <v>0</v>
      </c>
      <c r="OW8" s="205">
        <v>0</v>
      </c>
      <c r="OX8" s="205">
        <v>0</v>
      </c>
      <c r="OY8" s="205">
        <v>0</v>
      </c>
      <c r="OZ8" s="205">
        <v>0</v>
      </c>
      <c r="PA8" s="205">
        <v>0</v>
      </c>
      <c r="PB8" s="205">
        <v>0</v>
      </c>
      <c r="PC8" s="205">
        <v>0</v>
      </c>
      <c r="PD8" s="205">
        <v>0</v>
      </c>
      <c r="PE8" s="205">
        <v>0</v>
      </c>
      <c r="PF8" s="205">
        <v>0</v>
      </c>
      <c r="PG8" s="205">
        <v>0</v>
      </c>
      <c r="PH8" s="205">
        <v>0</v>
      </c>
      <c r="PI8" s="205">
        <v>0</v>
      </c>
      <c r="PJ8" s="205">
        <v>0</v>
      </c>
      <c r="PK8" s="205">
        <v>0</v>
      </c>
      <c r="PL8" s="205">
        <v>0</v>
      </c>
      <c r="PM8" s="205">
        <v>0</v>
      </c>
      <c r="PN8" s="205">
        <v>0</v>
      </c>
      <c r="PO8" s="205">
        <v>0</v>
      </c>
      <c r="PP8" s="205">
        <v>0</v>
      </c>
      <c r="PQ8" s="205">
        <v>0</v>
      </c>
      <c r="PR8" s="205">
        <v>0</v>
      </c>
      <c r="PS8" s="205">
        <v>0</v>
      </c>
      <c r="PT8" s="205">
        <v>0</v>
      </c>
      <c r="PU8" s="205">
        <v>0</v>
      </c>
      <c r="PV8" s="205">
        <v>0</v>
      </c>
      <c r="PW8" s="205">
        <v>0</v>
      </c>
      <c r="PX8" s="205">
        <v>0</v>
      </c>
      <c r="PY8" s="205">
        <v>0</v>
      </c>
      <c r="PZ8" s="205">
        <v>0</v>
      </c>
      <c r="QA8" s="205">
        <v>0</v>
      </c>
      <c r="QB8" s="205">
        <v>0</v>
      </c>
      <c r="QC8" s="205">
        <v>0</v>
      </c>
      <c r="QD8" s="205">
        <v>0</v>
      </c>
      <c r="QE8" s="205">
        <v>0</v>
      </c>
      <c r="QF8" s="205">
        <v>0</v>
      </c>
      <c r="QG8" s="205">
        <v>0</v>
      </c>
      <c r="QH8" s="205">
        <v>0</v>
      </c>
      <c r="QI8" s="205">
        <v>0</v>
      </c>
      <c r="QJ8" s="205">
        <v>0</v>
      </c>
      <c r="QK8" s="205">
        <v>0</v>
      </c>
      <c r="QL8" s="205">
        <v>0</v>
      </c>
      <c r="QM8" s="205">
        <v>0</v>
      </c>
      <c r="QN8" s="205">
        <v>0</v>
      </c>
      <c r="QO8" s="205">
        <v>0</v>
      </c>
      <c r="QP8" s="205">
        <v>0</v>
      </c>
      <c r="QQ8" s="205">
        <v>0</v>
      </c>
      <c r="QR8" s="205">
        <v>0</v>
      </c>
      <c r="QS8" s="205">
        <v>0</v>
      </c>
      <c r="QT8" s="205">
        <v>0</v>
      </c>
      <c r="QU8" s="205">
        <v>0</v>
      </c>
      <c r="QV8" s="205">
        <v>0</v>
      </c>
      <c r="QW8" s="205">
        <v>0</v>
      </c>
      <c r="QX8" s="205">
        <v>0</v>
      </c>
      <c r="QY8" s="205">
        <v>0</v>
      </c>
      <c r="QZ8" s="205">
        <v>0</v>
      </c>
      <c r="RA8" s="205">
        <v>0</v>
      </c>
      <c r="RB8" s="205">
        <v>0</v>
      </c>
      <c r="RC8" s="205">
        <v>0</v>
      </c>
      <c r="RD8" s="205">
        <v>0</v>
      </c>
      <c r="RE8" s="205">
        <v>0</v>
      </c>
      <c r="RF8" s="205">
        <v>0</v>
      </c>
      <c r="RG8" s="205">
        <v>0</v>
      </c>
      <c r="RH8" s="205">
        <v>0</v>
      </c>
      <c r="RI8" s="205">
        <v>0</v>
      </c>
      <c r="RJ8" s="205">
        <v>0</v>
      </c>
      <c r="RK8" s="205">
        <v>0</v>
      </c>
      <c r="RL8" s="205">
        <v>0</v>
      </c>
      <c r="RM8" s="205">
        <v>0</v>
      </c>
      <c r="RN8" s="205">
        <v>0</v>
      </c>
      <c r="RO8" s="205">
        <v>0</v>
      </c>
      <c r="RP8" s="205">
        <v>0</v>
      </c>
      <c r="RQ8" s="205">
        <v>0</v>
      </c>
      <c r="RR8" s="205">
        <v>0</v>
      </c>
      <c r="RS8" s="205">
        <v>0</v>
      </c>
      <c r="RT8" s="205">
        <v>0</v>
      </c>
      <c r="RU8" s="205">
        <v>0</v>
      </c>
      <c r="RV8" s="205">
        <v>0</v>
      </c>
      <c r="RW8" s="205">
        <v>0</v>
      </c>
      <c r="RX8" s="205">
        <v>0</v>
      </c>
      <c r="RY8" s="205">
        <v>0</v>
      </c>
      <c r="RZ8" s="205">
        <v>0</v>
      </c>
      <c r="SA8" s="205">
        <v>0</v>
      </c>
      <c r="SB8" s="205">
        <v>0</v>
      </c>
      <c r="SC8" s="205">
        <v>0</v>
      </c>
      <c r="SD8" s="205">
        <v>0</v>
      </c>
      <c r="SE8" s="205">
        <v>0</v>
      </c>
      <c r="SF8" s="205">
        <v>0</v>
      </c>
      <c r="SG8" s="205">
        <v>0</v>
      </c>
      <c r="SH8" s="205"/>
      <c r="SI8" s="246"/>
      <c r="SJ8" s="266" t="s">
        <v>517</v>
      </c>
      <c r="SK8" s="267"/>
      <c r="SL8" s="267"/>
      <c r="SM8" s="267"/>
      <c r="SN8" s="268"/>
      <c r="SO8" s="268"/>
      <c r="SP8" s="267"/>
      <c r="SQ8" s="267"/>
      <c r="SR8" s="267"/>
      <c r="SS8" s="267"/>
      <c r="ST8" s="246"/>
      <c r="SU8" s="232"/>
      <c r="SV8" s="228"/>
      <c r="SW8" s="228"/>
      <c r="SX8" s="228"/>
      <c r="SY8" s="228"/>
      <c r="SZ8" s="228"/>
      <c r="TA8" s="228"/>
      <c r="TB8" s="228"/>
      <c r="TC8" s="228"/>
      <c r="TD8" s="228"/>
      <c r="TE8" s="228"/>
      <c r="TF8" s="228"/>
      <c r="TG8" s="228"/>
      <c r="TH8" s="232"/>
      <c r="TI8" s="266" t="s">
        <v>517</v>
      </c>
      <c r="TJ8" s="269"/>
      <c r="TK8" s="269"/>
      <c r="TL8" s="270"/>
      <c r="TM8" s="270"/>
      <c r="TN8" s="270"/>
      <c r="TO8" s="270"/>
      <c r="TP8" s="270"/>
      <c r="TQ8" s="270"/>
      <c r="TR8" s="270"/>
      <c r="TS8" s="269"/>
      <c r="TT8" s="269"/>
      <c r="TU8" s="232"/>
      <c r="TV8" s="266" t="s">
        <v>517</v>
      </c>
      <c r="TW8" s="271"/>
      <c r="TX8" s="271"/>
      <c r="TY8" s="271"/>
      <c r="TZ8" s="271"/>
      <c r="UA8" s="271"/>
      <c r="UB8" s="271"/>
      <c r="UC8" s="271"/>
      <c r="UD8" s="271"/>
      <c r="UE8" s="271"/>
      <c r="UF8" s="271"/>
      <c r="UG8" s="271"/>
      <c r="UH8" s="232"/>
      <c r="UI8" s="248"/>
      <c r="UJ8" s="248"/>
      <c r="UK8" s="248"/>
      <c r="UL8" s="248"/>
      <c r="UM8" s="248"/>
      <c r="UN8" s="248"/>
      <c r="UO8" s="248"/>
      <c r="UP8" s="248"/>
      <c r="UQ8" s="248"/>
      <c r="UR8" s="248"/>
      <c r="US8" s="248"/>
      <c r="UT8" s="248"/>
      <c r="UU8" s="232"/>
      <c r="UV8" s="246"/>
      <c r="UW8" s="266" t="s">
        <v>517</v>
      </c>
      <c r="UX8" s="271"/>
      <c r="UY8" s="271"/>
      <c r="UZ8" s="271"/>
      <c r="VA8" s="271"/>
      <c r="VB8" s="271"/>
      <c r="VC8" s="271"/>
      <c r="VD8" s="271"/>
      <c r="VE8" s="271"/>
      <c r="VF8" s="271"/>
      <c r="VG8" s="271"/>
      <c r="VH8" s="232"/>
      <c r="VI8" s="266" t="s">
        <v>483</v>
      </c>
      <c r="VJ8" s="248"/>
      <c r="VK8" s="248"/>
      <c r="VL8" s="248"/>
      <c r="VM8" s="248"/>
      <c r="VN8" s="248"/>
      <c r="VO8" s="248"/>
      <c r="VP8" s="248"/>
      <c r="VQ8" s="248"/>
      <c r="VR8" s="248"/>
      <c r="VS8" s="248"/>
      <c r="VT8" s="248"/>
      <c r="VU8" s="232"/>
      <c r="VV8" s="247"/>
      <c r="WB8" s="247"/>
      <c r="WC8" s="247"/>
      <c r="WD8" s="247"/>
      <c r="WE8" s="247"/>
      <c r="WF8" s="247"/>
      <c r="WG8" s="247"/>
      <c r="WH8" s="232"/>
      <c r="WI8" s="264" t="s">
        <v>483</v>
      </c>
      <c r="WJ8" s="271"/>
      <c r="WK8" s="271"/>
      <c r="WL8" s="271"/>
      <c r="WM8" s="271"/>
      <c r="WN8" s="271"/>
      <c r="WO8" s="271"/>
      <c r="WP8" s="271"/>
      <c r="WQ8" s="271"/>
      <c r="WR8" s="271"/>
      <c r="WS8" s="248"/>
      <c r="WT8" s="264" t="s">
        <v>483</v>
      </c>
      <c r="WU8" s="724"/>
      <c r="WV8" s="248"/>
      <c r="WW8" s="248"/>
      <c r="WX8" s="248"/>
      <c r="WY8" s="248"/>
      <c r="WZ8" s="248"/>
      <c r="XA8" s="248"/>
      <c r="XB8" s="248"/>
      <c r="XC8" s="248"/>
      <c r="XD8" s="248"/>
      <c r="XE8" s="248"/>
      <c r="XF8" s="248"/>
      <c r="XG8" s="232"/>
      <c r="XH8" s="247"/>
      <c r="XI8" s="247"/>
      <c r="XJ8" s="247"/>
      <c r="XK8" s="247"/>
      <c r="XL8" s="247"/>
      <c r="XM8" s="247"/>
      <c r="XN8" s="247"/>
      <c r="XO8" s="247"/>
      <c r="XP8" s="247"/>
      <c r="XQ8" s="247"/>
      <c r="XR8" s="247"/>
      <c r="XS8" s="232"/>
      <c r="XT8" s="248"/>
      <c r="XU8" s="248"/>
      <c r="XV8" s="248"/>
      <c r="XW8" s="248"/>
      <c r="XX8" s="248"/>
      <c r="XY8" s="248"/>
      <c r="XZ8" s="248"/>
      <c r="YA8" s="248"/>
      <c r="YB8" s="248"/>
      <c r="YC8" s="248"/>
      <c r="YD8" s="248"/>
      <c r="YE8" s="232"/>
      <c r="YF8" s="248"/>
      <c r="YG8" s="248"/>
      <c r="YH8" s="248"/>
      <c r="YI8" s="248"/>
      <c r="YJ8" s="248"/>
      <c r="YK8" s="248"/>
      <c r="YL8" s="248"/>
      <c r="YM8" s="248"/>
      <c r="YN8" s="248"/>
      <c r="YO8" s="248"/>
      <c r="YP8" s="248"/>
      <c r="YQ8" s="232"/>
      <c r="YR8" s="248"/>
      <c r="YS8" s="266" t="s">
        <v>517</v>
      </c>
      <c r="YT8" s="248"/>
      <c r="YU8" s="232"/>
      <c r="YV8" s="248"/>
      <c r="YW8" s="248"/>
      <c r="YX8" s="248"/>
      <c r="YY8" s="273"/>
      <c r="ZA8"/>
      <c r="ZC8" s="273"/>
      <c r="ZE8" s="233"/>
      <c r="ZF8" s="233"/>
      <c r="ZG8" s="233"/>
      <c r="ZH8" s="233"/>
      <c r="ZI8" s="233"/>
      <c r="ZJ8" s="234"/>
      <c r="ZK8" s="201" t="s">
        <v>535</v>
      </c>
      <c r="ZW8" s="258"/>
      <c r="AAS8" s="260" t="s">
        <v>548</v>
      </c>
      <c r="AAT8" s="261"/>
      <c r="AAU8" s="262"/>
      <c r="AAV8" s="262"/>
      <c r="AAW8" s="262"/>
      <c r="AAX8" s="262"/>
      <c r="AAY8" s="262"/>
      <c r="AAZ8" s="262"/>
      <c r="ABA8" s="262"/>
      <c r="ABB8" s="262"/>
      <c r="ABC8" s="262"/>
      <c r="ABD8" s="262"/>
      <c r="ABF8" s="262">
        <v>0</v>
      </c>
      <c r="ABG8" s="262">
        <v>0</v>
      </c>
      <c r="ABH8" s="275" t="s">
        <v>550</v>
      </c>
      <c r="ABJ8" s="260" t="s">
        <v>551</v>
      </c>
      <c r="ABK8" s="262"/>
      <c r="ABL8" s="262"/>
      <c r="ABM8" s="262"/>
      <c r="ABN8" s="262"/>
      <c r="ABO8" s="262"/>
      <c r="ABP8" s="262"/>
      <c r="ABQ8" s="262"/>
      <c r="ABR8" s="262"/>
      <c r="ABS8" s="262"/>
      <c r="ABT8" s="262"/>
      <c r="ABU8" s="225"/>
      <c r="ABV8" s="262"/>
      <c r="ABW8" s="262"/>
      <c r="ABX8" s="262"/>
      <c r="ABY8" s="262"/>
      <c r="ABZ8" s="264" t="s">
        <v>483</v>
      </c>
      <c r="ACA8" s="225"/>
      <c r="ACL8" s="276" t="s">
        <v>566</v>
      </c>
      <c r="ACM8" s="248"/>
      <c r="ACN8" s="248"/>
      <c r="ACO8" s="248"/>
      <c r="ACP8" s="248"/>
      <c r="ACQ8" s="248"/>
      <c r="ACR8" s="248"/>
      <c r="ACS8" s="248"/>
      <c r="ACT8" s="248"/>
      <c r="ACU8" s="248"/>
      <c r="ACV8" s="248"/>
      <c r="ACW8" s="248"/>
      <c r="ACY8" s="260" t="s">
        <v>18</v>
      </c>
      <c r="ACZ8" s="261"/>
      <c r="ADA8" s="262"/>
      <c r="ADB8" s="262"/>
      <c r="ADC8" s="262"/>
      <c r="ADD8" s="262"/>
      <c r="ADE8" s="262"/>
      <c r="ADF8" s="262"/>
      <c r="ADG8" s="262"/>
      <c r="ADH8" s="262"/>
      <c r="ADI8" s="262"/>
      <c r="ADJ8" s="262"/>
      <c r="ADK8" s="262"/>
      <c r="ADL8" s="262"/>
      <c r="ADM8" s="262"/>
      <c r="ADN8" s="262"/>
      <c r="ADO8" s="262"/>
      <c r="ADP8" s="262"/>
      <c r="ADW8" s="277"/>
      <c r="AEB8" s="248"/>
      <c r="AEC8" s="248"/>
      <c r="AED8" s="248"/>
      <c r="AEE8" s="248"/>
      <c r="AEF8" s="248"/>
      <c r="AEG8" s="248"/>
      <c r="AEH8" s="248"/>
      <c r="AEI8" s="248"/>
      <c r="AEJ8" s="248"/>
      <c r="AEK8" s="264">
        <v>0</v>
      </c>
      <c r="AEM8" s="248"/>
      <c r="AEN8" s="248"/>
      <c r="AEO8" s="248"/>
      <c r="AEP8" s="248"/>
      <c r="AEQ8" s="248"/>
      <c r="AER8" s="248"/>
      <c r="AES8" s="248"/>
      <c r="AET8" s="248"/>
      <c r="AEU8" s="248"/>
      <c r="AEV8" s="248"/>
      <c r="AEW8" s="248"/>
      <c r="AEY8" s="276" t="s">
        <v>569</v>
      </c>
      <c r="AEZ8" s="248"/>
      <c r="AFA8" s="248"/>
      <c r="AFB8" s="248"/>
      <c r="AFC8" s="248"/>
      <c r="AFD8" s="248"/>
      <c r="AFE8" s="248"/>
      <c r="AFF8" s="248"/>
      <c r="AFG8" s="248"/>
      <c r="AFH8" s="248"/>
      <c r="AFI8" s="248"/>
      <c r="AFK8" s="276" t="s">
        <v>570</v>
      </c>
      <c r="AFL8" s="248"/>
      <c r="AFM8" s="248"/>
      <c r="AFN8" s="248"/>
      <c r="AFO8" s="248"/>
      <c r="AFP8" s="248"/>
      <c r="AFQ8" s="248"/>
      <c r="AFR8" s="248"/>
      <c r="AFS8" s="248"/>
      <c r="AFT8" s="248"/>
      <c r="AFU8" s="248"/>
      <c r="AFV8" s="206"/>
      <c r="AFW8" s="206"/>
      <c r="AFX8" s="206"/>
      <c r="AFY8" s="206"/>
      <c r="AFZ8" s="206"/>
      <c r="AGA8" s="206"/>
      <c r="AGB8" s="206"/>
      <c r="AGC8" s="206"/>
      <c r="AGD8" s="206"/>
      <c r="AGE8" s="206"/>
      <c r="AGF8" s="276"/>
      <c r="AGG8" s="248"/>
      <c r="AGH8" s="248"/>
      <c r="AGI8" s="248"/>
      <c r="AGJ8" s="248"/>
      <c r="AGL8" s="278"/>
      <c r="AGM8" s="247"/>
      <c r="AGN8" s="247"/>
      <c r="AGO8" s="247"/>
      <c r="AGP8" s="247"/>
      <c r="AGQ8" s="247"/>
      <c r="AGR8" s="247"/>
      <c r="AGS8" s="247"/>
      <c r="AGT8" s="247"/>
      <c r="AGU8" s="247"/>
      <c r="AGV8" s="247"/>
      <c r="AGW8" s="247"/>
      <c r="AGX8" s="247"/>
      <c r="AGY8" s="247"/>
      <c r="AGZ8" s="247"/>
      <c r="AHA8" s="247"/>
      <c r="AHB8" s="247"/>
      <c r="AHC8" s="247"/>
      <c r="AHD8" s="227"/>
      <c r="AHE8" s="247"/>
      <c r="AHF8" s="247"/>
      <c r="AHG8" s="247"/>
      <c r="AHH8" s="247"/>
      <c r="AHI8" s="247"/>
      <c r="AHJ8" s="247"/>
      <c r="AHK8" s="247"/>
      <c r="AHL8" s="247"/>
      <c r="AHM8" s="247"/>
      <c r="AHN8" s="247"/>
      <c r="AHO8" s="247"/>
      <c r="AHP8" s="247"/>
      <c r="AHQ8" s="227"/>
      <c r="AHR8" s="247"/>
      <c r="AHS8" s="247"/>
      <c r="AHT8" s="247"/>
      <c r="AHU8" s="247"/>
      <c r="AHV8" s="247"/>
      <c r="AHW8" s="247"/>
      <c r="AHX8" s="247"/>
      <c r="AHY8" s="247"/>
      <c r="AHZ8" s="247"/>
      <c r="AIA8" s="247"/>
      <c r="AIB8" s="247"/>
    </row>
    <row r="9" spans="1:944" s="107" customFormat="1" x14ac:dyDescent="0.45">
      <c r="A9" s="722"/>
      <c r="B9" s="125"/>
      <c r="C9" s="125" t="s">
        <v>571</v>
      </c>
      <c r="D9" s="125"/>
      <c r="E9" s="279"/>
      <c r="F9" s="279"/>
      <c r="G9" s="126"/>
      <c r="H9" s="126"/>
      <c r="I9" s="126"/>
      <c r="J9" s="279"/>
      <c r="K9" s="279"/>
      <c r="L9" s="279"/>
      <c r="M9" s="279"/>
      <c r="N9" s="279"/>
      <c r="O9" s="126"/>
      <c r="P9" s="126"/>
      <c r="Q9" s="213"/>
      <c r="R9" s="147"/>
      <c r="S9" s="147"/>
      <c r="T9" s="147"/>
      <c r="U9" s="147"/>
      <c r="V9" s="147"/>
      <c r="W9" s="147"/>
      <c r="X9" s="213"/>
      <c r="Y9" s="279"/>
      <c r="Z9" s="279"/>
      <c r="AA9" s="279"/>
      <c r="AB9" s="213"/>
      <c r="AC9" s="280"/>
      <c r="AD9" s="279"/>
      <c r="AE9" s="147"/>
      <c r="AF9" s="147" t="s">
        <v>369</v>
      </c>
      <c r="AG9" s="213"/>
      <c r="AH9" s="281" t="s">
        <v>370</v>
      </c>
      <c r="AI9" s="147"/>
      <c r="AJ9" s="147"/>
      <c r="AK9" s="147"/>
      <c r="AL9" s="147"/>
      <c r="AM9" s="147"/>
      <c r="AN9" s="147"/>
      <c r="AO9" s="213"/>
      <c r="AP9" s="280"/>
      <c r="AQ9" s="280" t="s">
        <v>399</v>
      </c>
      <c r="AR9" s="213"/>
      <c r="AS9" s="282"/>
      <c r="AT9" s="280"/>
      <c r="AU9" s="213"/>
      <c r="AV9" s="283">
        <v>2000</v>
      </c>
      <c r="AW9" s="284">
        <v>2000</v>
      </c>
      <c r="AX9" s="285">
        <v>2000</v>
      </c>
      <c r="AY9" s="286" t="s">
        <v>409</v>
      </c>
      <c r="AZ9" s="284">
        <v>2000</v>
      </c>
      <c r="BA9" s="287" t="s">
        <v>410</v>
      </c>
      <c r="BB9" s="286" t="s">
        <v>409</v>
      </c>
      <c r="BC9" s="284">
        <v>2000</v>
      </c>
      <c r="BD9" s="287" t="s">
        <v>410</v>
      </c>
      <c r="BE9" s="286" t="s">
        <v>409</v>
      </c>
      <c r="BF9" s="284">
        <v>2000</v>
      </c>
      <c r="BG9" s="287" t="s">
        <v>410</v>
      </c>
      <c r="BH9" s="286" t="s">
        <v>409</v>
      </c>
      <c r="BI9" s="284">
        <v>2000</v>
      </c>
      <c r="BJ9" s="287" t="s">
        <v>410</v>
      </c>
      <c r="BK9" s="275" t="s">
        <v>409</v>
      </c>
      <c r="BL9" s="284">
        <v>2000</v>
      </c>
      <c r="BM9" s="275" t="s">
        <v>410</v>
      </c>
      <c r="BO9" s="275" t="s">
        <v>409</v>
      </c>
      <c r="BP9" s="285">
        <v>2000</v>
      </c>
      <c r="BQ9" s="275" t="s">
        <v>409</v>
      </c>
      <c r="BR9" s="283">
        <v>2000</v>
      </c>
      <c r="BT9" s="288" t="s">
        <v>411</v>
      </c>
      <c r="BU9" s="150">
        <v>-10</v>
      </c>
      <c r="BV9" s="150">
        <v>-9</v>
      </c>
      <c r="BW9" s="150">
        <v>-8</v>
      </c>
      <c r="BX9" s="150">
        <v>-7</v>
      </c>
      <c r="BY9" s="150">
        <v>-6</v>
      </c>
      <c r="BZ9" s="150">
        <v>-5</v>
      </c>
      <c r="CA9" s="150">
        <v>-4</v>
      </c>
      <c r="CB9" s="150">
        <v>-3</v>
      </c>
      <c r="CC9" s="150">
        <v>-2</v>
      </c>
      <c r="CD9" s="150">
        <v>-1</v>
      </c>
      <c r="CE9" s="150">
        <v>0</v>
      </c>
      <c r="CG9" s="283">
        <v>2000</v>
      </c>
      <c r="CH9" s="283">
        <v>2000</v>
      </c>
      <c r="CI9" s="150" t="s">
        <v>412</v>
      </c>
      <c r="CK9" s="126">
        <v>1</v>
      </c>
      <c r="CL9" s="126">
        <v>2</v>
      </c>
      <c r="CM9" s="126">
        <v>3</v>
      </c>
      <c r="CN9" s="126">
        <v>4</v>
      </c>
      <c r="CO9" s="126">
        <v>5</v>
      </c>
      <c r="CP9" s="126">
        <v>6</v>
      </c>
      <c r="CQ9" s="126">
        <v>7</v>
      </c>
      <c r="CR9" s="126">
        <v>8</v>
      </c>
      <c r="CS9" s="126">
        <v>9</v>
      </c>
      <c r="CT9" s="126">
        <v>10</v>
      </c>
      <c r="CV9" s="150">
        <v>1</v>
      </c>
      <c r="CW9" s="150">
        <v>2</v>
      </c>
      <c r="CX9" s="150">
        <v>3</v>
      </c>
      <c r="CY9" s="150">
        <v>4</v>
      </c>
      <c r="CZ9" s="150">
        <v>5</v>
      </c>
      <c r="DA9" s="150">
        <v>6</v>
      </c>
      <c r="DB9" s="150">
        <v>7</v>
      </c>
      <c r="DC9" s="150">
        <v>8</v>
      </c>
      <c r="DD9" s="150">
        <v>9</v>
      </c>
      <c r="DE9" s="150">
        <v>10</v>
      </c>
      <c r="DF9" s="150" t="s">
        <v>267</v>
      </c>
      <c r="DH9" s="126">
        <v>1</v>
      </c>
      <c r="DI9" s="126">
        <v>2</v>
      </c>
      <c r="DJ9" s="126">
        <v>3</v>
      </c>
      <c r="DK9" s="126">
        <v>4</v>
      </c>
      <c r="DL9" s="126">
        <v>5</v>
      </c>
      <c r="DM9" s="126">
        <v>6</v>
      </c>
      <c r="DN9" s="126">
        <v>7</v>
      </c>
      <c r="DO9" s="126">
        <v>8</v>
      </c>
      <c r="DP9" s="126">
        <v>9</v>
      </c>
      <c r="DQ9" s="126">
        <v>10</v>
      </c>
      <c r="DS9" s="150">
        <v>1</v>
      </c>
      <c r="DT9" s="150">
        <v>2</v>
      </c>
      <c r="DU9" s="150">
        <v>3</v>
      </c>
      <c r="DV9" s="150">
        <v>4</v>
      </c>
      <c r="DW9" s="150">
        <v>5</v>
      </c>
      <c r="DX9" s="150">
        <v>6</v>
      </c>
      <c r="DY9" s="150">
        <v>7</v>
      </c>
      <c r="DZ9" s="150">
        <v>8</v>
      </c>
      <c r="EA9" s="150">
        <v>9</v>
      </c>
      <c r="EB9" s="150">
        <v>10</v>
      </c>
      <c r="EC9" s="150" t="s">
        <v>267</v>
      </c>
      <c r="EE9" s="126">
        <v>0</v>
      </c>
      <c r="EF9" s="126">
        <v>1</v>
      </c>
      <c r="EG9" s="126">
        <v>2</v>
      </c>
      <c r="EH9" s="126">
        <v>3</v>
      </c>
      <c r="EI9" s="126">
        <v>4</v>
      </c>
      <c r="EJ9" s="126">
        <v>5</v>
      </c>
      <c r="EK9" s="126">
        <v>6</v>
      </c>
      <c r="EM9" s="150">
        <v>1</v>
      </c>
      <c r="EN9" s="150">
        <v>2</v>
      </c>
      <c r="EO9" s="150">
        <v>3</v>
      </c>
      <c r="EP9" s="150">
        <v>4</v>
      </c>
      <c r="EQ9" s="150">
        <v>5</v>
      </c>
      <c r="ER9" s="150">
        <v>6</v>
      </c>
      <c r="ET9" s="288" t="s">
        <v>411</v>
      </c>
      <c r="EU9" s="150">
        <v>-10</v>
      </c>
      <c r="EV9" s="150">
        <v>-9</v>
      </c>
      <c r="EW9" s="150">
        <v>-8</v>
      </c>
      <c r="EX9" s="150">
        <v>-7</v>
      </c>
      <c r="EY9" s="150">
        <v>-6</v>
      </c>
      <c r="EZ9" s="150">
        <v>-5</v>
      </c>
      <c r="FA9" s="150">
        <v>-4</v>
      </c>
      <c r="FB9" s="150">
        <v>-3</v>
      </c>
      <c r="FC9" s="150">
        <v>-2</v>
      </c>
      <c r="FD9" s="150">
        <v>-1</v>
      </c>
      <c r="FE9" s="150">
        <v>0</v>
      </c>
      <c r="FF9" s="231"/>
      <c r="FG9" s="150">
        <v>2000</v>
      </c>
      <c r="FH9" s="150">
        <v>2000</v>
      </c>
      <c r="FI9" s="150" t="s">
        <v>412</v>
      </c>
      <c r="FJ9" s="231"/>
      <c r="FK9" s="150">
        <v>1</v>
      </c>
      <c r="FL9" s="150">
        <v>2</v>
      </c>
      <c r="FM9" s="150">
        <v>3</v>
      </c>
      <c r="FN9" s="150">
        <v>4</v>
      </c>
      <c r="FO9" s="150">
        <v>5</v>
      </c>
      <c r="FP9" s="231"/>
      <c r="FQ9" s="288" t="s">
        <v>411</v>
      </c>
      <c r="FR9" s="150">
        <v>-10</v>
      </c>
      <c r="FS9" s="150">
        <v>-9</v>
      </c>
      <c r="FT9" s="150">
        <v>-8</v>
      </c>
      <c r="FU9" s="150">
        <v>-7</v>
      </c>
      <c r="FV9" s="150">
        <v>-6</v>
      </c>
      <c r="FW9" s="150">
        <v>-5</v>
      </c>
      <c r="FX9" s="150">
        <v>-4</v>
      </c>
      <c r="FY9" s="150">
        <v>-3</v>
      </c>
      <c r="FZ9" s="150">
        <v>-2</v>
      </c>
      <c r="GA9" s="150">
        <v>-1</v>
      </c>
      <c r="GB9" s="150">
        <v>0</v>
      </c>
      <c r="GC9" s="231"/>
      <c r="GD9" s="283">
        <f>GE9</f>
        <v>2000</v>
      </c>
      <c r="GE9" s="283">
        <v>2000</v>
      </c>
      <c r="GF9" s="150" t="s">
        <v>412</v>
      </c>
      <c r="GG9" s="231"/>
      <c r="GH9" s="288" t="s">
        <v>411</v>
      </c>
      <c r="GI9" s="150"/>
      <c r="GJ9" s="150">
        <v>-9</v>
      </c>
      <c r="GK9" s="150">
        <v>-8</v>
      </c>
      <c r="GL9" s="150">
        <v>-7</v>
      </c>
      <c r="GM9" s="150">
        <v>-6</v>
      </c>
      <c r="GN9" s="150">
        <v>-5</v>
      </c>
      <c r="GO9" s="150">
        <v>-4</v>
      </c>
      <c r="GP9" s="150">
        <v>-3</v>
      </c>
      <c r="GQ9" s="150">
        <v>-2</v>
      </c>
      <c r="GR9" s="150">
        <v>-1</v>
      </c>
      <c r="GS9" s="150">
        <v>0</v>
      </c>
      <c r="GT9" s="231"/>
      <c r="GU9" s="150">
        <v>0</v>
      </c>
      <c r="GV9" s="150"/>
      <c r="GX9" s="230"/>
      <c r="GZ9" s="288" t="s">
        <v>411</v>
      </c>
      <c r="HA9" s="150">
        <v>-10</v>
      </c>
      <c r="HB9" s="150">
        <v>-9</v>
      </c>
      <c r="HC9" s="150">
        <v>-8</v>
      </c>
      <c r="HD9" s="150">
        <v>-7</v>
      </c>
      <c r="HE9" s="150">
        <v>-6</v>
      </c>
      <c r="HF9" s="150">
        <v>-5</v>
      </c>
      <c r="HG9" s="150">
        <v>-4</v>
      </c>
      <c r="HH9" s="150">
        <v>-3</v>
      </c>
      <c r="HI9" s="150">
        <v>-2</v>
      </c>
      <c r="HJ9" s="150">
        <v>-1</v>
      </c>
      <c r="HK9" s="150"/>
      <c r="HL9" s="231"/>
      <c r="HM9" s="708">
        <v>2000</v>
      </c>
      <c r="HN9" s="708">
        <v>2000</v>
      </c>
      <c r="HO9" s="708">
        <v>2001</v>
      </c>
      <c r="HP9" s="231"/>
      <c r="HQ9" s="230">
        <v>0</v>
      </c>
      <c r="HR9" s="231"/>
      <c r="HS9" s="289">
        <v>1</v>
      </c>
      <c r="HT9" s="126">
        <v>2</v>
      </c>
      <c r="HU9" s="126">
        <v>3</v>
      </c>
      <c r="HV9" s="126">
        <v>4</v>
      </c>
      <c r="HW9" s="126">
        <v>5</v>
      </c>
      <c r="HX9" s="231"/>
      <c r="HY9" s="147"/>
      <c r="HZ9" s="289" t="s">
        <v>133</v>
      </c>
      <c r="IA9" s="126"/>
      <c r="IB9" s="126"/>
      <c r="IC9" s="126"/>
      <c r="ID9" s="126"/>
      <c r="IE9" s="231"/>
      <c r="IF9" s="290" t="s">
        <v>133</v>
      </c>
      <c r="IG9" s="291"/>
      <c r="IH9" s="291"/>
      <c r="II9" s="291"/>
      <c r="IJ9" s="291"/>
      <c r="IK9" s="231"/>
      <c r="IL9" s="126" t="s">
        <v>146</v>
      </c>
      <c r="IM9" s="231"/>
      <c r="IN9" s="289"/>
      <c r="IO9" s="126"/>
      <c r="IP9" s="126"/>
      <c r="IQ9" s="126"/>
      <c r="IR9" s="126"/>
      <c r="IS9" s="231"/>
      <c r="IT9" s="289" t="s">
        <v>133</v>
      </c>
      <c r="IU9" s="126"/>
      <c r="IV9" s="126"/>
      <c r="IW9" s="231"/>
      <c r="IX9" s="292"/>
      <c r="IY9" s="293"/>
      <c r="JF9" s="231"/>
      <c r="JG9" s="123"/>
      <c r="JH9" s="231"/>
      <c r="JI9" s="137" t="s">
        <v>135</v>
      </c>
      <c r="JJ9" s="182"/>
      <c r="JK9" s="294"/>
      <c r="JL9" s="295"/>
      <c r="JM9" s="230">
        <v>0</v>
      </c>
      <c r="JN9" s="231"/>
      <c r="JO9" s="126">
        <v>1</v>
      </c>
      <c r="JP9" s="126">
        <v>2</v>
      </c>
      <c r="JQ9" s="126">
        <v>3</v>
      </c>
      <c r="JR9" s="126">
        <v>4</v>
      </c>
      <c r="JS9" s="126">
        <v>5</v>
      </c>
      <c r="JT9" s="126">
        <v>6</v>
      </c>
      <c r="JU9" s="126">
        <v>7</v>
      </c>
      <c r="JV9" s="126">
        <v>8</v>
      </c>
      <c r="JW9" s="126">
        <v>9</v>
      </c>
      <c r="JX9" s="126">
        <v>10</v>
      </c>
      <c r="JY9" s="126" t="s">
        <v>267</v>
      </c>
      <c r="JZ9" s="126" t="s">
        <v>478</v>
      </c>
      <c r="KA9" s="231"/>
      <c r="KB9" s="126">
        <v>1</v>
      </c>
      <c r="KC9" s="126">
        <v>2</v>
      </c>
      <c r="KD9" s="126">
        <v>3</v>
      </c>
      <c r="KE9" s="126">
        <v>4</v>
      </c>
      <c r="KF9" s="126">
        <v>5</v>
      </c>
      <c r="KG9" s="126">
        <v>6</v>
      </c>
      <c r="KH9" s="126">
        <v>7</v>
      </c>
      <c r="KI9" s="126">
        <v>8</v>
      </c>
      <c r="KJ9" s="126">
        <v>9</v>
      </c>
      <c r="KK9" s="126">
        <v>10</v>
      </c>
      <c r="KL9" s="126" t="s">
        <v>267</v>
      </c>
      <c r="KM9" s="231"/>
      <c r="KN9" s="126">
        <v>1</v>
      </c>
      <c r="KO9" s="126">
        <v>2</v>
      </c>
      <c r="KP9" s="126">
        <v>3</v>
      </c>
      <c r="KQ9" s="126">
        <v>4</v>
      </c>
      <c r="KR9" s="126">
        <v>5</v>
      </c>
      <c r="KS9" s="126">
        <v>6</v>
      </c>
      <c r="KT9" s="126">
        <v>7</v>
      </c>
      <c r="KU9" s="126">
        <v>8</v>
      </c>
      <c r="KV9" s="126">
        <v>9</v>
      </c>
      <c r="KW9" s="126">
        <v>10</v>
      </c>
      <c r="KX9" s="126" t="s">
        <v>267</v>
      </c>
      <c r="KY9" s="231"/>
      <c r="KZ9" s="125"/>
      <c r="LA9" s="126" t="s">
        <v>484</v>
      </c>
      <c r="LB9" s="296">
        <v>0.3</v>
      </c>
      <c r="LC9" s="231"/>
      <c r="LD9" s="126">
        <v>1</v>
      </c>
      <c r="LE9" s="126">
        <v>2</v>
      </c>
      <c r="LF9" s="126">
        <v>3</v>
      </c>
      <c r="LG9" s="126">
        <v>4</v>
      </c>
      <c r="LH9" s="126">
        <v>5</v>
      </c>
      <c r="LI9" s="126">
        <v>6</v>
      </c>
      <c r="LJ9" s="126">
        <v>7</v>
      </c>
      <c r="LK9" s="126">
        <v>8</v>
      </c>
      <c r="LL9" s="126">
        <v>9</v>
      </c>
      <c r="LM9" s="126">
        <v>10</v>
      </c>
      <c r="LN9" s="126" t="s">
        <v>267</v>
      </c>
      <c r="LO9" s="126" t="s">
        <v>478</v>
      </c>
      <c r="LP9" s="231"/>
      <c r="LQ9" s="126">
        <v>1</v>
      </c>
      <c r="LR9" s="126">
        <v>2</v>
      </c>
      <c r="LS9" s="126">
        <v>3</v>
      </c>
      <c r="LT9" s="126">
        <v>4</v>
      </c>
      <c r="LU9" s="126">
        <v>5</v>
      </c>
      <c r="LV9" s="126">
        <v>6</v>
      </c>
      <c r="LW9" s="126">
        <v>7</v>
      </c>
      <c r="LX9" s="126">
        <v>8</v>
      </c>
      <c r="LY9" s="126">
        <v>9</v>
      </c>
      <c r="LZ9" s="126">
        <v>10</v>
      </c>
      <c r="MA9" s="126" t="s">
        <v>267</v>
      </c>
      <c r="MB9" s="231"/>
      <c r="MC9" s="126">
        <v>1</v>
      </c>
      <c r="MD9" s="126">
        <v>2</v>
      </c>
      <c r="ME9" s="126">
        <v>3</v>
      </c>
      <c r="MF9" s="126">
        <v>4</v>
      </c>
      <c r="MG9" s="126">
        <v>5</v>
      </c>
      <c r="MH9" s="126">
        <v>6</v>
      </c>
      <c r="MI9" s="126">
        <v>7</v>
      </c>
      <c r="MJ9" s="126">
        <v>8</v>
      </c>
      <c r="MK9" s="126">
        <v>9</v>
      </c>
      <c r="ML9" s="126">
        <v>10</v>
      </c>
      <c r="MM9" s="126" t="s">
        <v>267</v>
      </c>
      <c r="MN9" s="231"/>
      <c r="MO9" s="126">
        <v>1</v>
      </c>
      <c r="MP9" s="126">
        <v>2</v>
      </c>
      <c r="MQ9" s="126">
        <v>3</v>
      </c>
      <c r="MR9" s="126">
        <v>4</v>
      </c>
      <c r="MS9" s="126">
        <v>5</v>
      </c>
      <c r="MT9" s="126">
        <v>6</v>
      </c>
      <c r="MU9" s="126">
        <v>7</v>
      </c>
      <c r="MV9" s="126">
        <v>8</v>
      </c>
      <c r="MW9" s="126">
        <v>9</v>
      </c>
      <c r="MX9" s="126">
        <v>10</v>
      </c>
      <c r="MY9" s="126" t="s">
        <v>267</v>
      </c>
      <c r="MZ9" s="126" t="s">
        <v>485</v>
      </c>
      <c r="NA9" s="231"/>
      <c r="NB9" s="126">
        <v>1</v>
      </c>
      <c r="NC9" s="126">
        <v>2</v>
      </c>
      <c r="ND9" s="126">
        <v>3</v>
      </c>
      <c r="NE9" s="126">
        <v>4</v>
      </c>
      <c r="NF9" s="126">
        <v>5</v>
      </c>
      <c r="NG9" s="126">
        <v>6</v>
      </c>
      <c r="NH9" s="126">
        <v>7</v>
      </c>
      <c r="NI9" s="126">
        <v>8</v>
      </c>
      <c r="NJ9" s="126">
        <v>9</v>
      </c>
      <c r="NK9" s="126">
        <v>10</v>
      </c>
      <c r="NL9" s="126" t="s">
        <v>267</v>
      </c>
      <c r="NM9" s="126" t="s">
        <v>485</v>
      </c>
      <c r="NN9" s="231"/>
      <c r="NP9" s="219" t="s">
        <v>201</v>
      </c>
      <c r="NR9" s="243"/>
      <c r="NS9" s="244"/>
      <c r="NX9" s="231"/>
      <c r="OG9" s="231"/>
      <c r="OH9" s="245"/>
      <c r="OI9" s="245"/>
      <c r="OJ9" s="231"/>
      <c r="OK9" s="230">
        <v>0</v>
      </c>
      <c r="OL9" s="231"/>
      <c r="OM9" s="107">
        <v>0</v>
      </c>
      <c r="ON9" s="107">
        <v>0</v>
      </c>
      <c r="OO9" s="107">
        <v>0</v>
      </c>
      <c r="OP9" s="107">
        <v>0</v>
      </c>
      <c r="OQ9" s="107">
        <v>0</v>
      </c>
      <c r="OR9" s="107">
        <v>0</v>
      </c>
      <c r="OS9" s="107">
        <v>0</v>
      </c>
      <c r="OT9" s="107">
        <v>0</v>
      </c>
      <c r="OU9" s="107">
        <v>0</v>
      </c>
      <c r="OV9" s="107">
        <v>0</v>
      </c>
      <c r="OW9" s="107">
        <v>0</v>
      </c>
      <c r="OX9" s="107">
        <v>0</v>
      </c>
      <c r="OY9" s="107">
        <v>0</v>
      </c>
      <c r="OZ9" s="107">
        <v>0</v>
      </c>
      <c r="PA9" s="107">
        <v>0</v>
      </c>
      <c r="PB9" s="107">
        <v>0</v>
      </c>
      <c r="PC9" s="107">
        <v>0</v>
      </c>
      <c r="PD9" s="107">
        <v>0</v>
      </c>
      <c r="PE9" s="107">
        <v>0</v>
      </c>
      <c r="PF9" s="107">
        <v>0</v>
      </c>
      <c r="PG9" s="107">
        <v>0</v>
      </c>
      <c r="PH9" s="107">
        <v>0</v>
      </c>
      <c r="PI9" s="107">
        <v>0</v>
      </c>
      <c r="PJ9" s="107">
        <v>0</v>
      </c>
      <c r="PK9" s="107">
        <v>0</v>
      </c>
      <c r="PL9" s="107">
        <v>0</v>
      </c>
      <c r="PM9" s="107">
        <v>0</v>
      </c>
      <c r="PN9" s="107">
        <v>0</v>
      </c>
      <c r="PO9" s="107">
        <v>0</v>
      </c>
      <c r="PP9" s="107">
        <v>0</v>
      </c>
      <c r="PQ9" s="107">
        <v>0</v>
      </c>
      <c r="PR9" s="107">
        <v>0</v>
      </c>
      <c r="PS9" s="107">
        <v>0</v>
      </c>
      <c r="PT9" s="107">
        <v>0</v>
      </c>
      <c r="PU9" s="107">
        <v>0</v>
      </c>
      <c r="PV9" s="107">
        <v>0</v>
      </c>
      <c r="PW9" s="107">
        <v>0</v>
      </c>
      <c r="PX9" s="107">
        <v>0</v>
      </c>
      <c r="PY9" s="107">
        <v>0</v>
      </c>
      <c r="PZ9" s="107">
        <v>0</v>
      </c>
      <c r="QA9" s="107">
        <v>0</v>
      </c>
      <c r="QB9" s="107">
        <v>0</v>
      </c>
      <c r="QC9" s="107">
        <v>0</v>
      </c>
      <c r="QD9" s="107">
        <v>0</v>
      </c>
      <c r="QE9" s="107">
        <v>0</v>
      </c>
      <c r="QF9" s="107">
        <v>0</v>
      </c>
      <c r="QG9" s="107">
        <v>0</v>
      </c>
      <c r="QH9" s="107">
        <v>0</v>
      </c>
      <c r="QI9" s="107">
        <v>0</v>
      </c>
      <c r="QJ9" s="107">
        <v>0</v>
      </c>
      <c r="QK9" s="107">
        <v>0</v>
      </c>
      <c r="QL9" s="107">
        <v>0</v>
      </c>
      <c r="QM9" s="107">
        <v>0</v>
      </c>
      <c r="QN9" s="107">
        <v>0</v>
      </c>
      <c r="QO9" s="107">
        <v>0</v>
      </c>
      <c r="QP9" s="107">
        <v>0</v>
      </c>
      <c r="QQ9" s="107">
        <v>0</v>
      </c>
      <c r="QR9" s="107">
        <v>0</v>
      </c>
      <c r="QS9" s="107">
        <v>0</v>
      </c>
      <c r="QT9" s="107">
        <v>0</v>
      </c>
      <c r="QU9" s="107">
        <v>0</v>
      </c>
      <c r="QV9" s="107">
        <v>0</v>
      </c>
      <c r="QW9" s="107">
        <v>0</v>
      </c>
      <c r="QX9" s="107">
        <v>0</v>
      </c>
      <c r="QY9" s="107">
        <v>0</v>
      </c>
      <c r="QZ9" s="107">
        <v>0</v>
      </c>
      <c r="RA9" s="107">
        <v>0</v>
      </c>
      <c r="RB9" s="107">
        <v>0</v>
      </c>
      <c r="RC9" s="107">
        <v>0</v>
      </c>
      <c r="RD9" s="107">
        <v>0</v>
      </c>
      <c r="RE9" s="107">
        <v>0</v>
      </c>
      <c r="RF9" s="107">
        <v>0</v>
      </c>
      <c r="RG9" s="107">
        <v>0</v>
      </c>
      <c r="RH9" s="107">
        <v>0</v>
      </c>
      <c r="RI9" s="107">
        <v>0</v>
      </c>
      <c r="RJ9" s="107">
        <v>0</v>
      </c>
      <c r="RK9" s="107">
        <v>0</v>
      </c>
      <c r="RL9" s="107">
        <v>0</v>
      </c>
      <c r="RM9" s="107">
        <v>0</v>
      </c>
      <c r="RN9" s="107">
        <v>0</v>
      </c>
      <c r="RO9" s="107">
        <v>0</v>
      </c>
      <c r="RP9" s="107">
        <v>0</v>
      </c>
      <c r="RQ9" s="107">
        <v>0</v>
      </c>
      <c r="RR9" s="107">
        <v>0</v>
      </c>
      <c r="RS9" s="107">
        <v>0</v>
      </c>
      <c r="RT9" s="107">
        <v>0</v>
      </c>
      <c r="RU9" s="107">
        <v>0</v>
      </c>
      <c r="RV9" s="107">
        <v>0</v>
      </c>
      <c r="RW9" s="107">
        <v>0</v>
      </c>
      <c r="RX9" s="107">
        <v>0</v>
      </c>
      <c r="RY9" s="107">
        <v>0</v>
      </c>
      <c r="RZ9" s="107">
        <v>0</v>
      </c>
      <c r="SA9" s="107">
        <v>0</v>
      </c>
      <c r="SB9" s="107">
        <v>0</v>
      </c>
      <c r="SC9" s="107">
        <v>0</v>
      </c>
      <c r="SD9" s="107">
        <v>0</v>
      </c>
      <c r="SE9" s="107">
        <v>0</v>
      </c>
      <c r="SF9" s="107">
        <v>0</v>
      </c>
      <c r="SG9" s="107">
        <v>0</v>
      </c>
      <c r="SH9" s="297" t="s">
        <v>518</v>
      </c>
      <c r="SI9" s="298"/>
      <c r="SJ9" s="299">
        <v>1</v>
      </c>
      <c r="SK9" s="299">
        <v>2</v>
      </c>
      <c r="SL9" s="299">
        <v>3</v>
      </c>
      <c r="SM9" s="299">
        <v>4</v>
      </c>
      <c r="SN9" s="299">
        <v>5</v>
      </c>
      <c r="SO9" s="299">
        <v>6</v>
      </c>
      <c r="SP9" s="299">
        <v>7</v>
      </c>
      <c r="SQ9" s="299">
        <v>8</v>
      </c>
      <c r="SR9" s="299">
        <v>9</v>
      </c>
      <c r="SS9" s="299">
        <v>10</v>
      </c>
      <c r="ST9" s="299"/>
      <c r="SU9" s="231"/>
      <c r="SV9" s="298"/>
      <c r="SW9" s="299">
        <v>1</v>
      </c>
      <c r="SX9" s="299">
        <v>2</v>
      </c>
      <c r="SY9" s="299">
        <v>3</v>
      </c>
      <c r="SZ9" s="299">
        <v>4</v>
      </c>
      <c r="TA9" s="299">
        <v>5</v>
      </c>
      <c r="TB9" s="299">
        <v>6</v>
      </c>
      <c r="TC9" s="299">
        <v>7</v>
      </c>
      <c r="TD9" s="299">
        <v>8</v>
      </c>
      <c r="TE9" s="299">
        <v>9</v>
      </c>
      <c r="TF9" s="299">
        <v>10</v>
      </c>
      <c r="TG9" s="299">
        <v>0</v>
      </c>
      <c r="TH9" s="231"/>
      <c r="TI9" s="298"/>
      <c r="TJ9" s="299">
        <v>1</v>
      </c>
      <c r="TK9" s="299">
        <v>2</v>
      </c>
      <c r="TL9" s="299">
        <v>3</v>
      </c>
      <c r="TM9" s="299">
        <v>4</v>
      </c>
      <c r="TN9" s="299">
        <v>5</v>
      </c>
      <c r="TO9" s="299">
        <v>6</v>
      </c>
      <c r="TP9" s="299">
        <v>7</v>
      </c>
      <c r="TQ9" s="299">
        <v>8</v>
      </c>
      <c r="TR9" s="299">
        <v>9</v>
      </c>
      <c r="TS9" s="299">
        <v>10</v>
      </c>
      <c r="TT9" s="299">
        <v>0</v>
      </c>
      <c r="TU9" s="231"/>
      <c r="TV9" s="298"/>
      <c r="TW9" s="299">
        <v>1</v>
      </c>
      <c r="TX9" s="299">
        <v>2</v>
      </c>
      <c r="TY9" s="299">
        <v>3</v>
      </c>
      <c r="TZ9" s="299">
        <v>4</v>
      </c>
      <c r="UA9" s="299">
        <v>5</v>
      </c>
      <c r="UB9" s="299">
        <v>6</v>
      </c>
      <c r="UC9" s="299">
        <v>7</v>
      </c>
      <c r="UD9" s="299">
        <v>8</v>
      </c>
      <c r="UE9" s="299">
        <v>9</v>
      </c>
      <c r="UF9" s="299">
        <v>10</v>
      </c>
      <c r="UG9" s="299">
        <v>11</v>
      </c>
      <c r="UH9" s="231"/>
      <c r="UI9" s="298"/>
      <c r="UJ9" s="299">
        <v>1</v>
      </c>
      <c r="UK9" s="299">
        <v>2</v>
      </c>
      <c r="UL9" s="299">
        <v>3</v>
      </c>
      <c r="UM9" s="299">
        <v>4</v>
      </c>
      <c r="UN9" s="299">
        <v>5</v>
      </c>
      <c r="UO9" s="299">
        <v>6</v>
      </c>
      <c r="UP9" s="299">
        <v>7</v>
      </c>
      <c r="UQ9" s="299">
        <v>8</v>
      </c>
      <c r="UR9" s="299">
        <v>9</v>
      </c>
      <c r="US9" s="299">
        <v>10</v>
      </c>
      <c r="UT9" s="299">
        <v>11</v>
      </c>
      <c r="UU9" s="231"/>
      <c r="UV9" s="298"/>
      <c r="UW9" s="299">
        <v>1</v>
      </c>
      <c r="UX9" s="299">
        <v>2</v>
      </c>
      <c r="UY9" s="299">
        <v>3</v>
      </c>
      <c r="UZ9" s="299">
        <v>4</v>
      </c>
      <c r="VA9" s="299">
        <v>5</v>
      </c>
      <c r="VB9" s="299">
        <v>6</v>
      </c>
      <c r="VC9" s="299">
        <v>7</v>
      </c>
      <c r="VD9" s="299">
        <v>8</v>
      </c>
      <c r="VE9" s="299">
        <v>9</v>
      </c>
      <c r="VF9" s="299">
        <v>10</v>
      </c>
      <c r="VG9" s="299"/>
      <c r="VH9" s="231"/>
      <c r="VI9" s="300"/>
      <c r="VJ9" s="301">
        <v>1</v>
      </c>
      <c r="VK9" s="301">
        <v>2</v>
      </c>
      <c r="VL9" s="301">
        <v>3</v>
      </c>
      <c r="VM9" s="301">
        <v>4</v>
      </c>
      <c r="VN9" s="301">
        <v>5</v>
      </c>
      <c r="VO9" s="301">
        <v>6</v>
      </c>
      <c r="VP9" s="301">
        <v>7</v>
      </c>
      <c r="VQ9" s="301">
        <v>8</v>
      </c>
      <c r="VR9" s="301">
        <v>9</v>
      </c>
      <c r="VS9" s="301">
        <v>10</v>
      </c>
      <c r="VT9" s="301"/>
      <c r="VU9" s="231"/>
      <c r="VV9" s="298"/>
      <c r="VW9" s="299">
        <v>1</v>
      </c>
      <c r="VX9" s="299">
        <v>2</v>
      </c>
      <c r="VY9" s="299">
        <v>3</v>
      </c>
      <c r="VZ9" s="299">
        <v>4</v>
      </c>
      <c r="WA9" s="299">
        <v>5</v>
      </c>
      <c r="WB9" s="299">
        <v>6</v>
      </c>
      <c r="WC9" s="299">
        <v>7</v>
      </c>
      <c r="WD9" s="299">
        <v>8</v>
      </c>
      <c r="WE9" s="299">
        <v>9</v>
      </c>
      <c r="WF9" s="299">
        <v>10</v>
      </c>
      <c r="WG9" s="299"/>
      <c r="WH9" s="231"/>
      <c r="WI9" s="301">
        <v>1</v>
      </c>
      <c r="WJ9" s="301">
        <v>2</v>
      </c>
      <c r="WK9" s="301">
        <v>3</v>
      </c>
      <c r="WL9" s="301">
        <v>4</v>
      </c>
      <c r="WM9" s="301">
        <v>5</v>
      </c>
      <c r="WN9" s="301">
        <v>6</v>
      </c>
      <c r="WO9" s="301">
        <v>7</v>
      </c>
      <c r="WP9" s="301">
        <v>8</v>
      </c>
      <c r="WQ9" s="301">
        <v>9</v>
      </c>
      <c r="WR9" s="301">
        <v>10</v>
      </c>
      <c r="WS9" s="301"/>
      <c r="WT9" s="301"/>
      <c r="WU9" s="162"/>
      <c r="WV9" s="301">
        <v>1</v>
      </c>
      <c r="WW9" s="301">
        <v>2</v>
      </c>
      <c r="WX9" s="301">
        <v>3</v>
      </c>
      <c r="WY9" s="301">
        <v>4</v>
      </c>
      <c r="WZ9" s="301">
        <v>5</v>
      </c>
      <c r="XA9" s="301">
        <v>6</v>
      </c>
      <c r="XB9" s="301">
        <v>7</v>
      </c>
      <c r="XC9" s="301">
        <v>8</v>
      </c>
      <c r="XD9" s="301">
        <v>9</v>
      </c>
      <c r="XE9" s="301">
        <v>10</v>
      </c>
      <c r="XF9" s="301">
        <v>0</v>
      </c>
      <c r="XG9" s="231"/>
      <c r="XH9" s="299">
        <v>1</v>
      </c>
      <c r="XI9" s="299">
        <v>2</v>
      </c>
      <c r="XJ9" s="299">
        <v>3</v>
      </c>
      <c r="XK9" s="299">
        <v>4</v>
      </c>
      <c r="XL9" s="299">
        <v>5</v>
      </c>
      <c r="XM9" s="299">
        <v>6</v>
      </c>
      <c r="XN9" s="299">
        <v>7</v>
      </c>
      <c r="XO9" s="299">
        <v>8</v>
      </c>
      <c r="XP9" s="299">
        <v>9</v>
      </c>
      <c r="XQ9" s="299">
        <v>10</v>
      </c>
      <c r="XR9" s="299"/>
      <c r="XS9" s="231"/>
      <c r="XT9" s="300"/>
      <c r="XU9" s="301">
        <v>1</v>
      </c>
      <c r="XV9" s="301">
        <v>2</v>
      </c>
      <c r="XW9" s="301">
        <v>3</v>
      </c>
      <c r="XX9" s="301">
        <v>4</v>
      </c>
      <c r="XY9" s="301">
        <v>5</v>
      </c>
      <c r="XZ9" s="301">
        <v>6</v>
      </c>
      <c r="YA9" s="301">
        <v>7</v>
      </c>
      <c r="YB9" s="301">
        <v>8</v>
      </c>
      <c r="YC9" s="301">
        <v>9</v>
      </c>
      <c r="YD9" s="301">
        <v>10</v>
      </c>
      <c r="YE9" s="231"/>
      <c r="YF9" s="300"/>
      <c r="YG9" s="301">
        <v>1</v>
      </c>
      <c r="YH9" s="301">
        <v>2</v>
      </c>
      <c r="YI9" s="301">
        <v>3</v>
      </c>
      <c r="YJ9" s="301">
        <v>4</v>
      </c>
      <c r="YK9" s="301">
        <v>5</v>
      </c>
      <c r="YL9" s="301">
        <v>6</v>
      </c>
      <c r="YM9" s="301">
        <v>7</v>
      </c>
      <c r="YN9" s="301">
        <v>8</v>
      </c>
      <c r="YO9" s="301">
        <v>9</v>
      </c>
      <c r="YP9" s="301">
        <v>10</v>
      </c>
      <c r="YQ9" s="231"/>
      <c r="YR9" s="175"/>
      <c r="YS9" s="175"/>
      <c r="YT9" s="175"/>
      <c r="YU9" s="231"/>
      <c r="YV9" s="128"/>
      <c r="YW9" s="302"/>
      <c r="YX9" s="302"/>
      <c r="YY9" s="303"/>
      <c r="ZC9" s="303"/>
      <c r="ZE9" s="289"/>
      <c r="ZF9" s="126"/>
      <c r="ZG9" s="126"/>
      <c r="ZH9" s="126"/>
      <c r="ZI9" s="126"/>
      <c r="ZK9" s="150">
        <v>-9</v>
      </c>
      <c r="ZL9" s="150">
        <v>-8</v>
      </c>
      <c r="ZM9" s="150">
        <v>-7</v>
      </c>
      <c r="ZN9" s="150">
        <v>-6</v>
      </c>
      <c r="ZO9" s="150">
        <v>-5</v>
      </c>
      <c r="ZP9" s="150">
        <v>-4</v>
      </c>
      <c r="ZQ9" s="150">
        <v>-3</v>
      </c>
      <c r="ZR9" s="150">
        <v>-2</v>
      </c>
      <c r="ZS9" s="150">
        <v>-1</v>
      </c>
      <c r="ZT9" s="150"/>
      <c r="ZU9" s="304"/>
      <c r="ZV9" s="283"/>
      <c r="ZW9" s="305"/>
      <c r="ZX9" s="150" t="s">
        <v>536</v>
      </c>
      <c r="ZY9" s="150" t="s">
        <v>537</v>
      </c>
      <c r="ZZ9" s="150" t="s">
        <v>538</v>
      </c>
      <c r="AAA9" s="150" t="s">
        <v>539</v>
      </c>
      <c r="AAB9" s="150" t="s">
        <v>540</v>
      </c>
      <c r="AAC9" s="150" t="s">
        <v>541</v>
      </c>
      <c r="AAD9" s="150" t="s">
        <v>542</v>
      </c>
      <c r="AAE9" s="150" t="s">
        <v>543</v>
      </c>
      <c r="AAF9" s="150" t="s">
        <v>544</v>
      </c>
      <c r="AAG9" s="150" t="s">
        <v>545</v>
      </c>
      <c r="AAI9"/>
      <c r="AAJ9"/>
      <c r="AAK9"/>
      <c r="AAL9"/>
      <c r="AAS9" s="288" t="s">
        <v>411</v>
      </c>
      <c r="AAT9" s="150">
        <v>-10</v>
      </c>
      <c r="AAU9" s="150">
        <v>-9</v>
      </c>
      <c r="AAV9" s="150">
        <v>-8</v>
      </c>
      <c r="AAW9" s="150">
        <v>-7</v>
      </c>
      <c r="AAX9" s="150">
        <v>-6</v>
      </c>
      <c r="AAY9" s="150">
        <v>-5</v>
      </c>
      <c r="AAZ9" s="150">
        <v>-4</v>
      </c>
      <c r="ABA9" s="150">
        <v>-3</v>
      </c>
      <c r="ABB9" s="150">
        <v>-2</v>
      </c>
      <c r="ABC9" s="150">
        <v>-1</v>
      </c>
      <c r="ABD9" s="150">
        <v>0</v>
      </c>
      <c r="ABF9" s="150">
        <v>0</v>
      </c>
      <c r="ABG9" s="150">
        <v>2000</v>
      </c>
      <c r="ABH9" s="275" t="s">
        <v>552</v>
      </c>
      <c r="ABJ9" s="288" t="s">
        <v>411</v>
      </c>
      <c r="ABK9" s="150">
        <v>-9</v>
      </c>
      <c r="ABL9" s="150">
        <v>-8</v>
      </c>
      <c r="ABM9" s="150">
        <v>-7</v>
      </c>
      <c r="ABN9" s="150">
        <v>-6</v>
      </c>
      <c r="ABO9" s="150">
        <v>-5</v>
      </c>
      <c r="ABP9" s="150">
        <v>-4</v>
      </c>
      <c r="ABQ9" s="150">
        <v>-3</v>
      </c>
      <c r="ABR9" s="150">
        <v>-2</v>
      </c>
      <c r="ABS9" s="150">
        <v>-1</v>
      </c>
      <c r="ABT9" s="150">
        <v>0</v>
      </c>
      <c r="ABU9" s="231"/>
      <c r="ABV9" s="150"/>
      <c r="ABW9" s="150"/>
      <c r="ABX9" s="150"/>
      <c r="ABY9" s="150"/>
      <c r="ABZ9" s="150"/>
      <c r="ACA9" s="231"/>
      <c r="ACB9"/>
      <c r="ACC9"/>
      <c r="ACD9"/>
      <c r="ACE9"/>
      <c r="ACL9" s="301">
        <v>1</v>
      </c>
      <c r="ACM9" s="301">
        <v>2</v>
      </c>
      <c r="ACN9" s="301">
        <v>3</v>
      </c>
      <c r="ACO9" s="301">
        <v>4</v>
      </c>
      <c r="ACP9" s="301">
        <v>5</v>
      </c>
      <c r="ACQ9" s="301">
        <v>6</v>
      </c>
      <c r="ACR9" s="301">
        <v>7</v>
      </c>
      <c r="ACS9" s="301">
        <v>8</v>
      </c>
      <c r="ACT9" s="301">
        <v>9</v>
      </c>
      <c r="ACU9" s="301">
        <v>10</v>
      </c>
      <c r="ACV9" s="301"/>
      <c r="ACW9" s="301"/>
      <c r="ACY9" s="288" t="s">
        <v>411</v>
      </c>
      <c r="ACZ9" s="150"/>
      <c r="ADA9" s="150">
        <v>-9</v>
      </c>
      <c r="ADB9" s="150">
        <v>-8</v>
      </c>
      <c r="ADC9" s="150">
        <v>-7</v>
      </c>
      <c r="ADD9" s="150">
        <v>-6</v>
      </c>
      <c r="ADE9" s="150">
        <v>-5</v>
      </c>
      <c r="ADF9" s="150">
        <v>-4</v>
      </c>
      <c r="ADG9" s="150">
        <v>-3</v>
      </c>
      <c r="ADH9" s="150">
        <v>-2</v>
      </c>
      <c r="ADI9" s="150">
        <v>-1</v>
      </c>
      <c r="ADJ9" s="150"/>
      <c r="ADK9" s="283">
        <v>2000</v>
      </c>
      <c r="ADL9" s="150"/>
      <c r="ADM9" s="150"/>
      <c r="ADN9" s="150"/>
      <c r="ADO9" s="150"/>
      <c r="ADP9" s="150"/>
      <c r="ADR9"/>
      <c r="ADS9"/>
      <c r="ADT9"/>
      <c r="ADU9"/>
      <c r="AEB9" s="301">
        <v>1</v>
      </c>
      <c r="AEC9" s="301">
        <v>2</v>
      </c>
      <c r="AED9" s="301">
        <v>3</v>
      </c>
      <c r="AEE9" s="301">
        <v>4</v>
      </c>
      <c r="AEF9" s="301">
        <v>5</v>
      </c>
      <c r="AEG9" s="301">
        <v>6</v>
      </c>
      <c r="AEH9" s="301">
        <v>7</v>
      </c>
      <c r="AEI9" s="301">
        <v>8</v>
      </c>
      <c r="AEJ9" s="301">
        <v>9</v>
      </c>
      <c r="AEK9" s="301">
        <v>10</v>
      </c>
      <c r="AEM9" s="301">
        <v>1</v>
      </c>
      <c r="AEN9" s="301">
        <v>2</v>
      </c>
      <c r="AEO9" s="301">
        <v>3</v>
      </c>
      <c r="AEP9" s="301">
        <v>4</v>
      </c>
      <c r="AEQ9" s="301">
        <v>5</v>
      </c>
      <c r="AER9" s="301">
        <v>6</v>
      </c>
      <c r="AES9" s="301">
        <v>7</v>
      </c>
      <c r="AET9" s="301">
        <v>8</v>
      </c>
      <c r="AEU9" s="301">
        <v>9</v>
      </c>
      <c r="AEV9" s="301">
        <v>10</v>
      </c>
      <c r="AEW9" s="301"/>
      <c r="AEY9" s="301">
        <v>1</v>
      </c>
      <c r="AEZ9" s="301">
        <v>2</v>
      </c>
      <c r="AFA9" s="301">
        <v>3</v>
      </c>
      <c r="AFB9" s="301">
        <v>4</v>
      </c>
      <c r="AFC9" s="301">
        <v>5</v>
      </c>
      <c r="AFD9" s="301">
        <v>6</v>
      </c>
      <c r="AFE9" s="301">
        <v>7</v>
      </c>
      <c r="AFF9" s="301">
        <v>8</v>
      </c>
      <c r="AFG9" s="301">
        <v>9</v>
      </c>
      <c r="AFH9" s="301">
        <v>10</v>
      </c>
      <c r="AFI9" s="301"/>
      <c r="AFK9" s="301">
        <v>1</v>
      </c>
      <c r="AFL9" s="301">
        <v>2</v>
      </c>
      <c r="AFM9" s="301">
        <v>3</v>
      </c>
      <c r="AFN9" s="301">
        <v>4</v>
      </c>
      <c r="AFO9" s="301">
        <v>5</v>
      </c>
      <c r="AFP9" s="301">
        <v>6</v>
      </c>
      <c r="AFQ9" s="301">
        <v>7</v>
      </c>
      <c r="AFR9" s="301">
        <v>8</v>
      </c>
      <c r="AFS9" s="301">
        <v>9</v>
      </c>
      <c r="AFT9" s="301">
        <v>10</v>
      </c>
      <c r="AFU9" s="301"/>
      <c r="AFV9" s="301"/>
      <c r="AFX9" s="301"/>
      <c r="AFZ9" s="301">
        <v>1</v>
      </c>
      <c r="AGA9" s="301">
        <v>1</v>
      </c>
      <c r="AGB9" s="301">
        <v>2</v>
      </c>
      <c r="AGC9" s="301">
        <v>3</v>
      </c>
      <c r="AGD9" s="301">
        <v>4</v>
      </c>
      <c r="AGF9" s="301">
        <v>1</v>
      </c>
      <c r="AGG9" s="301">
        <v>2</v>
      </c>
      <c r="AGH9" s="301">
        <v>3</v>
      </c>
      <c r="AGI9" s="301">
        <v>4</v>
      </c>
      <c r="AGJ9" s="301">
        <v>5</v>
      </c>
      <c r="AGL9" s="306"/>
      <c r="AGM9" s="299"/>
      <c r="AGN9" s="299"/>
      <c r="AGO9" s="299"/>
      <c r="AGP9" s="299"/>
      <c r="AGQ9" s="299"/>
      <c r="AGR9" s="299"/>
      <c r="AGS9" s="299">
        <v>1</v>
      </c>
      <c r="AGT9" s="299">
        <v>2</v>
      </c>
      <c r="AGU9" s="299">
        <v>3</v>
      </c>
      <c r="AGV9" s="299">
        <v>4</v>
      </c>
      <c r="AGW9" s="299">
        <v>5</v>
      </c>
      <c r="AGX9" s="299">
        <v>6</v>
      </c>
      <c r="AGY9" s="299">
        <v>7</v>
      </c>
      <c r="AGZ9" s="299">
        <v>8</v>
      </c>
      <c r="AHA9" s="299">
        <v>9</v>
      </c>
      <c r="AHB9" s="299">
        <v>10</v>
      </c>
      <c r="AHC9" s="299"/>
      <c r="AHE9" s="299"/>
      <c r="AHF9" s="299">
        <v>1</v>
      </c>
      <c r="AHG9" s="299">
        <v>2</v>
      </c>
      <c r="AHH9" s="299">
        <v>3</v>
      </c>
      <c r="AHI9" s="299">
        <v>4</v>
      </c>
      <c r="AHJ9" s="299">
        <v>5</v>
      </c>
      <c r="AHK9" s="299">
        <v>6</v>
      </c>
      <c r="AHL9" s="299">
        <v>7</v>
      </c>
      <c r="AHM9" s="299">
        <v>8</v>
      </c>
      <c r="AHN9" s="299">
        <v>9</v>
      </c>
      <c r="AHO9" s="299">
        <v>10</v>
      </c>
      <c r="AHP9" s="299"/>
      <c r="AHR9" s="299">
        <v>1</v>
      </c>
      <c r="AHS9" s="299">
        <v>2</v>
      </c>
      <c r="AHT9" s="299">
        <v>3</v>
      </c>
      <c r="AHU9" s="299">
        <v>4</v>
      </c>
      <c r="AHV9" s="299">
        <v>5</v>
      </c>
      <c r="AHW9" s="299">
        <v>6</v>
      </c>
      <c r="AHX9" s="299">
        <v>7</v>
      </c>
      <c r="AHY9" s="299">
        <v>8</v>
      </c>
      <c r="AHZ9" s="299">
        <v>9</v>
      </c>
      <c r="AIA9" s="299">
        <v>10</v>
      </c>
      <c r="AIB9" s="299"/>
    </row>
    <row r="10" spans="1:944" s="107" customFormat="1" ht="21" x14ac:dyDescent="0.45">
      <c r="A10" s="722"/>
      <c r="B10" s="125"/>
      <c r="C10" s="125"/>
      <c r="D10" s="125"/>
      <c r="E10" s="279"/>
      <c r="F10" s="279"/>
      <c r="G10" s="126"/>
      <c r="H10" s="126"/>
      <c r="I10" s="126"/>
      <c r="J10" s="279"/>
      <c r="K10" s="279"/>
      <c r="L10" s="279"/>
      <c r="M10" s="279"/>
      <c r="N10" s="279"/>
      <c r="O10" s="126"/>
      <c r="P10" s="126"/>
      <c r="Q10" s="213"/>
      <c r="R10" s="147"/>
      <c r="S10" s="147"/>
      <c r="T10" s="147"/>
      <c r="U10" s="147"/>
      <c r="V10" s="147"/>
      <c r="W10" s="147"/>
      <c r="X10" s="213"/>
      <c r="Y10" s="279"/>
      <c r="Z10" s="279"/>
      <c r="AA10" s="279"/>
      <c r="AB10" s="213"/>
      <c r="AC10" s="280"/>
      <c r="AD10" s="279"/>
      <c r="AE10" s="147"/>
      <c r="AF10" s="147" t="s">
        <v>371</v>
      </c>
      <c r="AG10" s="213"/>
      <c r="AH10" s="307" t="s">
        <v>372</v>
      </c>
      <c r="AI10" s="307" t="s">
        <v>372</v>
      </c>
      <c r="AJ10" s="307" t="s">
        <v>373</v>
      </c>
      <c r="AK10" s="307" t="s">
        <v>373</v>
      </c>
      <c r="AL10" s="307" t="s">
        <v>373</v>
      </c>
      <c r="AM10" s="307" t="s">
        <v>373</v>
      </c>
      <c r="AN10" s="307" t="s">
        <v>372</v>
      </c>
      <c r="AO10" s="213"/>
      <c r="AP10" s="280"/>
      <c r="AQ10" s="280" t="s">
        <v>400</v>
      </c>
      <c r="AR10" s="213"/>
      <c r="AS10" s="282"/>
      <c r="AT10" s="280"/>
      <c r="AU10" s="213"/>
      <c r="AV10" s="308"/>
      <c r="AW10" s="308"/>
      <c r="AX10" s="287" t="s">
        <v>413</v>
      </c>
      <c r="AY10" s="309"/>
      <c r="AZ10" s="310" t="s">
        <v>138</v>
      </c>
      <c r="BA10" s="311"/>
      <c r="BB10" s="309"/>
      <c r="BC10" s="310" t="s">
        <v>50</v>
      </c>
      <c r="BD10" s="311"/>
      <c r="BE10" s="309"/>
      <c r="BF10" s="312" t="s">
        <v>414</v>
      </c>
      <c r="BG10" s="311"/>
      <c r="BH10" s="313"/>
      <c r="BI10" s="310" t="s">
        <v>415</v>
      </c>
      <c r="BJ10" s="311"/>
      <c r="BK10" s="314"/>
      <c r="BL10" s="310" t="s">
        <v>416</v>
      </c>
      <c r="BM10" s="314"/>
      <c r="BO10" s="315" t="s">
        <v>417</v>
      </c>
      <c r="BP10" s="311">
        <v>0</v>
      </c>
      <c r="BQ10" s="315" t="s">
        <v>418</v>
      </c>
      <c r="BR10" s="313">
        <v>0</v>
      </c>
      <c r="BT10" s="137" t="s">
        <v>419</v>
      </c>
      <c r="BU10" s="275" t="s">
        <v>420</v>
      </c>
      <c r="BV10" s="275" t="s">
        <v>421</v>
      </c>
      <c r="BW10" s="275" t="s">
        <v>422</v>
      </c>
      <c r="BX10" s="275" t="s">
        <v>423</v>
      </c>
      <c r="BY10" s="275" t="s">
        <v>424</v>
      </c>
      <c r="BZ10" s="275" t="s">
        <v>425</v>
      </c>
      <c r="CA10" s="275" t="s">
        <v>426</v>
      </c>
      <c r="CB10" s="275" t="s">
        <v>427</v>
      </c>
      <c r="CC10" s="275" t="s">
        <v>428</v>
      </c>
      <c r="CD10" s="275" t="s">
        <v>429</v>
      </c>
      <c r="CE10" s="275" t="s">
        <v>409</v>
      </c>
      <c r="CG10" s="275" t="s">
        <v>430</v>
      </c>
      <c r="CH10" s="275" t="s">
        <v>0</v>
      </c>
      <c r="CI10" s="275" t="s">
        <v>133</v>
      </c>
      <c r="CK10" s="289" t="s">
        <v>409</v>
      </c>
      <c r="CL10" s="289" t="s">
        <v>409</v>
      </c>
      <c r="CM10" s="289" t="s">
        <v>409</v>
      </c>
      <c r="CN10" s="289" t="s">
        <v>409</v>
      </c>
      <c r="CO10" s="289" t="s">
        <v>409</v>
      </c>
      <c r="CP10" s="289" t="s">
        <v>409</v>
      </c>
      <c r="CQ10" s="289" t="s">
        <v>409</v>
      </c>
      <c r="CR10" s="289" t="s">
        <v>409</v>
      </c>
      <c r="CS10" s="289" t="s">
        <v>409</v>
      </c>
      <c r="CT10" s="289" t="s">
        <v>409</v>
      </c>
      <c r="CV10" s="275" t="s">
        <v>409</v>
      </c>
      <c r="CW10" s="275" t="s">
        <v>409</v>
      </c>
      <c r="CX10" s="275" t="s">
        <v>409</v>
      </c>
      <c r="CY10" s="275" t="s">
        <v>409</v>
      </c>
      <c r="CZ10" s="275" t="s">
        <v>409</v>
      </c>
      <c r="DA10" s="275" t="s">
        <v>409</v>
      </c>
      <c r="DB10" s="275" t="s">
        <v>409</v>
      </c>
      <c r="DC10" s="275" t="s">
        <v>409</v>
      </c>
      <c r="DD10" s="275" t="s">
        <v>409</v>
      </c>
      <c r="DE10" s="275" t="s">
        <v>409</v>
      </c>
      <c r="DF10" s="275" t="s">
        <v>409</v>
      </c>
      <c r="DH10" s="289" t="s">
        <v>409</v>
      </c>
      <c r="DI10" s="289" t="s">
        <v>409</v>
      </c>
      <c r="DJ10" s="289" t="s">
        <v>409</v>
      </c>
      <c r="DK10" s="289" t="s">
        <v>409</v>
      </c>
      <c r="DL10" s="289" t="s">
        <v>409</v>
      </c>
      <c r="DM10" s="289" t="s">
        <v>409</v>
      </c>
      <c r="DN10" s="289" t="s">
        <v>409</v>
      </c>
      <c r="DO10" s="289" t="s">
        <v>409</v>
      </c>
      <c r="DP10" s="289" t="s">
        <v>409</v>
      </c>
      <c r="DQ10" s="289" t="s">
        <v>409</v>
      </c>
      <c r="DS10" s="275" t="s">
        <v>409</v>
      </c>
      <c r="DT10" s="275" t="s">
        <v>409</v>
      </c>
      <c r="DU10" s="275" t="s">
        <v>409</v>
      </c>
      <c r="DV10" s="275" t="s">
        <v>409</v>
      </c>
      <c r="DW10" s="275" t="s">
        <v>409</v>
      </c>
      <c r="DX10" s="275" t="s">
        <v>409</v>
      </c>
      <c r="DY10" s="275" t="s">
        <v>409</v>
      </c>
      <c r="DZ10" s="275" t="s">
        <v>409</v>
      </c>
      <c r="EA10" s="275" t="s">
        <v>409</v>
      </c>
      <c r="EB10" s="275" t="s">
        <v>409</v>
      </c>
      <c r="EC10" s="275" t="s">
        <v>409</v>
      </c>
      <c r="EE10" s="295"/>
      <c r="EF10" s="295"/>
      <c r="EG10" s="295"/>
      <c r="EH10" s="295"/>
      <c r="EI10" s="295"/>
      <c r="EJ10" s="295"/>
      <c r="EK10" s="295"/>
      <c r="EM10" s="275" t="s">
        <v>130</v>
      </c>
      <c r="EN10" s="275" t="s">
        <v>131</v>
      </c>
      <c r="EO10" s="275" t="s">
        <v>132</v>
      </c>
      <c r="EP10" s="275" t="s">
        <v>431</v>
      </c>
      <c r="EQ10" s="275" t="s">
        <v>432</v>
      </c>
      <c r="ER10" s="275" t="s">
        <v>433</v>
      </c>
      <c r="ET10" s="137" t="s">
        <v>2</v>
      </c>
      <c r="EU10" s="275" t="s">
        <v>420</v>
      </c>
      <c r="EV10" s="275" t="s">
        <v>421</v>
      </c>
      <c r="EW10" s="275" t="s">
        <v>422</v>
      </c>
      <c r="EX10" s="275" t="s">
        <v>423</v>
      </c>
      <c r="EY10" s="275" t="s">
        <v>424</v>
      </c>
      <c r="EZ10" s="275" t="s">
        <v>425</v>
      </c>
      <c r="FA10" s="275" t="s">
        <v>426</v>
      </c>
      <c r="FB10" s="275" t="s">
        <v>427</v>
      </c>
      <c r="FC10" s="275" t="s">
        <v>428</v>
      </c>
      <c r="FD10" s="275" t="s">
        <v>429</v>
      </c>
      <c r="FE10" s="275" t="s">
        <v>409</v>
      </c>
      <c r="FG10" s="275" t="s">
        <v>430</v>
      </c>
      <c r="FH10" s="275" t="s">
        <v>0</v>
      </c>
      <c r="FI10" s="275" t="s">
        <v>133</v>
      </c>
      <c r="FK10" s="275" t="s">
        <v>130</v>
      </c>
      <c r="FL10" s="275" t="s">
        <v>131</v>
      </c>
      <c r="FM10" s="275" t="s">
        <v>132</v>
      </c>
      <c r="FN10" s="275" t="s">
        <v>431</v>
      </c>
      <c r="FO10" s="275" t="s">
        <v>432</v>
      </c>
      <c r="FQ10" s="137" t="s">
        <v>4</v>
      </c>
      <c r="FR10" s="275" t="s">
        <v>420</v>
      </c>
      <c r="FS10" s="275" t="s">
        <v>421</v>
      </c>
      <c r="FT10" s="275" t="s">
        <v>422</v>
      </c>
      <c r="FU10" s="275" t="s">
        <v>423</v>
      </c>
      <c r="FV10" s="275" t="s">
        <v>424</v>
      </c>
      <c r="FW10" s="275" t="s">
        <v>425</v>
      </c>
      <c r="FX10" s="275" t="s">
        <v>426</v>
      </c>
      <c r="FY10" s="275" t="s">
        <v>427</v>
      </c>
      <c r="FZ10" s="275" t="s">
        <v>428</v>
      </c>
      <c r="GA10" s="275" t="s">
        <v>429</v>
      </c>
      <c r="GB10" s="275" t="s">
        <v>409</v>
      </c>
      <c r="GD10" s="275" t="s">
        <v>430</v>
      </c>
      <c r="GE10" s="275" t="s">
        <v>0</v>
      </c>
      <c r="GF10" s="275" t="s">
        <v>133</v>
      </c>
      <c r="GH10" s="315" t="s">
        <v>469</v>
      </c>
      <c r="GI10" s="275"/>
      <c r="GJ10" s="275" t="s">
        <v>421</v>
      </c>
      <c r="GK10" s="275" t="s">
        <v>422</v>
      </c>
      <c r="GL10" s="275" t="s">
        <v>423</v>
      </c>
      <c r="GM10" s="275" t="s">
        <v>424</v>
      </c>
      <c r="GN10" s="275" t="s">
        <v>425</v>
      </c>
      <c r="GO10" s="275" t="s">
        <v>426</v>
      </c>
      <c r="GP10" s="275" t="s">
        <v>427</v>
      </c>
      <c r="GQ10" s="275" t="s">
        <v>428</v>
      </c>
      <c r="GR10" s="275" t="s">
        <v>429</v>
      </c>
      <c r="GS10" s="275" t="s">
        <v>409</v>
      </c>
      <c r="GT10" s="293"/>
      <c r="GU10" s="275" t="s">
        <v>470</v>
      </c>
      <c r="GV10" s="275"/>
      <c r="GX10" s="230"/>
      <c r="GZ10" s="137" t="s">
        <v>19</v>
      </c>
      <c r="HA10" s="275" t="s">
        <v>421</v>
      </c>
      <c r="HB10" s="275" t="s">
        <v>421</v>
      </c>
      <c r="HC10" s="275" t="s">
        <v>422</v>
      </c>
      <c r="HD10" s="275" t="s">
        <v>423</v>
      </c>
      <c r="HE10" s="275" t="s">
        <v>424</v>
      </c>
      <c r="HF10" s="275" t="s">
        <v>425</v>
      </c>
      <c r="HG10" s="275" t="s">
        <v>426</v>
      </c>
      <c r="HH10" s="275" t="s">
        <v>427</v>
      </c>
      <c r="HI10" s="275" t="s">
        <v>428</v>
      </c>
      <c r="HJ10" s="275" t="s">
        <v>429</v>
      </c>
      <c r="HK10" s="275" t="s">
        <v>409</v>
      </c>
      <c r="HL10" s="293"/>
      <c r="HM10" s="275" t="s">
        <v>430</v>
      </c>
      <c r="HN10" s="275" t="s">
        <v>0</v>
      </c>
      <c r="HO10" s="275" t="s">
        <v>133</v>
      </c>
      <c r="HQ10" s="230">
        <v>0</v>
      </c>
      <c r="HS10" s="289" t="s">
        <v>131</v>
      </c>
      <c r="HT10" s="289" t="s">
        <v>132</v>
      </c>
      <c r="HU10" s="289" t="s">
        <v>431</v>
      </c>
      <c r="HV10" s="289" t="s">
        <v>432</v>
      </c>
      <c r="HW10" s="289" t="s">
        <v>433</v>
      </c>
      <c r="HY10" s="147"/>
      <c r="HZ10" s="289" t="s">
        <v>33</v>
      </c>
      <c r="IA10" s="289" t="s">
        <v>34</v>
      </c>
      <c r="IB10" s="289" t="s">
        <v>35</v>
      </c>
      <c r="IC10" s="289" t="s">
        <v>36</v>
      </c>
      <c r="ID10" s="289" t="s">
        <v>37</v>
      </c>
      <c r="IF10" s="290" t="s">
        <v>33</v>
      </c>
      <c r="IG10" s="290" t="s">
        <v>34</v>
      </c>
      <c r="IH10" s="290" t="s">
        <v>35</v>
      </c>
      <c r="II10" s="290" t="s">
        <v>36</v>
      </c>
      <c r="IJ10" s="290" t="s">
        <v>37</v>
      </c>
      <c r="IL10" s="289">
        <v>0</v>
      </c>
      <c r="IN10" s="289" t="s">
        <v>130</v>
      </c>
      <c r="IO10" s="289" t="s">
        <v>131</v>
      </c>
      <c r="IP10" s="289" t="s">
        <v>132</v>
      </c>
      <c r="IQ10" s="289" t="s">
        <v>431</v>
      </c>
      <c r="IR10" s="289" t="s">
        <v>432</v>
      </c>
      <c r="IT10" s="289" t="s">
        <v>33</v>
      </c>
      <c r="IU10" s="289" t="s">
        <v>34</v>
      </c>
      <c r="IV10" s="289" t="s">
        <v>35</v>
      </c>
      <c r="IX10" s="316" t="s">
        <v>578</v>
      </c>
      <c r="IY10" s="317"/>
      <c r="IZ10" s="317"/>
      <c r="JA10" s="317"/>
      <c r="JB10" s="317"/>
      <c r="JC10" s="317"/>
      <c r="JD10" s="317"/>
      <c r="JE10" s="318"/>
      <c r="JG10" s="123"/>
      <c r="JI10" s="126"/>
      <c r="JJ10" s="182"/>
      <c r="JK10" s="294"/>
      <c r="JL10" s="295"/>
      <c r="JM10" s="230">
        <v>0</v>
      </c>
      <c r="JO10" s="295"/>
      <c r="JP10" s="295"/>
      <c r="JQ10" s="295"/>
      <c r="JR10" s="295"/>
      <c r="JS10" s="295"/>
      <c r="JT10" s="295"/>
      <c r="JU10" s="295"/>
      <c r="JV10" s="295"/>
      <c r="JW10" s="295"/>
      <c r="JX10" s="295"/>
      <c r="JY10" s="295"/>
      <c r="JZ10" s="295"/>
      <c r="KB10" s="295"/>
      <c r="KC10" s="295"/>
      <c r="KD10" s="295"/>
      <c r="KE10" s="295"/>
      <c r="KF10" s="295"/>
      <c r="KG10" s="295"/>
      <c r="KH10" s="295"/>
      <c r="KI10" s="295"/>
      <c r="KJ10" s="295"/>
      <c r="KK10" s="295"/>
      <c r="KL10" s="295"/>
      <c r="KN10" s="319" t="s">
        <v>9</v>
      </c>
      <c r="KO10" s="320">
        <v>0.06</v>
      </c>
      <c r="KP10" s="319"/>
      <c r="KQ10" s="319" t="s">
        <v>479</v>
      </c>
      <c r="KR10" s="321">
        <v>1.5902959999999999E-3</v>
      </c>
      <c r="KS10" s="295"/>
      <c r="KT10" s="295"/>
      <c r="KU10" s="295"/>
      <c r="KV10" s="295"/>
      <c r="KW10" s="295"/>
      <c r="KX10" s="295"/>
      <c r="KZ10" s="126" t="s">
        <v>486</v>
      </c>
      <c r="LA10" s="322">
        <v>5.8409704E-2</v>
      </c>
      <c r="LB10" s="295"/>
      <c r="LD10" s="295"/>
      <c r="LE10" s="295"/>
      <c r="LF10" s="295"/>
      <c r="LG10" s="295"/>
      <c r="LH10" s="295"/>
      <c r="LI10" s="295"/>
      <c r="LJ10" s="295"/>
      <c r="LK10" s="295"/>
      <c r="LL10" s="295"/>
      <c r="LM10" s="295"/>
      <c r="LN10" s="295"/>
      <c r="LO10" s="323" t="s">
        <v>78</v>
      </c>
      <c r="LQ10" s="295"/>
      <c r="LR10" s="295"/>
      <c r="LS10" s="295"/>
      <c r="LT10" s="295"/>
      <c r="LU10" s="295"/>
      <c r="LV10" s="295"/>
      <c r="LW10" s="295"/>
      <c r="LX10" s="295"/>
      <c r="LY10" s="295"/>
      <c r="LZ10" s="295"/>
      <c r="MA10" s="295"/>
      <c r="MC10" s="126" t="s">
        <v>487</v>
      </c>
      <c r="MD10" s="324">
        <v>3</v>
      </c>
      <c r="ME10" s="295"/>
      <c r="MF10" s="295"/>
      <c r="MG10" s="295"/>
      <c r="MH10" s="295"/>
      <c r="MI10" s="295"/>
      <c r="MJ10" s="295"/>
      <c r="MK10" s="295"/>
      <c r="ML10" s="295"/>
      <c r="MM10" s="295"/>
      <c r="MO10" s="295"/>
      <c r="MP10" s="295"/>
      <c r="MQ10" s="295"/>
      <c r="MR10" s="295"/>
      <c r="MS10" s="295"/>
      <c r="MT10" s="295"/>
      <c r="MU10" s="295"/>
      <c r="MV10" s="295"/>
      <c r="MW10" s="295"/>
      <c r="MX10" s="295"/>
      <c r="MY10" s="295"/>
      <c r="MZ10" s="295"/>
      <c r="NB10" s="295"/>
      <c r="NC10" s="295"/>
      <c r="ND10" s="295"/>
      <c r="NE10" s="295"/>
      <c r="NF10" s="295"/>
      <c r="NG10" s="295"/>
      <c r="NH10" s="295"/>
      <c r="NI10" s="295"/>
      <c r="NJ10" s="295"/>
      <c r="NK10" s="295"/>
      <c r="NL10" s="295"/>
      <c r="NM10" s="295"/>
      <c r="NO10" s="325" t="s">
        <v>497</v>
      </c>
      <c r="NP10" s="295"/>
      <c r="NQ10" s="326">
        <v>1.2</v>
      </c>
      <c r="NR10" s="126"/>
      <c r="NS10" s="126"/>
      <c r="NT10" s="295"/>
      <c r="NU10" s="125" t="s">
        <v>498</v>
      </c>
      <c r="NV10" s="126"/>
      <c r="NW10" s="327">
        <v>4.8000000000000001E-2</v>
      </c>
      <c r="NY10" s="327">
        <v>2E-3</v>
      </c>
      <c r="OE10" s="327">
        <v>0.3</v>
      </c>
      <c r="OH10" s="245"/>
      <c r="OI10" s="245"/>
      <c r="OK10" s="230">
        <v>0</v>
      </c>
      <c r="OM10" s="107">
        <v>0</v>
      </c>
      <c r="ON10" s="107">
        <v>0</v>
      </c>
      <c r="OO10" s="107">
        <v>0</v>
      </c>
      <c r="OP10" s="107">
        <v>0</v>
      </c>
      <c r="OQ10" s="107">
        <v>0</v>
      </c>
      <c r="OR10" s="107">
        <v>0</v>
      </c>
      <c r="OS10" s="107">
        <v>0</v>
      </c>
      <c r="OT10" s="107">
        <v>0</v>
      </c>
      <c r="OU10" s="107">
        <v>0</v>
      </c>
      <c r="OV10" s="107">
        <v>0</v>
      </c>
      <c r="OW10" s="107">
        <v>0</v>
      </c>
      <c r="OX10" s="107">
        <v>0</v>
      </c>
      <c r="OY10" s="107">
        <v>0</v>
      </c>
      <c r="OZ10" s="107">
        <v>0</v>
      </c>
      <c r="PA10" s="107">
        <v>0</v>
      </c>
      <c r="PB10" s="107">
        <v>0</v>
      </c>
      <c r="PC10" s="107">
        <v>0</v>
      </c>
      <c r="PD10" s="107">
        <v>0</v>
      </c>
      <c r="PE10" s="107">
        <v>0</v>
      </c>
      <c r="PF10" s="107">
        <v>0</v>
      </c>
      <c r="PG10" s="107">
        <v>0</v>
      </c>
      <c r="PH10" s="107">
        <v>0</v>
      </c>
      <c r="PI10" s="107">
        <v>0</v>
      </c>
      <c r="PJ10" s="107">
        <v>0</v>
      </c>
      <c r="PK10" s="107">
        <v>0</v>
      </c>
      <c r="PL10" s="107">
        <v>0</v>
      </c>
      <c r="PM10" s="107">
        <v>0</v>
      </c>
      <c r="PN10" s="107">
        <v>0</v>
      </c>
      <c r="PO10" s="107">
        <v>0</v>
      </c>
      <c r="PP10" s="107">
        <v>0</v>
      </c>
      <c r="PQ10" s="107">
        <v>0</v>
      </c>
      <c r="PR10" s="107">
        <v>0</v>
      </c>
      <c r="PS10" s="107">
        <v>0</v>
      </c>
      <c r="PT10" s="107">
        <v>0</v>
      </c>
      <c r="PU10" s="107">
        <v>0</v>
      </c>
      <c r="PV10" s="107">
        <v>0</v>
      </c>
      <c r="PW10" s="107">
        <v>0</v>
      </c>
      <c r="PX10" s="107">
        <v>0</v>
      </c>
      <c r="PY10" s="107">
        <v>0</v>
      </c>
      <c r="PZ10" s="107">
        <v>0</v>
      </c>
      <c r="QA10" s="107">
        <v>0</v>
      </c>
      <c r="QB10" s="107">
        <v>0</v>
      </c>
      <c r="QC10" s="107">
        <v>0</v>
      </c>
      <c r="QD10" s="107">
        <v>0</v>
      </c>
      <c r="QE10" s="107">
        <v>0</v>
      </c>
      <c r="QF10" s="107">
        <v>0</v>
      </c>
      <c r="QG10" s="107">
        <v>0</v>
      </c>
      <c r="QH10" s="107">
        <v>0</v>
      </c>
      <c r="QI10" s="107">
        <v>0</v>
      </c>
      <c r="QJ10" s="107">
        <v>0</v>
      </c>
      <c r="QK10" s="107">
        <v>0</v>
      </c>
      <c r="QL10" s="107">
        <v>0</v>
      </c>
      <c r="QM10" s="107">
        <v>0</v>
      </c>
      <c r="QN10" s="107">
        <v>0</v>
      </c>
      <c r="QO10" s="107">
        <v>0</v>
      </c>
      <c r="QP10" s="107">
        <v>0</v>
      </c>
      <c r="QQ10" s="107">
        <v>0</v>
      </c>
      <c r="QR10" s="107">
        <v>0</v>
      </c>
      <c r="QS10" s="107">
        <v>0</v>
      </c>
      <c r="QT10" s="107">
        <v>0</v>
      </c>
      <c r="QU10" s="107">
        <v>0</v>
      </c>
      <c r="QV10" s="107">
        <v>0</v>
      </c>
      <c r="QW10" s="107">
        <v>0</v>
      </c>
      <c r="QX10" s="107">
        <v>0</v>
      </c>
      <c r="QY10" s="107">
        <v>0</v>
      </c>
      <c r="QZ10" s="107">
        <v>0</v>
      </c>
      <c r="RA10" s="107">
        <v>0</v>
      </c>
      <c r="RB10" s="107">
        <v>0</v>
      </c>
      <c r="RC10" s="107">
        <v>0</v>
      </c>
      <c r="RD10" s="107">
        <v>0</v>
      </c>
      <c r="RE10" s="107">
        <v>0</v>
      </c>
      <c r="RF10" s="107">
        <v>0</v>
      </c>
      <c r="RG10" s="107">
        <v>0</v>
      </c>
      <c r="RH10" s="107">
        <v>0</v>
      </c>
      <c r="RI10" s="107">
        <v>0</v>
      </c>
      <c r="RJ10" s="107">
        <v>0</v>
      </c>
      <c r="RK10" s="107">
        <v>0</v>
      </c>
      <c r="RL10" s="107">
        <v>0</v>
      </c>
      <c r="RM10" s="107">
        <v>0</v>
      </c>
      <c r="RN10" s="107">
        <v>0</v>
      </c>
      <c r="RO10" s="107">
        <v>0</v>
      </c>
      <c r="RP10" s="107">
        <v>0</v>
      </c>
      <c r="RQ10" s="107">
        <v>0</v>
      </c>
      <c r="RR10" s="107">
        <v>0</v>
      </c>
      <c r="RS10" s="107">
        <v>0</v>
      </c>
      <c r="RT10" s="107">
        <v>0</v>
      </c>
      <c r="RU10" s="107">
        <v>0</v>
      </c>
      <c r="RV10" s="107">
        <v>0</v>
      </c>
      <c r="RW10" s="107">
        <v>0</v>
      </c>
      <c r="RX10" s="107">
        <v>0</v>
      </c>
      <c r="RY10" s="107">
        <v>0</v>
      </c>
      <c r="RZ10" s="107">
        <v>0</v>
      </c>
      <c r="SA10" s="107">
        <v>0</v>
      </c>
      <c r="SB10" s="107">
        <v>0</v>
      </c>
      <c r="SC10" s="107">
        <v>0</v>
      </c>
      <c r="SD10" s="107">
        <v>0</v>
      </c>
      <c r="SE10" s="107">
        <v>0</v>
      </c>
      <c r="SF10" s="107">
        <v>0</v>
      </c>
      <c r="SG10" s="107">
        <v>0</v>
      </c>
      <c r="SH10" s="328"/>
      <c r="SI10" s="319" t="s">
        <v>0</v>
      </c>
      <c r="SJ10" s="319" t="s">
        <v>519</v>
      </c>
      <c r="SK10" s="319" t="s">
        <v>520</v>
      </c>
      <c r="SL10" s="319" t="s">
        <v>521</v>
      </c>
      <c r="SM10" s="319" t="s">
        <v>522</v>
      </c>
      <c r="SN10" s="319" t="s">
        <v>523</v>
      </c>
      <c r="SO10" s="319" t="s">
        <v>524</v>
      </c>
      <c r="SP10" s="319" t="s">
        <v>525</v>
      </c>
      <c r="SQ10" s="319" t="s">
        <v>526</v>
      </c>
      <c r="SR10" s="319" t="s">
        <v>527</v>
      </c>
      <c r="SS10" s="319" t="s">
        <v>528</v>
      </c>
      <c r="ST10" s="319" t="s">
        <v>146</v>
      </c>
      <c r="SV10" s="319" t="s">
        <v>0</v>
      </c>
      <c r="SW10" s="319" t="s">
        <v>519</v>
      </c>
      <c r="SX10" s="319" t="s">
        <v>520</v>
      </c>
      <c r="SY10" s="319" t="s">
        <v>521</v>
      </c>
      <c r="SZ10" s="319" t="s">
        <v>522</v>
      </c>
      <c r="TA10" s="319" t="s">
        <v>523</v>
      </c>
      <c r="TB10" s="319" t="s">
        <v>524</v>
      </c>
      <c r="TC10" s="319" t="s">
        <v>525</v>
      </c>
      <c r="TD10" s="319" t="s">
        <v>526</v>
      </c>
      <c r="TE10" s="319" t="s">
        <v>527</v>
      </c>
      <c r="TF10" s="319" t="s">
        <v>528</v>
      </c>
      <c r="TG10" s="319" t="s">
        <v>146</v>
      </c>
      <c r="TI10" s="319" t="s">
        <v>0</v>
      </c>
      <c r="TJ10" s="319" t="s">
        <v>519</v>
      </c>
      <c r="TK10" s="319" t="s">
        <v>520</v>
      </c>
      <c r="TL10" s="319" t="s">
        <v>521</v>
      </c>
      <c r="TM10" s="319" t="s">
        <v>522</v>
      </c>
      <c r="TN10" s="319" t="s">
        <v>523</v>
      </c>
      <c r="TO10" s="319" t="s">
        <v>524</v>
      </c>
      <c r="TP10" s="319" t="s">
        <v>525</v>
      </c>
      <c r="TQ10" s="319" t="s">
        <v>526</v>
      </c>
      <c r="TR10" s="319" t="s">
        <v>527</v>
      </c>
      <c r="TS10" s="319" t="s">
        <v>528</v>
      </c>
      <c r="TT10" s="319" t="s">
        <v>146</v>
      </c>
      <c r="TV10" s="319" t="s">
        <v>0</v>
      </c>
      <c r="TW10" s="319" t="s">
        <v>519</v>
      </c>
      <c r="TX10" s="319" t="s">
        <v>520</v>
      </c>
      <c r="TY10" s="319" t="s">
        <v>521</v>
      </c>
      <c r="TZ10" s="319" t="s">
        <v>522</v>
      </c>
      <c r="UA10" s="319" t="s">
        <v>523</v>
      </c>
      <c r="UB10" s="319" t="s">
        <v>524</v>
      </c>
      <c r="UC10" s="319" t="s">
        <v>525</v>
      </c>
      <c r="UD10" s="319" t="s">
        <v>526</v>
      </c>
      <c r="UE10" s="319" t="s">
        <v>527</v>
      </c>
      <c r="UF10" s="319" t="s">
        <v>528</v>
      </c>
      <c r="UG10" s="319" t="s">
        <v>146</v>
      </c>
      <c r="UI10" s="319" t="s">
        <v>0</v>
      </c>
      <c r="UJ10" s="319" t="s">
        <v>519</v>
      </c>
      <c r="UK10" s="319" t="s">
        <v>520</v>
      </c>
      <c r="UL10" s="319" t="s">
        <v>521</v>
      </c>
      <c r="UM10" s="319" t="s">
        <v>522</v>
      </c>
      <c r="UN10" s="319" t="s">
        <v>523</v>
      </c>
      <c r="UO10" s="319" t="s">
        <v>524</v>
      </c>
      <c r="UP10" s="319" t="s">
        <v>525</v>
      </c>
      <c r="UQ10" s="319" t="s">
        <v>526</v>
      </c>
      <c r="UR10" s="319" t="s">
        <v>527</v>
      </c>
      <c r="US10" s="319" t="s">
        <v>528</v>
      </c>
      <c r="UT10" s="319" t="s">
        <v>146</v>
      </c>
      <c r="UV10" s="319" t="s">
        <v>0</v>
      </c>
      <c r="UW10" s="319" t="s">
        <v>519</v>
      </c>
      <c r="UX10" s="319" t="s">
        <v>520</v>
      </c>
      <c r="UY10" s="319" t="s">
        <v>521</v>
      </c>
      <c r="UZ10" s="319" t="s">
        <v>522</v>
      </c>
      <c r="VA10" s="319" t="s">
        <v>523</v>
      </c>
      <c r="VB10" s="319" t="s">
        <v>524</v>
      </c>
      <c r="VC10" s="319" t="s">
        <v>525</v>
      </c>
      <c r="VD10" s="319" t="s">
        <v>526</v>
      </c>
      <c r="VE10" s="319" t="s">
        <v>527</v>
      </c>
      <c r="VF10" s="319" t="s">
        <v>528</v>
      </c>
      <c r="VG10" s="319" t="s">
        <v>146</v>
      </c>
      <c r="VI10" s="313" t="s">
        <v>0</v>
      </c>
      <c r="VJ10" s="313" t="s">
        <v>519</v>
      </c>
      <c r="VK10" s="313" t="s">
        <v>520</v>
      </c>
      <c r="VL10" s="313" t="s">
        <v>521</v>
      </c>
      <c r="VM10" s="313" t="s">
        <v>522</v>
      </c>
      <c r="VN10" s="313" t="s">
        <v>523</v>
      </c>
      <c r="VO10" s="313" t="s">
        <v>524</v>
      </c>
      <c r="VP10" s="313" t="s">
        <v>525</v>
      </c>
      <c r="VQ10" s="313" t="s">
        <v>526</v>
      </c>
      <c r="VR10" s="313" t="s">
        <v>527</v>
      </c>
      <c r="VS10" s="313" t="s">
        <v>528</v>
      </c>
      <c r="VT10" s="313" t="s">
        <v>146</v>
      </c>
      <c r="VV10" s="319" t="s">
        <v>0</v>
      </c>
      <c r="VW10" s="319" t="s">
        <v>519</v>
      </c>
      <c r="VX10" s="319" t="s">
        <v>520</v>
      </c>
      <c r="VY10" s="319" t="s">
        <v>521</v>
      </c>
      <c r="VZ10" s="319" t="s">
        <v>522</v>
      </c>
      <c r="WA10" s="319" t="s">
        <v>523</v>
      </c>
      <c r="WB10" s="319" t="s">
        <v>524</v>
      </c>
      <c r="WC10" s="319" t="s">
        <v>525</v>
      </c>
      <c r="WD10" s="319" t="s">
        <v>526</v>
      </c>
      <c r="WE10" s="319" t="s">
        <v>527</v>
      </c>
      <c r="WF10" s="319" t="s">
        <v>528</v>
      </c>
      <c r="WG10" s="319" t="s">
        <v>146</v>
      </c>
      <c r="WI10" s="313" t="s">
        <v>519</v>
      </c>
      <c r="WJ10" s="313" t="s">
        <v>520</v>
      </c>
      <c r="WK10" s="313" t="s">
        <v>521</v>
      </c>
      <c r="WL10" s="313" t="s">
        <v>522</v>
      </c>
      <c r="WM10" s="313" t="s">
        <v>523</v>
      </c>
      <c r="WN10" s="313" t="s">
        <v>524</v>
      </c>
      <c r="WO10" s="313" t="s">
        <v>525</v>
      </c>
      <c r="WP10" s="313" t="s">
        <v>526</v>
      </c>
      <c r="WQ10" s="313" t="s">
        <v>527</v>
      </c>
      <c r="WR10" s="313" t="s">
        <v>528</v>
      </c>
      <c r="WS10" s="147" t="s">
        <v>485</v>
      </c>
      <c r="WT10" s="313" t="s">
        <v>146</v>
      </c>
      <c r="WU10" s="161"/>
      <c r="WV10" s="313" t="s">
        <v>519</v>
      </c>
      <c r="WW10" s="313" t="s">
        <v>520</v>
      </c>
      <c r="WX10" s="313" t="s">
        <v>521</v>
      </c>
      <c r="WY10" s="313" t="s">
        <v>522</v>
      </c>
      <c r="WZ10" s="313" t="s">
        <v>523</v>
      </c>
      <c r="XA10" s="313" t="s">
        <v>524</v>
      </c>
      <c r="XB10" s="313" t="s">
        <v>525</v>
      </c>
      <c r="XC10" s="313" t="s">
        <v>526</v>
      </c>
      <c r="XD10" s="313" t="s">
        <v>527</v>
      </c>
      <c r="XE10" s="313" t="s">
        <v>528</v>
      </c>
      <c r="XF10" s="313" t="s">
        <v>146</v>
      </c>
      <c r="XH10" s="319" t="s">
        <v>519</v>
      </c>
      <c r="XI10" s="319" t="s">
        <v>520</v>
      </c>
      <c r="XJ10" s="319" t="s">
        <v>521</v>
      </c>
      <c r="XK10" s="319" t="s">
        <v>522</v>
      </c>
      <c r="XL10" s="319" t="s">
        <v>523</v>
      </c>
      <c r="XM10" s="319" t="s">
        <v>524</v>
      </c>
      <c r="XN10" s="319" t="s">
        <v>525</v>
      </c>
      <c r="XO10" s="319" t="s">
        <v>526</v>
      </c>
      <c r="XP10" s="319" t="s">
        <v>527</v>
      </c>
      <c r="XQ10" s="319" t="s">
        <v>528</v>
      </c>
      <c r="XR10" s="319" t="s">
        <v>146</v>
      </c>
      <c r="XT10" s="313"/>
      <c r="XU10" s="313" t="s">
        <v>519</v>
      </c>
      <c r="XV10" s="313" t="s">
        <v>520</v>
      </c>
      <c r="XW10" s="313" t="s">
        <v>521</v>
      </c>
      <c r="XX10" s="313" t="s">
        <v>522</v>
      </c>
      <c r="XY10" s="313" t="s">
        <v>523</v>
      </c>
      <c r="XZ10" s="313" t="s">
        <v>524</v>
      </c>
      <c r="YA10" s="313" t="s">
        <v>525</v>
      </c>
      <c r="YB10" s="313" t="s">
        <v>526</v>
      </c>
      <c r="YC10" s="313" t="s">
        <v>527</v>
      </c>
      <c r="YD10" s="313" t="s">
        <v>528</v>
      </c>
      <c r="YF10" s="313" t="s">
        <v>485</v>
      </c>
      <c r="YG10" s="313" t="s">
        <v>519</v>
      </c>
      <c r="YH10" s="313" t="s">
        <v>520</v>
      </c>
      <c r="YI10" s="313" t="s">
        <v>521</v>
      </c>
      <c r="YJ10" s="313" t="s">
        <v>522</v>
      </c>
      <c r="YK10" s="313" t="s">
        <v>523</v>
      </c>
      <c r="YL10" s="313" t="s">
        <v>524</v>
      </c>
      <c r="YM10" s="313" t="s">
        <v>525</v>
      </c>
      <c r="YN10" s="313" t="s">
        <v>526</v>
      </c>
      <c r="YO10" s="313" t="s">
        <v>527</v>
      </c>
      <c r="YP10" s="313" t="s">
        <v>528</v>
      </c>
      <c r="YR10" s="329"/>
      <c r="YS10" s="329"/>
      <c r="YT10" s="329"/>
      <c r="YV10" s="128" t="s">
        <v>400</v>
      </c>
      <c r="YW10" s="302">
        <v>679.77701055669797</v>
      </c>
      <c r="YX10" s="302">
        <v>1.6649999999999998</v>
      </c>
      <c r="YY10" s="303"/>
      <c r="ZC10" s="303"/>
      <c r="ZE10" s="125" t="s">
        <v>613</v>
      </c>
      <c r="ZF10" s="289"/>
      <c r="ZG10" s="289"/>
      <c r="ZH10" s="289"/>
      <c r="ZI10" s="289"/>
      <c r="ZK10" s="330" t="s">
        <v>421</v>
      </c>
      <c r="ZL10" s="330" t="s">
        <v>422</v>
      </c>
      <c r="ZM10" s="330" t="s">
        <v>423</v>
      </c>
      <c r="ZN10" s="330" t="s">
        <v>424</v>
      </c>
      <c r="ZO10" s="330" t="s">
        <v>425</v>
      </c>
      <c r="ZP10" s="330" t="s">
        <v>426</v>
      </c>
      <c r="ZQ10" s="330" t="s">
        <v>427</v>
      </c>
      <c r="ZR10" s="330" t="s">
        <v>428</v>
      </c>
      <c r="ZS10" s="330" t="s">
        <v>429</v>
      </c>
      <c r="ZT10" s="330" t="s">
        <v>409</v>
      </c>
      <c r="ZU10" s="331" t="s">
        <v>35</v>
      </c>
      <c r="ZV10" s="330" t="s">
        <v>546</v>
      </c>
      <c r="ZW10" s="332" t="s">
        <v>42</v>
      </c>
      <c r="ZX10" s="150" t="s">
        <v>137</v>
      </c>
      <c r="ZY10" s="333" t="s">
        <v>137</v>
      </c>
      <c r="ZZ10" s="333" t="s">
        <v>137</v>
      </c>
      <c r="AAA10" s="333" t="s">
        <v>137</v>
      </c>
      <c r="AAB10" s="333" t="s">
        <v>137</v>
      </c>
      <c r="AAC10" s="333" t="s">
        <v>137</v>
      </c>
      <c r="AAD10" s="333" t="s">
        <v>137</v>
      </c>
      <c r="AAE10" s="333" t="s">
        <v>137</v>
      </c>
      <c r="AAF10" s="333" t="s">
        <v>137</v>
      </c>
      <c r="AAG10" s="333" t="s">
        <v>137</v>
      </c>
      <c r="AAI10" s="334" t="s">
        <v>599</v>
      </c>
      <c r="AAJ10" s="335"/>
      <c r="AAK10" s="335"/>
      <c r="AAL10" s="335"/>
      <c r="AAM10" s="335"/>
      <c r="AAN10" s="335"/>
      <c r="AAO10" s="335"/>
      <c r="AAP10" s="335"/>
      <c r="AAQ10" s="335"/>
      <c r="AAS10" s="315" t="s">
        <v>469</v>
      </c>
      <c r="AAT10" s="275" t="s">
        <v>420</v>
      </c>
      <c r="AAU10" s="275" t="s">
        <v>421</v>
      </c>
      <c r="AAV10" s="275" t="s">
        <v>422</v>
      </c>
      <c r="AAW10" s="275" t="s">
        <v>423</v>
      </c>
      <c r="AAX10" s="275" t="s">
        <v>424</v>
      </c>
      <c r="AAY10" s="275" t="s">
        <v>425</v>
      </c>
      <c r="AAZ10" s="275" t="s">
        <v>426</v>
      </c>
      <c r="ABA10" s="275" t="s">
        <v>427</v>
      </c>
      <c r="ABB10" s="275" t="s">
        <v>428</v>
      </c>
      <c r="ABC10" s="275" t="s">
        <v>429</v>
      </c>
      <c r="ABD10" s="275" t="s">
        <v>409</v>
      </c>
      <c r="ABF10" s="275" t="s">
        <v>470</v>
      </c>
      <c r="ABG10" s="275" t="s">
        <v>0</v>
      </c>
      <c r="ABH10" s="275" t="s">
        <v>42</v>
      </c>
      <c r="ABJ10" s="260" t="s">
        <v>553</v>
      </c>
      <c r="ABK10" s="275" t="s">
        <v>421</v>
      </c>
      <c r="ABL10" s="275" t="s">
        <v>422</v>
      </c>
      <c r="ABM10" s="275" t="s">
        <v>423</v>
      </c>
      <c r="ABN10" s="275" t="s">
        <v>424</v>
      </c>
      <c r="ABO10" s="275" t="s">
        <v>425</v>
      </c>
      <c r="ABP10" s="275" t="s">
        <v>426</v>
      </c>
      <c r="ABQ10" s="275" t="s">
        <v>427</v>
      </c>
      <c r="ABR10" s="275" t="s">
        <v>428</v>
      </c>
      <c r="ABS10" s="275" t="s">
        <v>429</v>
      </c>
      <c r="ABT10" s="275" t="s">
        <v>409</v>
      </c>
      <c r="ABU10" s="293"/>
      <c r="ABV10" s="330" t="s">
        <v>554</v>
      </c>
      <c r="ABW10" s="330" t="s">
        <v>555</v>
      </c>
      <c r="ABX10" s="330" t="s">
        <v>556</v>
      </c>
      <c r="ABY10" s="330" t="s">
        <v>137</v>
      </c>
      <c r="ABZ10" s="330" t="s">
        <v>42</v>
      </c>
      <c r="ACA10" s="293"/>
      <c r="ACB10" s="334" t="s">
        <v>557</v>
      </c>
      <c r="ACC10" s="335"/>
      <c r="ACD10" s="335"/>
      <c r="ACE10" s="335"/>
      <c r="ACF10" s="335"/>
      <c r="ACG10" s="335"/>
      <c r="ACH10" s="335"/>
      <c r="ACI10" s="335"/>
      <c r="ACJ10" s="335"/>
      <c r="ACL10" s="313" t="s">
        <v>519</v>
      </c>
      <c r="ACM10" s="313" t="s">
        <v>520</v>
      </c>
      <c r="ACN10" s="313" t="s">
        <v>521</v>
      </c>
      <c r="ACO10" s="313" t="s">
        <v>522</v>
      </c>
      <c r="ACP10" s="313" t="s">
        <v>523</v>
      </c>
      <c r="ACQ10" s="313" t="s">
        <v>524</v>
      </c>
      <c r="ACR10" s="313" t="s">
        <v>525</v>
      </c>
      <c r="ACS10" s="313" t="s">
        <v>526</v>
      </c>
      <c r="ACT10" s="313" t="s">
        <v>527</v>
      </c>
      <c r="ACU10" s="313" t="s">
        <v>528</v>
      </c>
      <c r="ACV10" s="147" t="s">
        <v>485</v>
      </c>
      <c r="ACW10" s="147" t="s">
        <v>485</v>
      </c>
      <c r="ACY10" s="260"/>
      <c r="ACZ10" s="275" t="s">
        <v>420</v>
      </c>
      <c r="ADA10" s="275" t="s">
        <v>421</v>
      </c>
      <c r="ADB10" s="275" t="s">
        <v>422</v>
      </c>
      <c r="ADC10" s="275" t="s">
        <v>423</v>
      </c>
      <c r="ADD10" s="275" t="s">
        <v>424</v>
      </c>
      <c r="ADE10" s="275" t="s">
        <v>425</v>
      </c>
      <c r="ADF10" s="275" t="s">
        <v>426</v>
      </c>
      <c r="ADG10" s="275" t="s">
        <v>427</v>
      </c>
      <c r="ADH10" s="275" t="s">
        <v>428</v>
      </c>
      <c r="ADI10" s="275" t="s">
        <v>429</v>
      </c>
      <c r="ADJ10" s="275" t="s">
        <v>409</v>
      </c>
      <c r="ADK10" s="275" t="s">
        <v>0</v>
      </c>
      <c r="ADL10" s="330" t="s">
        <v>554</v>
      </c>
      <c r="ADM10" s="330" t="s">
        <v>555</v>
      </c>
      <c r="ADN10" s="330" t="s">
        <v>556</v>
      </c>
      <c r="ADO10" s="330" t="s">
        <v>137</v>
      </c>
      <c r="ADP10" s="330" t="s">
        <v>42</v>
      </c>
      <c r="ADR10" s="334" t="s">
        <v>568</v>
      </c>
      <c r="ADS10" s="335"/>
      <c r="ADT10" s="335"/>
      <c r="ADU10" s="335"/>
      <c r="ADV10" s="335"/>
      <c r="ADW10" s="335"/>
      <c r="ADX10" s="335"/>
      <c r="ADY10" s="335"/>
      <c r="ADZ10" s="335"/>
      <c r="AEB10" s="313" t="s">
        <v>519</v>
      </c>
      <c r="AEC10" s="313" t="s">
        <v>520</v>
      </c>
      <c r="AED10" s="313" t="s">
        <v>521</v>
      </c>
      <c r="AEE10" s="313" t="s">
        <v>522</v>
      </c>
      <c r="AEF10" s="313" t="s">
        <v>523</v>
      </c>
      <c r="AEG10" s="313" t="s">
        <v>524</v>
      </c>
      <c r="AEH10" s="313" t="s">
        <v>525</v>
      </c>
      <c r="AEI10" s="313" t="s">
        <v>526</v>
      </c>
      <c r="AEJ10" s="313" t="s">
        <v>527</v>
      </c>
      <c r="AEK10" s="313" t="s">
        <v>528</v>
      </c>
      <c r="AEM10" s="313" t="s">
        <v>519</v>
      </c>
      <c r="AEN10" s="313" t="s">
        <v>520</v>
      </c>
      <c r="AEO10" s="313" t="s">
        <v>521</v>
      </c>
      <c r="AEP10" s="313" t="s">
        <v>522</v>
      </c>
      <c r="AEQ10" s="313" t="s">
        <v>523</v>
      </c>
      <c r="AER10" s="313" t="s">
        <v>524</v>
      </c>
      <c r="AES10" s="313" t="s">
        <v>525</v>
      </c>
      <c r="AET10" s="313" t="s">
        <v>526</v>
      </c>
      <c r="AEU10" s="313" t="s">
        <v>527</v>
      </c>
      <c r="AEV10" s="313" t="s">
        <v>528</v>
      </c>
      <c r="AEW10" s="147" t="s">
        <v>485</v>
      </c>
      <c r="AEY10" s="313" t="s">
        <v>519</v>
      </c>
      <c r="AEZ10" s="313" t="s">
        <v>520</v>
      </c>
      <c r="AFA10" s="313" t="s">
        <v>521</v>
      </c>
      <c r="AFB10" s="313" t="s">
        <v>522</v>
      </c>
      <c r="AFC10" s="313" t="s">
        <v>523</v>
      </c>
      <c r="AFD10" s="313" t="s">
        <v>524</v>
      </c>
      <c r="AFE10" s="313" t="s">
        <v>525</v>
      </c>
      <c r="AFF10" s="313" t="s">
        <v>526</v>
      </c>
      <c r="AFG10" s="313" t="s">
        <v>527</v>
      </c>
      <c r="AFH10" s="313" t="s">
        <v>528</v>
      </c>
      <c r="AFI10" s="147" t="s">
        <v>485</v>
      </c>
      <c r="AFK10" s="313" t="s">
        <v>519</v>
      </c>
      <c r="AFL10" s="313" t="s">
        <v>520</v>
      </c>
      <c r="AFM10" s="313" t="s">
        <v>521</v>
      </c>
      <c r="AFN10" s="313" t="s">
        <v>522</v>
      </c>
      <c r="AFO10" s="313" t="s">
        <v>523</v>
      </c>
      <c r="AFP10" s="313" t="s">
        <v>524</v>
      </c>
      <c r="AFQ10" s="313" t="s">
        <v>525</v>
      </c>
      <c r="AFR10" s="313" t="s">
        <v>526</v>
      </c>
      <c r="AFS10" s="313" t="s">
        <v>527</v>
      </c>
      <c r="AFT10" s="313" t="s">
        <v>528</v>
      </c>
      <c r="AFU10" s="147" t="s">
        <v>485</v>
      </c>
      <c r="AFV10" s="147" t="s">
        <v>485</v>
      </c>
      <c r="AFX10" s="147" t="s">
        <v>222</v>
      </c>
      <c r="AFZ10" s="313" t="s">
        <v>412</v>
      </c>
      <c r="AGA10" s="313" t="s">
        <v>600</v>
      </c>
      <c r="AGB10" s="313" t="s">
        <v>601</v>
      </c>
      <c r="AGC10" s="313" t="s">
        <v>602</v>
      </c>
      <c r="AGD10" s="313" t="s">
        <v>603</v>
      </c>
      <c r="AGF10" s="313" t="s">
        <v>412</v>
      </c>
      <c r="AGG10" s="313" t="s">
        <v>600</v>
      </c>
      <c r="AGH10" s="313" t="s">
        <v>601</v>
      </c>
      <c r="AGI10" s="313" t="s">
        <v>602</v>
      </c>
      <c r="AGJ10" s="313" t="s">
        <v>603</v>
      </c>
      <c r="AGL10" s="306"/>
      <c r="AGM10" s="126" t="s">
        <v>426</v>
      </c>
      <c r="AGN10" s="126" t="s">
        <v>427</v>
      </c>
      <c r="AGO10" s="126" t="s">
        <v>428</v>
      </c>
      <c r="AGP10" s="126" t="s">
        <v>429</v>
      </c>
      <c r="AGQ10" s="126" t="s">
        <v>409</v>
      </c>
      <c r="AGR10" s="126" t="s">
        <v>0</v>
      </c>
      <c r="AGS10" s="319" t="s">
        <v>519</v>
      </c>
      <c r="AGT10" s="319" t="s">
        <v>520</v>
      </c>
      <c r="AGU10" s="319" t="s">
        <v>521</v>
      </c>
      <c r="AGV10" s="319" t="s">
        <v>522</v>
      </c>
      <c r="AGW10" s="319" t="s">
        <v>523</v>
      </c>
      <c r="AGX10" s="319" t="s">
        <v>524</v>
      </c>
      <c r="AGY10" s="319" t="s">
        <v>525</v>
      </c>
      <c r="AGZ10" s="319" t="s">
        <v>526</v>
      </c>
      <c r="AHA10" s="319" t="s">
        <v>527</v>
      </c>
      <c r="AHB10" s="319" t="s">
        <v>528</v>
      </c>
      <c r="AHC10" s="319" t="s">
        <v>146</v>
      </c>
      <c r="AHE10" s="126" t="s">
        <v>0</v>
      </c>
      <c r="AHF10" s="319" t="s">
        <v>519</v>
      </c>
      <c r="AHG10" s="319" t="s">
        <v>520</v>
      </c>
      <c r="AHH10" s="319" t="s">
        <v>521</v>
      </c>
      <c r="AHI10" s="319" t="s">
        <v>522</v>
      </c>
      <c r="AHJ10" s="319" t="s">
        <v>523</v>
      </c>
      <c r="AHK10" s="319" t="s">
        <v>524</v>
      </c>
      <c r="AHL10" s="319" t="s">
        <v>525</v>
      </c>
      <c r="AHM10" s="319" t="s">
        <v>526</v>
      </c>
      <c r="AHN10" s="319" t="s">
        <v>527</v>
      </c>
      <c r="AHO10" s="319" t="s">
        <v>528</v>
      </c>
      <c r="AHP10" s="319" t="s">
        <v>146</v>
      </c>
      <c r="AHR10" s="319" t="s">
        <v>519</v>
      </c>
      <c r="AHS10" s="319" t="s">
        <v>520</v>
      </c>
      <c r="AHT10" s="319" t="s">
        <v>521</v>
      </c>
      <c r="AHU10" s="319" t="s">
        <v>522</v>
      </c>
      <c r="AHV10" s="319" t="s">
        <v>523</v>
      </c>
      <c r="AHW10" s="319" t="s">
        <v>524</v>
      </c>
      <c r="AHX10" s="319" t="s">
        <v>525</v>
      </c>
      <c r="AHY10" s="319" t="s">
        <v>526</v>
      </c>
      <c r="AHZ10" s="319" t="s">
        <v>527</v>
      </c>
      <c r="AIA10" s="319" t="s">
        <v>528</v>
      </c>
      <c r="AIB10" s="319" t="s">
        <v>146</v>
      </c>
    </row>
    <row r="11" spans="1:944" s="107" customFormat="1" ht="31.5" x14ac:dyDescent="0.45">
      <c r="A11" s="722"/>
      <c r="B11" s="125" t="s">
        <v>202</v>
      </c>
      <c r="C11" s="125" t="s">
        <v>572</v>
      </c>
      <c r="D11" s="125" t="s">
        <v>573</v>
      </c>
      <c r="E11" s="118" t="s">
        <v>574</v>
      </c>
      <c r="F11" s="118" t="s">
        <v>100</v>
      </c>
      <c r="G11" s="118" t="s">
        <v>374</v>
      </c>
      <c r="H11" s="118" t="s">
        <v>375</v>
      </c>
      <c r="I11" s="118" t="s">
        <v>376</v>
      </c>
      <c r="J11" s="118" t="s">
        <v>377</v>
      </c>
      <c r="K11" s="118" t="s">
        <v>378</v>
      </c>
      <c r="L11" s="118" t="s">
        <v>379</v>
      </c>
      <c r="M11" s="118" t="s">
        <v>380</v>
      </c>
      <c r="N11" s="119" t="s">
        <v>381</v>
      </c>
      <c r="O11" s="118" t="s">
        <v>382</v>
      </c>
      <c r="P11" s="118" t="s">
        <v>383</v>
      </c>
      <c r="Q11" s="213"/>
      <c r="R11" s="336" t="s">
        <v>384</v>
      </c>
      <c r="S11" s="336" t="s">
        <v>385</v>
      </c>
      <c r="T11" s="336" t="s">
        <v>386</v>
      </c>
      <c r="U11" s="336" t="s">
        <v>387</v>
      </c>
      <c r="V11" s="336" t="s">
        <v>388</v>
      </c>
      <c r="W11" s="336" t="s">
        <v>389</v>
      </c>
      <c r="X11" s="213"/>
      <c r="Y11" s="119" t="s">
        <v>390</v>
      </c>
      <c r="Z11" s="119" t="s">
        <v>391</v>
      </c>
      <c r="AA11" s="119" t="s">
        <v>392</v>
      </c>
      <c r="AB11" s="213"/>
      <c r="AC11" s="337" t="s">
        <v>393</v>
      </c>
      <c r="AD11" s="119" t="s">
        <v>22</v>
      </c>
      <c r="AE11" s="336" t="s">
        <v>394</v>
      </c>
      <c r="AF11" s="336" t="s">
        <v>395</v>
      </c>
      <c r="AG11" s="213"/>
      <c r="AH11" s="336" t="s">
        <v>396</v>
      </c>
      <c r="AI11" s="336" t="s">
        <v>397</v>
      </c>
      <c r="AJ11" s="336" t="s">
        <v>398</v>
      </c>
      <c r="AK11" s="336" t="s">
        <v>401</v>
      </c>
      <c r="AL11" s="336" t="s">
        <v>402</v>
      </c>
      <c r="AM11" s="336" t="s">
        <v>403</v>
      </c>
      <c r="AN11" s="336" t="s">
        <v>404</v>
      </c>
      <c r="AO11" s="213"/>
      <c r="AP11" s="337" t="s">
        <v>405</v>
      </c>
      <c r="AQ11" s="337" t="s">
        <v>406</v>
      </c>
      <c r="AR11" s="213"/>
      <c r="AS11" s="337" t="s">
        <v>407</v>
      </c>
      <c r="AT11" s="337" t="s">
        <v>408</v>
      </c>
      <c r="AU11" s="213"/>
      <c r="AV11" s="338" t="s">
        <v>434</v>
      </c>
      <c r="AW11" s="338" t="s">
        <v>435</v>
      </c>
      <c r="AX11" s="339" t="s">
        <v>436</v>
      </c>
      <c r="AY11" s="286" t="s">
        <v>125</v>
      </c>
      <c r="AZ11" s="275" t="s">
        <v>0</v>
      </c>
      <c r="BA11" s="287" t="s">
        <v>126</v>
      </c>
      <c r="BB11" s="286" t="s">
        <v>125</v>
      </c>
      <c r="BC11" s="275" t="s">
        <v>0</v>
      </c>
      <c r="BD11" s="287" t="s">
        <v>126</v>
      </c>
      <c r="BE11" s="286" t="s">
        <v>125</v>
      </c>
      <c r="BF11" s="275" t="s">
        <v>0</v>
      </c>
      <c r="BG11" s="287" t="s">
        <v>126</v>
      </c>
      <c r="BH11" s="275" t="s">
        <v>125</v>
      </c>
      <c r="BI11" s="275" t="s">
        <v>0</v>
      </c>
      <c r="BJ11" s="340" t="s">
        <v>437</v>
      </c>
      <c r="BK11" s="275" t="s">
        <v>125</v>
      </c>
      <c r="BL11" s="275" t="s">
        <v>0</v>
      </c>
      <c r="BM11" s="275" t="s">
        <v>126</v>
      </c>
      <c r="BO11" s="275" t="s">
        <v>125</v>
      </c>
      <c r="BP11" s="287" t="s">
        <v>0</v>
      </c>
      <c r="BQ11" s="275" t="s">
        <v>125</v>
      </c>
      <c r="BR11" s="275" t="s">
        <v>0</v>
      </c>
      <c r="BT11" s="409" t="s">
        <v>206</v>
      </c>
      <c r="BU11" s="147" t="s">
        <v>419</v>
      </c>
      <c r="BV11" s="147" t="s">
        <v>419</v>
      </c>
      <c r="BW11" s="147" t="s">
        <v>419</v>
      </c>
      <c r="BX11" s="147" t="s">
        <v>419</v>
      </c>
      <c r="BY11" s="147" t="s">
        <v>419</v>
      </c>
      <c r="BZ11" s="147" t="s">
        <v>419</v>
      </c>
      <c r="CA11" s="147" t="s">
        <v>419</v>
      </c>
      <c r="CB11" s="147" t="s">
        <v>419</v>
      </c>
      <c r="CC11" s="147" t="s">
        <v>419</v>
      </c>
      <c r="CD11" s="147" t="s">
        <v>419</v>
      </c>
      <c r="CE11" s="147" t="s">
        <v>419</v>
      </c>
      <c r="CG11" s="147" t="s">
        <v>419</v>
      </c>
      <c r="CH11" s="147" t="s">
        <v>419</v>
      </c>
      <c r="CI11" s="147" t="s">
        <v>419</v>
      </c>
      <c r="CK11" s="137" t="s">
        <v>438</v>
      </c>
      <c r="CL11" s="126"/>
      <c r="CM11" s="126"/>
      <c r="CN11" s="126"/>
      <c r="CO11" s="126"/>
      <c r="CP11" s="126"/>
      <c r="CQ11" s="126"/>
      <c r="CR11" s="126"/>
      <c r="CS11" s="126"/>
      <c r="CT11" s="126"/>
      <c r="CV11" s="315" t="s">
        <v>439</v>
      </c>
      <c r="CW11" s="147"/>
      <c r="CX11" s="147"/>
      <c r="CY11" s="147"/>
      <c r="CZ11" s="147"/>
      <c r="DA11" s="147"/>
      <c r="DB11" s="147"/>
      <c r="DC11" s="147"/>
      <c r="DD11" s="147"/>
      <c r="DE11" s="147"/>
      <c r="DF11" s="147"/>
      <c r="DH11" s="137" t="s">
        <v>440</v>
      </c>
      <c r="DI11" s="126"/>
      <c r="DJ11" s="126"/>
      <c r="DK11" s="126"/>
      <c r="DL11" s="126"/>
      <c r="DM11" s="126"/>
      <c r="DN11" s="126"/>
      <c r="DO11" s="126"/>
      <c r="DP11" s="126"/>
      <c r="DQ11" s="126"/>
      <c r="DS11" s="315" t="s">
        <v>441</v>
      </c>
      <c r="DT11" s="147"/>
      <c r="DU11" s="147"/>
      <c r="DV11" s="147"/>
      <c r="DW11" s="147"/>
      <c r="DX11" s="147"/>
      <c r="DY11" s="147"/>
      <c r="DZ11" s="147"/>
      <c r="EA11" s="147"/>
      <c r="EB11" s="147"/>
      <c r="EC11" s="147"/>
      <c r="EE11" s="125" t="s">
        <v>442</v>
      </c>
      <c r="EF11" s="126"/>
      <c r="EG11" s="126"/>
      <c r="EH11" s="126"/>
      <c r="EI11" s="126"/>
      <c r="EJ11" s="126"/>
      <c r="EK11" s="126"/>
      <c r="EM11" s="336" t="s">
        <v>443</v>
      </c>
      <c r="EN11" s="336" t="s">
        <v>443</v>
      </c>
      <c r="EO11" s="336" t="s">
        <v>443</v>
      </c>
      <c r="EP11" s="336" t="s">
        <v>443</v>
      </c>
      <c r="EQ11" s="336" t="s">
        <v>443</v>
      </c>
      <c r="ER11" s="336" t="s">
        <v>443</v>
      </c>
      <c r="ET11" s="409" t="s">
        <v>332</v>
      </c>
      <c r="EU11" s="147" t="s">
        <v>2</v>
      </c>
      <c r="EV11" s="147" t="s">
        <v>2</v>
      </c>
      <c r="EW11" s="147" t="s">
        <v>2</v>
      </c>
      <c r="EX11" s="147" t="s">
        <v>2</v>
      </c>
      <c r="EY11" s="147" t="s">
        <v>2</v>
      </c>
      <c r="EZ11" s="147" t="s">
        <v>2</v>
      </c>
      <c r="FA11" s="147" t="s">
        <v>2</v>
      </c>
      <c r="FB11" s="147" t="s">
        <v>2</v>
      </c>
      <c r="FC11" s="147" t="s">
        <v>2</v>
      </c>
      <c r="FD11" s="147" t="s">
        <v>2</v>
      </c>
      <c r="FE11" s="147" t="s">
        <v>2</v>
      </c>
      <c r="FG11" s="147" t="s">
        <v>2</v>
      </c>
      <c r="FH11" s="147" t="s">
        <v>2</v>
      </c>
      <c r="FI11" s="147" t="s">
        <v>2</v>
      </c>
      <c r="FK11" s="336" t="s">
        <v>465</v>
      </c>
      <c r="FL11" s="336" t="s">
        <v>465</v>
      </c>
      <c r="FM11" s="336" t="s">
        <v>465</v>
      </c>
      <c r="FN11" s="336" t="s">
        <v>465</v>
      </c>
      <c r="FO11" s="336" t="s">
        <v>465</v>
      </c>
      <c r="FQ11" s="409" t="s">
        <v>207</v>
      </c>
      <c r="FR11" s="147" t="s">
        <v>466</v>
      </c>
      <c r="FS11" s="147" t="s">
        <v>466</v>
      </c>
      <c r="FT11" s="147" t="s">
        <v>466</v>
      </c>
      <c r="FU11" s="147" t="s">
        <v>466</v>
      </c>
      <c r="FV11" s="147" t="s">
        <v>466</v>
      </c>
      <c r="FW11" s="147" t="s">
        <v>466</v>
      </c>
      <c r="FX11" s="147" t="s">
        <v>466</v>
      </c>
      <c r="FY11" s="147" t="s">
        <v>466</v>
      </c>
      <c r="FZ11" s="147" t="s">
        <v>466</v>
      </c>
      <c r="GA11" s="147" t="s">
        <v>466</v>
      </c>
      <c r="GB11" s="147" t="s">
        <v>466</v>
      </c>
      <c r="GD11" s="147" t="s">
        <v>466</v>
      </c>
      <c r="GE11" s="147" t="s">
        <v>466</v>
      </c>
      <c r="GF11" s="147" t="s">
        <v>466</v>
      </c>
      <c r="GH11" s="293"/>
      <c r="GI11" s="293"/>
      <c r="GJ11" s="336" t="s">
        <v>471</v>
      </c>
      <c r="GK11" s="336" t="s">
        <v>471</v>
      </c>
      <c r="GL11" s="336" t="s">
        <v>471</v>
      </c>
      <c r="GM11" s="336" t="s">
        <v>471</v>
      </c>
      <c r="GN11" s="336" t="s">
        <v>471</v>
      </c>
      <c r="GO11" s="336" t="s">
        <v>471</v>
      </c>
      <c r="GP11" s="336" t="s">
        <v>471</v>
      </c>
      <c r="GQ11" s="336" t="s">
        <v>471</v>
      </c>
      <c r="GR11" s="336" t="s">
        <v>471</v>
      </c>
      <c r="GS11" s="336" t="s">
        <v>471</v>
      </c>
      <c r="GT11" s="293"/>
      <c r="GU11" s="336" t="s">
        <v>471</v>
      </c>
      <c r="GV11" s="336"/>
      <c r="GX11" s="230"/>
      <c r="HA11" s="330" t="s">
        <v>19</v>
      </c>
      <c r="HB11" s="330" t="s">
        <v>19</v>
      </c>
      <c r="HC11" s="330" t="s">
        <v>19</v>
      </c>
      <c r="HD11" s="330" t="s">
        <v>19</v>
      </c>
      <c r="HE11" s="330" t="s">
        <v>19</v>
      </c>
      <c r="HF11" s="330" t="s">
        <v>19</v>
      </c>
      <c r="HG11" s="330" t="s">
        <v>19</v>
      </c>
      <c r="HH11" s="330" t="s">
        <v>19</v>
      </c>
      <c r="HI11" s="330" t="s">
        <v>19</v>
      </c>
      <c r="HJ11" s="330" t="s">
        <v>19</v>
      </c>
      <c r="HK11" s="330" t="s">
        <v>19</v>
      </c>
      <c r="HL11" s="341"/>
      <c r="HM11" s="330" t="s">
        <v>19</v>
      </c>
      <c r="HN11" s="330" t="s">
        <v>19</v>
      </c>
      <c r="HO11" s="330" t="s">
        <v>19</v>
      </c>
      <c r="HQ11" s="230">
        <v>0</v>
      </c>
      <c r="HS11" s="125" t="s">
        <v>472</v>
      </c>
      <c r="HT11" s="126"/>
      <c r="HU11" s="126"/>
      <c r="HV11" s="126"/>
      <c r="HW11" s="126"/>
      <c r="HY11" s="336" t="s">
        <v>473</v>
      </c>
      <c r="HZ11" s="125" t="s">
        <v>474</v>
      </c>
      <c r="IA11" s="126"/>
      <c r="IB11" s="126"/>
      <c r="IC11" s="126"/>
      <c r="ID11" s="126"/>
      <c r="IF11" s="342" t="s">
        <v>475</v>
      </c>
      <c r="IG11" s="343"/>
      <c r="IH11" s="343"/>
      <c r="II11" s="343"/>
      <c r="IJ11" s="343"/>
      <c r="IL11" s="119" t="s">
        <v>476</v>
      </c>
      <c r="IN11" s="125" t="s">
        <v>477</v>
      </c>
      <c r="IO11" s="126"/>
      <c r="IP11" s="126"/>
      <c r="IQ11" s="126"/>
      <c r="IR11" s="126"/>
      <c r="IT11" s="125" t="s">
        <v>579</v>
      </c>
      <c r="IU11" s="126"/>
      <c r="IV11" s="126"/>
      <c r="IX11" s="125" t="s">
        <v>580</v>
      </c>
      <c r="IY11" s="336" t="s">
        <v>581</v>
      </c>
      <c r="IZ11" s="119" t="s">
        <v>582</v>
      </c>
      <c r="JA11" s="119" t="s">
        <v>583</v>
      </c>
      <c r="JB11" s="119" t="s">
        <v>584</v>
      </c>
      <c r="JC11" s="119" t="s">
        <v>585</v>
      </c>
      <c r="JD11" s="119" t="s">
        <v>586</v>
      </c>
      <c r="JE11" s="344"/>
      <c r="JG11" s="119" t="s">
        <v>587</v>
      </c>
      <c r="JI11" s="119" t="s">
        <v>588</v>
      </c>
      <c r="JJ11" s="119" t="s">
        <v>589</v>
      </c>
      <c r="JK11" s="119" t="s">
        <v>590</v>
      </c>
      <c r="JL11" s="119" t="s">
        <v>591</v>
      </c>
      <c r="JM11" s="230">
        <v>0</v>
      </c>
      <c r="JO11" s="137" t="s">
        <v>480</v>
      </c>
      <c r="JP11" s="126"/>
      <c r="JQ11" s="126"/>
      <c r="JR11" s="126"/>
      <c r="JS11" s="126"/>
      <c r="JT11" s="126"/>
      <c r="JU11" s="126"/>
      <c r="JV11" s="126"/>
      <c r="JW11" s="126"/>
      <c r="JX11" s="126"/>
      <c r="JY11" s="126"/>
      <c r="JZ11" s="126"/>
      <c r="KB11" s="137" t="s">
        <v>481</v>
      </c>
      <c r="KC11" s="126"/>
      <c r="KD11" s="126"/>
      <c r="KE11" s="126"/>
      <c r="KF11" s="126"/>
      <c r="KG11" s="126"/>
      <c r="KH11" s="126"/>
      <c r="KI11" s="126"/>
      <c r="KJ11" s="126"/>
      <c r="KK11" s="126"/>
      <c r="KL11" s="126"/>
      <c r="KN11" s="137" t="s">
        <v>482</v>
      </c>
      <c r="KO11" s="126"/>
      <c r="KP11" s="126"/>
      <c r="KQ11" s="126"/>
      <c r="KR11" s="126"/>
      <c r="KS11" s="126"/>
      <c r="KT11" s="126"/>
      <c r="KU11" s="126"/>
      <c r="KV11" s="126"/>
      <c r="KW11" s="126"/>
      <c r="KX11" s="126"/>
      <c r="KZ11" s="119" t="s">
        <v>488</v>
      </c>
      <c r="LA11" s="119" t="s">
        <v>489</v>
      </c>
      <c r="LB11" s="119" t="s">
        <v>490</v>
      </c>
      <c r="LD11" s="137" t="s">
        <v>491</v>
      </c>
      <c r="LE11" s="126"/>
      <c r="LF11" s="126"/>
      <c r="LG11" s="126"/>
      <c r="LH11" s="126"/>
      <c r="LI11" s="126"/>
      <c r="LJ11" s="126"/>
      <c r="LK11" s="126"/>
      <c r="LL11" s="126"/>
      <c r="LM11" s="126"/>
      <c r="LN11" s="126"/>
      <c r="LO11" s="126"/>
      <c r="LQ11" s="137" t="s">
        <v>492</v>
      </c>
      <c r="LR11" s="126"/>
      <c r="LS11" s="126"/>
      <c r="LT11" s="126"/>
      <c r="LU11" s="126"/>
      <c r="LV11" s="126"/>
      <c r="LW11" s="126"/>
      <c r="LX11" s="126"/>
      <c r="LY11" s="126"/>
      <c r="LZ11" s="126"/>
      <c r="MA11" s="126"/>
      <c r="MC11" s="137" t="s">
        <v>493</v>
      </c>
      <c r="MD11" s="126"/>
      <c r="ME11" s="126"/>
      <c r="MF11" s="126"/>
      <c r="MG11" s="126"/>
      <c r="MH11" s="126"/>
      <c r="MI11" s="126"/>
      <c r="MJ11" s="126"/>
      <c r="MK11" s="126"/>
      <c r="ML11" s="126"/>
      <c r="MM11" s="126"/>
      <c r="MO11" s="137" t="s">
        <v>494</v>
      </c>
      <c r="MP11" s="126"/>
      <c r="MQ11" s="126"/>
      <c r="MR11" s="126"/>
      <c r="MS11" s="126"/>
      <c r="MT11" s="126"/>
      <c r="MU11" s="126"/>
      <c r="MV11" s="126"/>
      <c r="MW11" s="126"/>
      <c r="MX11" s="126"/>
      <c r="MY11" s="126"/>
      <c r="MZ11" s="126"/>
      <c r="NB11" s="137" t="s">
        <v>495</v>
      </c>
      <c r="NC11" s="126"/>
      <c r="ND11" s="126"/>
      <c r="NE11" s="126"/>
      <c r="NF11" s="126"/>
      <c r="NG11" s="126"/>
      <c r="NH11" s="126"/>
      <c r="NI11" s="126"/>
      <c r="NJ11" s="126"/>
      <c r="NK11" s="126"/>
      <c r="NL11" s="126"/>
      <c r="NM11" s="126"/>
      <c r="NO11" s="345" t="s">
        <v>492</v>
      </c>
      <c r="NP11" s="345" t="s">
        <v>499</v>
      </c>
      <c r="NQ11" s="345" t="s">
        <v>500</v>
      </c>
      <c r="NR11" s="346" t="s">
        <v>501</v>
      </c>
      <c r="NS11" s="345" t="s">
        <v>502</v>
      </c>
      <c r="NT11" s="345" t="s">
        <v>503</v>
      </c>
      <c r="NU11" s="125" t="s">
        <v>504</v>
      </c>
      <c r="NV11" s="345" t="s">
        <v>505</v>
      </c>
      <c r="NW11" s="345" t="s">
        <v>506</v>
      </c>
      <c r="NY11" s="347" t="s">
        <v>507</v>
      </c>
      <c r="NZ11" s="125" t="s">
        <v>508</v>
      </c>
      <c r="OA11" s="345" t="s">
        <v>509</v>
      </c>
      <c r="OB11" s="348" t="s">
        <v>510</v>
      </c>
      <c r="OC11" s="345" t="s">
        <v>511</v>
      </c>
      <c r="OD11" s="345" t="s">
        <v>512</v>
      </c>
      <c r="OE11" s="345" t="s">
        <v>513</v>
      </c>
      <c r="OF11" s="345" t="s">
        <v>514</v>
      </c>
      <c r="OH11" s="345" t="s">
        <v>515</v>
      </c>
      <c r="OI11" s="345" t="s">
        <v>516</v>
      </c>
      <c r="OK11" s="230">
        <v>0</v>
      </c>
      <c r="OM11" s="107">
        <v>0</v>
      </c>
      <c r="ON11" s="107">
        <v>0</v>
      </c>
      <c r="OO11" s="107">
        <v>0</v>
      </c>
      <c r="OP11" s="107">
        <v>0</v>
      </c>
      <c r="OQ11" s="107">
        <v>0</v>
      </c>
      <c r="OR11" s="107">
        <v>0</v>
      </c>
      <c r="OS11" s="107">
        <v>0</v>
      </c>
      <c r="OT11" s="107">
        <v>0</v>
      </c>
      <c r="OU11" s="107">
        <v>0</v>
      </c>
      <c r="OV11" s="107">
        <v>0</v>
      </c>
      <c r="OW11" s="107">
        <v>0</v>
      </c>
      <c r="OX11" s="107">
        <v>0</v>
      </c>
      <c r="OY11" s="107">
        <v>0</v>
      </c>
      <c r="OZ11" s="107">
        <v>0</v>
      </c>
      <c r="PA11" s="107">
        <v>0</v>
      </c>
      <c r="PB11" s="107">
        <v>0</v>
      </c>
      <c r="PC11" s="107">
        <v>0</v>
      </c>
      <c r="PD11" s="107">
        <v>0</v>
      </c>
      <c r="PE11" s="107">
        <v>0</v>
      </c>
      <c r="PF11" s="107">
        <v>0</v>
      </c>
      <c r="PG11" s="107">
        <v>0</v>
      </c>
      <c r="PH11" s="107">
        <v>0</v>
      </c>
      <c r="PI11" s="107">
        <v>0</v>
      </c>
      <c r="PJ11" s="107">
        <v>0</v>
      </c>
      <c r="PK11" s="107">
        <v>0</v>
      </c>
      <c r="PL11" s="107">
        <v>0</v>
      </c>
      <c r="PM11" s="107">
        <v>0</v>
      </c>
      <c r="PN11" s="107">
        <v>0</v>
      </c>
      <c r="PO11" s="107">
        <v>0</v>
      </c>
      <c r="PP11" s="107">
        <v>0</v>
      </c>
      <c r="PQ11" s="107">
        <v>0</v>
      </c>
      <c r="PR11" s="107">
        <v>0</v>
      </c>
      <c r="PS11" s="107">
        <v>0</v>
      </c>
      <c r="PT11" s="107">
        <v>0</v>
      </c>
      <c r="PU11" s="107">
        <v>0</v>
      </c>
      <c r="PV11" s="107">
        <v>0</v>
      </c>
      <c r="PW11" s="107">
        <v>0</v>
      </c>
      <c r="PX11" s="107">
        <v>0</v>
      </c>
      <c r="PY11" s="107">
        <v>0</v>
      </c>
      <c r="PZ11" s="107">
        <v>0</v>
      </c>
      <c r="QA11" s="107">
        <v>0</v>
      </c>
      <c r="QB11" s="107">
        <v>0</v>
      </c>
      <c r="QC11" s="107">
        <v>0</v>
      </c>
      <c r="QD11" s="107">
        <v>0</v>
      </c>
      <c r="QE11" s="107">
        <v>0</v>
      </c>
      <c r="QF11" s="107">
        <v>0</v>
      </c>
      <c r="QG11" s="107">
        <v>0</v>
      </c>
      <c r="QH11" s="107">
        <v>0</v>
      </c>
      <c r="QI11" s="107">
        <v>0</v>
      </c>
      <c r="QJ11" s="107">
        <v>0</v>
      </c>
      <c r="QK11" s="107">
        <v>0</v>
      </c>
      <c r="QL11" s="107">
        <v>0</v>
      </c>
      <c r="QM11" s="107">
        <v>0</v>
      </c>
      <c r="QN11" s="107">
        <v>0</v>
      </c>
      <c r="QO11" s="107">
        <v>0</v>
      </c>
      <c r="QP11" s="107">
        <v>0</v>
      </c>
      <c r="QQ11" s="107">
        <v>0</v>
      </c>
      <c r="QR11" s="107">
        <v>0</v>
      </c>
      <c r="QS11" s="107">
        <v>0</v>
      </c>
      <c r="QT11" s="107">
        <v>0</v>
      </c>
      <c r="QU11" s="107">
        <v>0</v>
      </c>
      <c r="QV11" s="107">
        <v>0</v>
      </c>
      <c r="QW11" s="107">
        <v>0</v>
      </c>
      <c r="QX11" s="107">
        <v>0</v>
      </c>
      <c r="QY11" s="107">
        <v>0</v>
      </c>
      <c r="QZ11" s="107">
        <v>0</v>
      </c>
      <c r="RA11" s="107">
        <v>0</v>
      </c>
      <c r="RB11" s="107">
        <v>0</v>
      </c>
      <c r="RC11" s="107">
        <v>0</v>
      </c>
      <c r="RD11" s="107">
        <v>0</v>
      </c>
      <c r="RE11" s="107">
        <v>0</v>
      </c>
      <c r="RF11" s="107">
        <v>0</v>
      </c>
      <c r="RG11" s="107">
        <v>0</v>
      </c>
      <c r="RH11" s="107">
        <v>0</v>
      </c>
      <c r="RI11" s="107">
        <v>0</v>
      </c>
      <c r="RJ11" s="107">
        <v>0</v>
      </c>
      <c r="RK11" s="107">
        <v>0</v>
      </c>
      <c r="RL11" s="107">
        <v>0</v>
      </c>
      <c r="RM11" s="107">
        <v>0</v>
      </c>
      <c r="RN11" s="107">
        <v>0</v>
      </c>
      <c r="RO11" s="107">
        <v>0</v>
      </c>
      <c r="RP11" s="107">
        <v>0</v>
      </c>
      <c r="RQ11" s="107">
        <v>0</v>
      </c>
      <c r="RR11" s="107">
        <v>0</v>
      </c>
      <c r="RS11" s="107">
        <v>0</v>
      </c>
      <c r="RT11" s="107">
        <v>0</v>
      </c>
      <c r="RU11" s="107">
        <v>0</v>
      </c>
      <c r="RV11" s="107">
        <v>0</v>
      </c>
      <c r="RW11" s="107">
        <v>0</v>
      </c>
      <c r="RX11" s="107">
        <v>0</v>
      </c>
      <c r="RY11" s="107">
        <v>0</v>
      </c>
      <c r="RZ11" s="107">
        <v>0</v>
      </c>
      <c r="SA11" s="107">
        <v>0</v>
      </c>
      <c r="SB11" s="107">
        <v>0</v>
      </c>
      <c r="SC11" s="107">
        <v>0</v>
      </c>
      <c r="SD11" s="107">
        <v>0</v>
      </c>
      <c r="SE11" s="107">
        <v>0</v>
      </c>
      <c r="SF11" s="107">
        <v>0</v>
      </c>
      <c r="SG11" s="107">
        <v>0</v>
      </c>
      <c r="SH11" s="297"/>
      <c r="SI11" s="349" t="s">
        <v>529</v>
      </c>
      <c r="SJ11" s="350"/>
      <c r="SK11" s="350"/>
      <c r="SL11" s="350"/>
      <c r="SM11" s="350"/>
      <c r="SN11" s="350"/>
      <c r="SO11" s="350"/>
      <c r="SP11" s="350"/>
      <c r="SQ11" s="350"/>
      <c r="SR11" s="350"/>
      <c r="SS11" s="350"/>
      <c r="ST11" s="119"/>
      <c r="SV11" s="187" t="s">
        <v>419</v>
      </c>
      <c r="SW11" s="119"/>
      <c r="SX11" s="119"/>
      <c r="SY11" s="119"/>
      <c r="SZ11" s="119"/>
      <c r="TA11" s="119"/>
      <c r="TB11" s="119"/>
      <c r="TC11" s="119"/>
      <c r="TD11" s="119"/>
      <c r="TE11" s="119"/>
      <c r="TF11" s="119"/>
      <c r="TG11" s="119"/>
      <c r="TI11" s="351" t="s">
        <v>530</v>
      </c>
      <c r="TJ11" s="350"/>
      <c r="TK11" s="350"/>
      <c r="TL11" s="350"/>
      <c r="TM11" s="350"/>
      <c r="TN11" s="350"/>
      <c r="TO11" s="350"/>
      <c r="TP11" s="350"/>
      <c r="TQ11" s="350"/>
      <c r="TR11" s="350"/>
      <c r="TS11" s="350"/>
      <c r="TT11" s="350"/>
      <c r="TV11" s="351" t="s">
        <v>531</v>
      </c>
      <c r="TW11" s="352"/>
      <c r="TX11" s="352"/>
      <c r="TY11" s="352"/>
      <c r="TZ11" s="352"/>
      <c r="UA11" s="352"/>
      <c r="UB11" s="352"/>
      <c r="UC11" s="352"/>
      <c r="UD11" s="352"/>
      <c r="UE11" s="352"/>
      <c r="UF11" s="352"/>
      <c r="UG11" s="352"/>
      <c r="UI11" s="187" t="s">
        <v>532</v>
      </c>
      <c r="UJ11" s="126"/>
      <c r="UK11" s="126"/>
      <c r="UL11" s="126"/>
      <c r="UM11" s="126"/>
      <c r="UN11" s="126"/>
      <c r="UO11" s="126"/>
      <c r="UP11" s="126"/>
      <c r="UQ11" s="126"/>
      <c r="UR11" s="126"/>
      <c r="US11" s="126"/>
      <c r="UT11" s="126"/>
      <c r="UV11" s="188" t="s">
        <v>533</v>
      </c>
      <c r="UW11" s="350" t="s">
        <v>412</v>
      </c>
      <c r="UX11" s="350"/>
      <c r="UY11" s="350"/>
      <c r="UZ11" s="350"/>
      <c r="VA11" s="350"/>
      <c r="VB11" s="350"/>
      <c r="VC11" s="350"/>
      <c r="VD11" s="350"/>
      <c r="VE11" s="350"/>
      <c r="VF11" s="350"/>
      <c r="VG11" s="350"/>
      <c r="VI11" s="353" t="s">
        <v>19</v>
      </c>
      <c r="VJ11" s="147"/>
      <c r="VK11" s="147"/>
      <c r="VL11" s="147"/>
      <c r="VM11" s="147"/>
      <c r="VN11" s="147"/>
      <c r="VO11" s="147"/>
      <c r="VP11" s="147"/>
      <c r="VQ11" s="147"/>
      <c r="VR11" s="147"/>
      <c r="VS11" s="147"/>
      <c r="VT11" s="147"/>
      <c r="VV11" s="187" t="s">
        <v>593</v>
      </c>
      <c r="VW11" s="126"/>
      <c r="VX11" s="126"/>
      <c r="VY11" s="126"/>
      <c r="VZ11" s="126"/>
      <c r="WA11" s="126"/>
      <c r="WB11" s="126"/>
      <c r="WC11" s="126"/>
      <c r="WD11" s="126"/>
      <c r="WE11" s="126"/>
      <c r="WF11" s="126"/>
      <c r="WG11" s="126"/>
      <c r="WI11" s="353" t="s">
        <v>68</v>
      </c>
      <c r="WJ11" s="147"/>
      <c r="WK11" s="147"/>
      <c r="WL11" s="147"/>
      <c r="WM11" s="147"/>
      <c r="WN11" s="147"/>
      <c r="WO11" s="147"/>
      <c r="WP11" s="147"/>
      <c r="WQ11" s="147"/>
      <c r="WR11" s="147"/>
      <c r="WS11" s="336"/>
      <c r="WT11" s="354"/>
      <c r="WU11" s="161"/>
      <c r="WV11" s="353" t="s">
        <v>16</v>
      </c>
      <c r="WW11" s="147"/>
      <c r="WX11" s="147"/>
      <c r="WY11" s="147"/>
      <c r="WZ11" s="147"/>
      <c r="XA11" s="147"/>
      <c r="XB11" s="147"/>
      <c r="XC11" s="147"/>
      <c r="XD11" s="147"/>
      <c r="XE11" s="147"/>
      <c r="XF11" s="147" t="s">
        <v>534</v>
      </c>
      <c r="XH11" s="187" t="s">
        <v>515</v>
      </c>
      <c r="XI11" s="126"/>
      <c r="XJ11" s="126"/>
      <c r="XK11" s="126"/>
      <c r="XL11" s="126"/>
      <c r="XM11" s="126"/>
      <c r="XN11" s="126"/>
      <c r="XO11" s="126"/>
      <c r="XP11" s="126"/>
      <c r="XQ11" s="126"/>
      <c r="XR11" s="126"/>
      <c r="XT11" s="355" t="s">
        <v>594</v>
      </c>
      <c r="XU11" s="147"/>
      <c r="XV11" s="147"/>
      <c r="XW11" s="147"/>
      <c r="XX11" s="147"/>
      <c r="XY11" s="147"/>
      <c r="XZ11" s="147"/>
      <c r="YA11" s="147"/>
      <c r="YB11" s="147"/>
      <c r="YC11" s="147"/>
      <c r="YD11" s="147"/>
      <c r="YF11" s="353" t="s">
        <v>595</v>
      </c>
      <c r="YG11" s="313"/>
      <c r="YH11" s="313"/>
      <c r="YI11" s="313"/>
      <c r="YJ11" s="313"/>
      <c r="YK11" s="313"/>
      <c r="YL11" s="313"/>
      <c r="YM11" s="313"/>
      <c r="YN11" s="313"/>
      <c r="YO11" s="313"/>
      <c r="YP11" s="313"/>
      <c r="YR11" s="356" t="s">
        <v>596</v>
      </c>
      <c r="YS11" s="356" t="s">
        <v>597</v>
      </c>
      <c r="YT11" s="356" t="s">
        <v>598</v>
      </c>
      <c r="YV11" s="119" t="s">
        <v>609</v>
      </c>
      <c r="YW11" s="119" t="s">
        <v>610</v>
      </c>
      <c r="YX11" s="119" t="s">
        <v>611</v>
      </c>
      <c r="YY11" s="303"/>
      <c r="YZ11" s="119" t="s">
        <v>612</v>
      </c>
      <c r="ZA11" s="119" t="s">
        <v>392</v>
      </c>
      <c r="ZC11" s="303"/>
      <c r="ZE11" s="119" t="s">
        <v>614</v>
      </c>
      <c r="ZF11" s="119" t="s">
        <v>615</v>
      </c>
      <c r="ZG11" s="119" t="s">
        <v>616</v>
      </c>
      <c r="ZH11" s="119" t="s">
        <v>617</v>
      </c>
      <c r="ZI11" s="126"/>
      <c r="ZK11" s="336" t="s">
        <v>547</v>
      </c>
      <c r="ZL11" s="336" t="s">
        <v>547</v>
      </c>
      <c r="ZM11" s="336" t="s">
        <v>547</v>
      </c>
      <c r="ZN11" s="336" t="s">
        <v>547</v>
      </c>
      <c r="ZO11" s="336" t="s">
        <v>547</v>
      </c>
      <c r="ZP11" s="336" t="s">
        <v>547</v>
      </c>
      <c r="ZQ11" s="336" t="s">
        <v>547</v>
      </c>
      <c r="ZR11" s="336" t="s">
        <v>547</v>
      </c>
      <c r="ZS11" s="336" t="s">
        <v>547</v>
      </c>
      <c r="ZT11" s="336" t="s">
        <v>547</v>
      </c>
      <c r="ZU11" s="357" t="s">
        <v>547</v>
      </c>
      <c r="ZV11" s="336" t="s">
        <v>547</v>
      </c>
      <c r="ZW11" s="358" t="s">
        <v>547</v>
      </c>
      <c r="ZX11" s="336" t="s">
        <v>547</v>
      </c>
      <c r="ZY11" s="336" t="s">
        <v>547</v>
      </c>
      <c r="ZZ11" s="336" t="s">
        <v>547</v>
      </c>
      <c r="AAA11" s="336" t="s">
        <v>547</v>
      </c>
      <c r="AAB11" s="336" t="s">
        <v>547</v>
      </c>
      <c r="AAC11" s="336" t="s">
        <v>547</v>
      </c>
      <c r="AAD11" s="336" t="s">
        <v>547</v>
      </c>
      <c r="AAE11" s="336" t="s">
        <v>547</v>
      </c>
      <c r="AAF11" s="336" t="s">
        <v>547</v>
      </c>
      <c r="AAG11" s="336" t="s">
        <v>547</v>
      </c>
      <c r="AAI11" s="359" t="s">
        <v>559</v>
      </c>
      <c r="AAJ11" s="128" t="s">
        <v>560</v>
      </c>
      <c r="AAK11" s="129" t="s">
        <v>561</v>
      </c>
      <c r="AAL11" s="128" t="s">
        <v>562</v>
      </c>
      <c r="AAM11" s="360" t="s">
        <v>563</v>
      </c>
      <c r="AAN11" s="361" t="s">
        <v>564</v>
      </c>
      <c r="AAO11" s="362" t="s">
        <v>565</v>
      </c>
      <c r="AAP11" s="128" t="s">
        <v>399</v>
      </c>
      <c r="AAQ11" s="128" t="s">
        <v>400</v>
      </c>
      <c r="AAS11" s="293"/>
      <c r="AAT11" s="119" t="s">
        <v>549</v>
      </c>
      <c r="AAU11" s="119" t="s">
        <v>549</v>
      </c>
      <c r="AAV11" s="119" t="s">
        <v>549</v>
      </c>
      <c r="AAW11" s="119" t="s">
        <v>549</v>
      </c>
      <c r="AAX11" s="119" t="s">
        <v>549</v>
      </c>
      <c r="AAY11" s="119" t="s">
        <v>549</v>
      </c>
      <c r="AAZ11" s="119" t="s">
        <v>549</v>
      </c>
      <c r="ABA11" s="119" t="s">
        <v>549</v>
      </c>
      <c r="ABB11" s="119" t="s">
        <v>549</v>
      </c>
      <c r="ABC11" s="119" t="s">
        <v>549</v>
      </c>
      <c r="ABD11" s="119" t="s">
        <v>549</v>
      </c>
      <c r="ABF11" s="363" t="s">
        <v>549</v>
      </c>
      <c r="ABG11" s="119" t="s">
        <v>549</v>
      </c>
      <c r="ABH11" s="119" t="s">
        <v>549</v>
      </c>
      <c r="ABJ11" s="293"/>
      <c r="ABK11" s="119" t="s">
        <v>558</v>
      </c>
      <c r="ABL11" s="119" t="s">
        <v>558</v>
      </c>
      <c r="ABM11" s="119" t="s">
        <v>558</v>
      </c>
      <c r="ABN11" s="119" t="s">
        <v>558</v>
      </c>
      <c r="ABO11" s="119" t="s">
        <v>558</v>
      </c>
      <c r="ABP11" s="119" t="s">
        <v>558</v>
      </c>
      <c r="ABQ11" s="119" t="s">
        <v>558</v>
      </c>
      <c r="ABR11" s="119" t="s">
        <v>558</v>
      </c>
      <c r="ABS11" s="119" t="s">
        <v>558</v>
      </c>
      <c r="ABT11" s="119" t="s">
        <v>558</v>
      </c>
      <c r="ABU11" s="293"/>
      <c r="ABV11" s="119" t="s">
        <v>558</v>
      </c>
      <c r="ABW11" s="119" t="s">
        <v>558</v>
      </c>
      <c r="ABX11" s="119" t="s">
        <v>558</v>
      </c>
      <c r="ABY11" s="119" t="s">
        <v>558</v>
      </c>
      <c r="ABZ11" s="119" t="s">
        <v>558</v>
      </c>
      <c r="ACA11" s="293"/>
      <c r="ACB11" s="359" t="s">
        <v>559</v>
      </c>
      <c r="ACC11" s="128" t="s">
        <v>560</v>
      </c>
      <c r="ACD11" s="129" t="s">
        <v>561</v>
      </c>
      <c r="ACE11" s="128" t="s">
        <v>562</v>
      </c>
      <c r="ACF11" s="360" t="s">
        <v>563</v>
      </c>
      <c r="ACG11" s="361" t="s">
        <v>564</v>
      </c>
      <c r="ACH11" s="362" t="s">
        <v>565</v>
      </c>
      <c r="ACI11" s="128" t="s">
        <v>399</v>
      </c>
      <c r="ACJ11" s="128" t="s">
        <v>400</v>
      </c>
      <c r="ACL11" s="119" t="s">
        <v>567</v>
      </c>
      <c r="ACM11" s="119" t="s">
        <v>567</v>
      </c>
      <c r="ACN11" s="119" t="s">
        <v>567</v>
      </c>
      <c r="ACO11" s="119" t="s">
        <v>567</v>
      </c>
      <c r="ACP11" s="119" t="s">
        <v>567</v>
      </c>
      <c r="ACQ11" s="119" t="s">
        <v>567</v>
      </c>
      <c r="ACR11" s="119" t="s">
        <v>567</v>
      </c>
      <c r="ACS11" s="119" t="s">
        <v>567</v>
      </c>
      <c r="ACT11" s="119" t="s">
        <v>567</v>
      </c>
      <c r="ACU11" s="119" t="s">
        <v>567</v>
      </c>
      <c r="ACV11" s="119" t="s">
        <v>567</v>
      </c>
      <c r="ACW11" s="119" t="s">
        <v>20</v>
      </c>
      <c r="ACY11" s="293"/>
      <c r="ACZ11" s="293"/>
      <c r="ADA11" s="119" t="s">
        <v>18</v>
      </c>
      <c r="ADB11" s="119" t="s">
        <v>18</v>
      </c>
      <c r="ADC11" s="119" t="s">
        <v>18</v>
      </c>
      <c r="ADD11" s="119" t="s">
        <v>18</v>
      </c>
      <c r="ADE11" s="119" t="s">
        <v>18</v>
      </c>
      <c r="ADF11" s="119" t="s">
        <v>18</v>
      </c>
      <c r="ADG11" s="119" t="s">
        <v>18</v>
      </c>
      <c r="ADH11" s="119" t="s">
        <v>18</v>
      </c>
      <c r="ADI11" s="119" t="s">
        <v>18</v>
      </c>
      <c r="ADJ11" s="119" t="s">
        <v>18</v>
      </c>
      <c r="ADK11" s="119" t="s">
        <v>18</v>
      </c>
      <c r="ADL11" s="119" t="s">
        <v>18</v>
      </c>
      <c r="ADM11" s="119" t="s">
        <v>18</v>
      </c>
      <c r="ADN11" s="119" t="s">
        <v>18</v>
      </c>
      <c r="ADO11" s="119" t="s">
        <v>18</v>
      </c>
      <c r="ADP11" s="119" t="s">
        <v>18</v>
      </c>
      <c r="ADR11" s="359" t="s">
        <v>559</v>
      </c>
      <c r="ADS11" s="128" t="s">
        <v>560</v>
      </c>
      <c r="ADT11" s="129" t="s">
        <v>561</v>
      </c>
      <c r="ADU11" s="128" t="s">
        <v>562</v>
      </c>
      <c r="ADV11" s="360" t="s">
        <v>563</v>
      </c>
      <c r="ADW11" s="361" t="s">
        <v>564</v>
      </c>
      <c r="ADX11" s="362" t="s">
        <v>565</v>
      </c>
      <c r="ADY11" s="128" t="s">
        <v>399</v>
      </c>
      <c r="ADZ11" s="128" t="s">
        <v>400</v>
      </c>
      <c r="AEB11" s="119" t="s">
        <v>18</v>
      </c>
      <c r="AEC11" s="119" t="s">
        <v>18</v>
      </c>
      <c r="AED11" s="119" t="s">
        <v>18</v>
      </c>
      <c r="AEE11" s="119" t="s">
        <v>18</v>
      </c>
      <c r="AEF11" s="119" t="s">
        <v>18</v>
      </c>
      <c r="AEG11" s="119" t="s">
        <v>18</v>
      </c>
      <c r="AEH11" s="119" t="s">
        <v>18</v>
      </c>
      <c r="AEI11" s="119" t="s">
        <v>18</v>
      </c>
      <c r="AEJ11" s="119" t="s">
        <v>18</v>
      </c>
      <c r="AEK11" s="119" t="s">
        <v>18</v>
      </c>
      <c r="AEM11" s="119" t="s">
        <v>549</v>
      </c>
      <c r="AEN11" s="119" t="s">
        <v>549</v>
      </c>
      <c r="AEO11" s="119" t="s">
        <v>549</v>
      </c>
      <c r="AEP11" s="119" t="s">
        <v>549</v>
      </c>
      <c r="AEQ11" s="119" t="s">
        <v>549</v>
      </c>
      <c r="AER11" s="119" t="s">
        <v>549</v>
      </c>
      <c r="AES11" s="119" t="s">
        <v>549</v>
      </c>
      <c r="AET11" s="119" t="s">
        <v>549</v>
      </c>
      <c r="AEU11" s="119" t="s">
        <v>549</v>
      </c>
      <c r="AEV11" s="119" t="s">
        <v>549</v>
      </c>
      <c r="AEW11" s="119" t="s">
        <v>549</v>
      </c>
      <c r="AEY11" s="119" t="s">
        <v>567</v>
      </c>
      <c r="AEZ11" s="119" t="s">
        <v>567</v>
      </c>
      <c r="AFA11" s="119" t="s">
        <v>567</v>
      </c>
      <c r="AFB11" s="119" t="s">
        <v>567</v>
      </c>
      <c r="AFC11" s="119" t="s">
        <v>567</v>
      </c>
      <c r="AFD11" s="119" t="s">
        <v>567</v>
      </c>
      <c r="AFE11" s="119" t="s">
        <v>567</v>
      </c>
      <c r="AFF11" s="119" t="s">
        <v>567</v>
      </c>
      <c r="AFG11" s="119" t="s">
        <v>567</v>
      </c>
      <c r="AFH11" s="119" t="s">
        <v>567</v>
      </c>
      <c r="AFI11" s="119" t="s">
        <v>567</v>
      </c>
      <c r="AFK11" s="119" t="s">
        <v>567</v>
      </c>
      <c r="AFL11" s="119" t="s">
        <v>567</v>
      </c>
      <c r="AFM11" s="119" t="s">
        <v>567</v>
      </c>
      <c r="AFN11" s="119" t="s">
        <v>567</v>
      </c>
      <c r="AFO11" s="119" t="s">
        <v>567</v>
      </c>
      <c r="AFP11" s="119" t="s">
        <v>567</v>
      </c>
      <c r="AFQ11" s="119" t="s">
        <v>567</v>
      </c>
      <c r="AFR11" s="119" t="s">
        <v>567</v>
      </c>
      <c r="AFS11" s="119" t="s">
        <v>567</v>
      </c>
      <c r="AFT11" s="119" t="s">
        <v>567</v>
      </c>
      <c r="AFU11" s="119" t="s">
        <v>567</v>
      </c>
      <c r="AFV11" s="119" t="s">
        <v>20</v>
      </c>
      <c r="AFX11" s="119" t="s">
        <v>567</v>
      </c>
      <c r="AFZ11" s="119" t="s">
        <v>604</v>
      </c>
      <c r="AGA11" s="119" t="s">
        <v>604</v>
      </c>
      <c r="AGB11" s="119" t="s">
        <v>604</v>
      </c>
      <c r="AGC11" s="119" t="s">
        <v>604</v>
      </c>
      <c r="AGD11" s="119" t="s">
        <v>604</v>
      </c>
      <c r="AGF11" s="119" t="s">
        <v>605</v>
      </c>
      <c r="AGG11" s="119" t="s">
        <v>605</v>
      </c>
      <c r="AGH11" s="119" t="s">
        <v>605</v>
      </c>
      <c r="AGI11" s="119" t="s">
        <v>605</v>
      </c>
      <c r="AGJ11" s="119" t="s">
        <v>605</v>
      </c>
      <c r="AGL11" s="306"/>
      <c r="AGM11" s="119" t="s">
        <v>606</v>
      </c>
      <c r="AGN11" s="119" t="s">
        <v>606</v>
      </c>
      <c r="AGO11" s="119" t="s">
        <v>606</v>
      </c>
      <c r="AGP11" s="119" t="s">
        <v>606</v>
      </c>
      <c r="AGQ11" s="119" t="s">
        <v>606</v>
      </c>
      <c r="AGR11" s="119" t="s">
        <v>606</v>
      </c>
      <c r="AGS11" s="119" t="s">
        <v>606</v>
      </c>
      <c r="AGT11" s="119" t="s">
        <v>606</v>
      </c>
      <c r="AGU11" s="119" t="s">
        <v>606</v>
      </c>
      <c r="AGV11" s="119" t="s">
        <v>606</v>
      </c>
      <c r="AGW11" s="119" t="s">
        <v>606</v>
      </c>
      <c r="AGX11" s="119" t="s">
        <v>606</v>
      </c>
      <c r="AGY11" s="119" t="s">
        <v>606</v>
      </c>
      <c r="AGZ11" s="119" t="s">
        <v>606</v>
      </c>
      <c r="AHA11" s="119" t="s">
        <v>606</v>
      </c>
      <c r="AHB11" s="119" t="s">
        <v>606</v>
      </c>
      <c r="AHC11" s="119" t="s">
        <v>606</v>
      </c>
      <c r="AHD11" s="227"/>
      <c r="AHE11" s="119" t="s">
        <v>607</v>
      </c>
      <c r="AHF11" s="119" t="s">
        <v>607</v>
      </c>
      <c r="AHG11" s="119" t="s">
        <v>607</v>
      </c>
      <c r="AHH11" s="119" t="s">
        <v>607</v>
      </c>
      <c r="AHI11" s="119" t="s">
        <v>607</v>
      </c>
      <c r="AHJ11" s="119" t="s">
        <v>607</v>
      </c>
      <c r="AHK11" s="119" t="s">
        <v>607</v>
      </c>
      <c r="AHL11" s="119" t="s">
        <v>607</v>
      </c>
      <c r="AHM11" s="119" t="s">
        <v>607</v>
      </c>
      <c r="AHN11" s="119" t="s">
        <v>607</v>
      </c>
      <c r="AHO11" s="119" t="s">
        <v>607</v>
      </c>
      <c r="AHP11" s="119" t="s">
        <v>607</v>
      </c>
      <c r="AHQ11" s="227"/>
      <c r="AHR11" s="119" t="s">
        <v>608</v>
      </c>
      <c r="AHS11" s="119" t="s">
        <v>608</v>
      </c>
      <c r="AHT11" s="119" t="s">
        <v>608</v>
      </c>
      <c r="AHU11" s="119" t="s">
        <v>608</v>
      </c>
      <c r="AHV11" s="119" t="s">
        <v>608</v>
      </c>
      <c r="AHW11" s="119" t="s">
        <v>608</v>
      </c>
      <c r="AHX11" s="119" t="s">
        <v>608</v>
      </c>
      <c r="AHY11" s="119" t="s">
        <v>608</v>
      </c>
      <c r="AHZ11" s="119" t="s">
        <v>608</v>
      </c>
      <c r="AIA11" s="119" t="s">
        <v>608</v>
      </c>
      <c r="AIB11" s="119" t="s">
        <v>608</v>
      </c>
    </row>
    <row r="12" spans="1:944" s="374" customFormat="1" ht="15" customHeight="1" x14ac:dyDescent="0.45">
      <c r="A12" s="125" t="s">
        <v>333</v>
      </c>
      <c r="B12" s="110" t="str">
        <f>B8</f>
        <v>Meta Platforms, Inc.</v>
      </c>
      <c r="C12" s="721" t="str">
        <f>'DIY Grundmodell'!A2</f>
        <v>Meta Platforms, Inc.</v>
      </c>
      <c r="D12" s="110" t="str">
        <f>'DIY Grundmodell'!A1</f>
        <v>NasdaqGS:META</v>
      </c>
      <c r="E12" s="110" t="s">
        <v>368</v>
      </c>
      <c r="F12" s="110" t="s">
        <v>576</v>
      </c>
      <c r="G12" s="967" t="s">
        <v>334</v>
      </c>
      <c r="H12" s="110" t="s">
        <v>649</v>
      </c>
      <c r="I12" s="110" t="s">
        <v>649</v>
      </c>
      <c r="J12" s="110" t="s">
        <v>444</v>
      </c>
      <c r="K12" s="110" t="s">
        <v>358</v>
      </c>
      <c r="L12" s="968" t="s">
        <v>358</v>
      </c>
      <c r="M12" s="364" t="s">
        <v>364</v>
      </c>
      <c r="N12" s="365">
        <v>8.7862799999999996</v>
      </c>
      <c r="O12" s="110" t="s">
        <v>363</v>
      </c>
      <c r="P12" s="110"/>
      <c r="Q12" s="213"/>
      <c r="R12" s="366">
        <v>676.87</v>
      </c>
      <c r="S12" s="366">
        <v>479.8</v>
      </c>
      <c r="T12" s="366">
        <v>796.25</v>
      </c>
      <c r="U12" s="366">
        <v>614</v>
      </c>
      <c r="V12" s="366">
        <v>857.5</v>
      </c>
      <c r="W12" s="366">
        <v>1015</v>
      </c>
      <c r="X12" s="213"/>
      <c r="Y12" s="367">
        <v>46022</v>
      </c>
      <c r="Z12" s="368">
        <v>2025</v>
      </c>
      <c r="AA12" s="367">
        <v>46022</v>
      </c>
      <c r="AB12" s="213"/>
      <c r="AC12" s="120">
        <v>2529.55546</v>
      </c>
      <c r="AD12" s="369">
        <v>0.86334169999999999</v>
      </c>
      <c r="AE12" s="120">
        <v>1712180.20692</v>
      </c>
      <c r="AF12" s="120">
        <v>3489</v>
      </c>
      <c r="AG12" s="213"/>
      <c r="AH12" s="120">
        <v>81592</v>
      </c>
      <c r="AI12" s="120">
        <v>0</v>
      </c>
      <c r="AJ12" s="120">
        <v>96862.515253533027</v>
      </c>
      <c r="AK12" s="120">
        <v>0</v>
      </c>
      <c r="AL12" s="120">
        <v>0</v>
      </c>
      <c r="AM12" s="120">
        <v>0</v>
      </c>
      <c r="AN12" s="120">
        <v>27524</v>
      </c>
      <c r="AO12" s="213"/>
      <c r="AP12" s="371">
        <v>2.1043478260869564</v>
      </c>
      <c r="AQ12" s="371">
        <v>2.2446199999999998</v>
      </c>
      <c r="AR12" s="213"/>
      <c r="AS12" s="372">
        <v>1.30951</v>
      </c>
      <c r="AT12" s="372">
        <v>0.23222999999999999</v>
      </c>
      <c r="AU12" s="213"/>
      <c r="AV12" s="120">
        <v>101892</v>
      </c>
      <c r="AW12" s="164">
        <f>AF12/AV12</f>
        <v>3.4242138735131315E-2</v>
      </c>
      <c r="AX12" s="405">
        <v>71.481549999999999</v>
      </c>
      <c r="AY12" s="969">
        <v>16.838114934636675</v>
      </c>
      <c r="AZ12" s="969">
        <v>16.838114934636675</v>
      </c>
      <c r="BA12" s="970">
        <v>12.130314359588933</v>
      </c>
      <c r="BB12" s="971">
        <v>20.60220479994236</v>
      </c>
      <c r="BC12" s="969">
        <v>20.60220479994236</v>
      </c>
      <c r="BD12" s="970">
        <v>22.084607136402603</v>
      </c>
      <c r="BE12" s="972" t="s">
        <v>334</v>
      </c>
      <c r="BF12" s="730" t="s">
        <v>334</v>
      </c>
      <c r="BG12" s="973" t="s">
        <v>334</v>
      </c>
      <c r="BH12" s="972" t="s">
        <v>334</v>
      </c>
      <c r="BI12" s="730" t="s">
        <v>334</v>
      </c>
      <c r="BJ12" s="973" t="s">
        <v>334</v>
      </c>
      <c r="BK12" s="972" t="s">
        <v>334</v>
      </c>
      <c r="BL12" s="730" t="s">
        <v>334</v>
      </c>
      <c r="BM12" s="974" t="s">
        <v>334</v>
      </c>
      <c r="BN12" s="370"/>
      <c r="BO12" s="975">
        <v>0.30315780636817469</v>
      </c>
      <c r="BP12" s="976">
        <v>0.34866944577653758</v>
      </c>
      <c r="BQ12" s="972" t="s">
        <v>334</v>
      </c>
      <c r="BR12" s="730" t="s">
        <v>334</v>
      </c>
      <c r="BS12" s="370"/>
      <c r="BT12" s="410">
        <v>0.27338307879318413</v>
      </c>
      <c r="BU12" s="408">
        <v>17928</v>
      </c>
      <c r="BV12" s="408">
        <v>27638</v>
      </c>
      <c r="BW12" s="408">
        <v>40653</v>
      </c>
      <c r="BX12" s="408">
        <v>55838</v>
      </c>
      <c r="BY12" s="408">
        <v>70697</v>
      </c>
      <c r="BZ12" s="408">
        <v>85965</v>
      </c>
      <c r="CA12" s="408">
        <v>117929</v>
      </c>
      <c r="CB12" s="408">
        <v>116609</v>
      </c>
      <c r="CC12" s="408">
        <v>134902</v>
      </c>
      <c r="CD12" s="408">
        <v>164501</v>
      </c>
      <c r="CE12" s="408">
        <v>200966</v>
      </c>
      <c r="CF12" s="370"/>
      <c r="CG12" s="408">
        <v>170360</v>
      </c>
      <c r="CH12" s="408">
        <v>200966</v>
      </c>
      <c r="CI12" s="408">
        <v>250863.95</v>
      </c>
      <c r="CJ12" s="370"/>
      <c r="CK12" s="375" t="s">
        <v>444</v>
      </c>
      <c r="CL12" s="375" t="s">
        <v>445</v>
      </c>
      <c r="CM12" s="375" t="s">
        <v>446</v>
      </c>
      <c r="CN12" s="375" t="s">
        <v>447</v>
      </c>
      <c r="CO12" s="375" t="s">
        <v>448</v>
      </c>
      <c r="CP12" s="375" t="s">
        <v>449</v>
      </c>
      <c r="CQ12" s="375" t="s">
        <v>450</v>
      </c>
      <c r="CR12" s="375" t="s">
        <v>451</v>
      </c>
      <c r="CS12" s="375" t="s">
        <v>452</v>
      </c>
      <c r="CT12" s="375" t="s">
        <v>453</v>
      </c>
      <c r="CU12" s="370" t="s">
        <v>24</v>
      </c>
      <c r="CV12" s="112">
        <v>74780</v>
      </c>
      <c r="CW12" s="112">
        <v>4086</v>
      </c>
      <c r="CX12" s="112">
        <v>46569</v>
      </c>
      <c r="CY12" s="112">
        <v>53817</v>
      </c>
      <c r="CZ12" s="112">
        <v>21714</v>
      </c>
      <c r="DA12" s="112">
        <v>0</v>
      </c>
      <c r="DB12" s="112">
        <v>0</v>
      </c>
      <c r="DC12" s="112">
        <v>0</v>
      </c>
      <c r="DD12" s="112">
        <v>0</v>
      </c>
      <c r="DE12" s="112">
        <v>0</v>
      </c>
      <c r="DF12" s="112">
        <f>MAX(0,$CE12-SUM(CV12:DE12))</f>
        <v>0</v>
      </c>
      <c r="DG12" s="370"/>
      <c r="DH12" s="375" t="s">
        <v>454</v>
      </c>
      <c r="DI12" s="375" t="s">
        <v>455</v>
      </c>
      <c r="DJ12" s="375" t="s">
        <v>456</v>
      </c>
      <c r="DK12" s="375" t="s">
        <v>457</v>
      </c>
      <c r="DL12" s="375" t="s">
        <v>457</v>
      </c>
      <c r="DM12" s="375" t="s">
        <v>457</v>
      </c>
      <c r="DN12" s="375" t="s">
        <v>457</v>
      </c>
      <c r="DO12" s="375" t="s">
        <v>457</v>
      </c>
      <c r="DP12" s="375" t="s">
        <v>457</v>
      </c>
      <c r="DQ12" s="375" t="s">
        <v>457</v>
      </c>
      <c r="DR12" s="370" t="s">
        <v>24</v>
      </c>
      <c r="DS12" s="112">
        <v>198759</v>
      </c>
      <c r="DT12" s="112">
        <v>2207</v>
      </c>
      <c r="DU12" s="112">
        <v>0</v>
      </c>
      <c r="DV12" s="112">
        <v>0</v>
      </c>
      <c r="DW12" s="112">
        <v>0</v>
      </c>
      <c r="DX12" s="112">
        <v>0</v>
      </c>
      <c r="DY12" s="112">
        <v>0</v>
      </c>
      <c r="DZ12" s="112">
        <v>0</v>
      </c>
      <c r="EA12" s="112">
        <v>0</v>
      </c>
      <c r="EB12" s="112">
        <v>0</v>
      </c>
      <c r="EC12" s="112">
        <f>MAX(0,$CE12-SUM(DS12:EB12))</f>
        <v>0</v>
      </c>
      <c r="ED12" s="370"/>
      <c r="EE12" s="377">
        <v>2025</v>
      </c>
      <c r="EF12" s="120" t="s">
        <v>458</v>
      </c>
      <c r="EG12" s="120" t="s">
        <v>459</v>
      </c>
      <c r="EH12" s="120" t="s">
        <v>460</v>
      </c>
      <c r="EI12" s="120" t="s">
        <v>461</v>
      </c>
      <c r="EJ12" s="120" t="s">
        <v>462</v>
      </c>
      <c r="EK12" s="120" t="s">
        <v>463</v>
      </c>
      <c r="EL12" s="370"/>
      <c r="EM12" s="120">
        <v>250863.95</v>
      </c>
      <c r="EN12" s="120">
        <v>298236</v>
      </c>
      <c r="EO12" s="120">
        <v>347061</v>
      </c>
      <c r="EP12" s="120">
        <v>399215</v>
      </c>
      <c r="EQ12" s="120">
        <v>453057</v>
      </c>
      <c r="ER12" s="120">
        <v>505247</v>
      </c>
      <c r="ES12" s="370"/>
      <c r="ET12" s="410">
        <f t="shared" ref="ET12" si="2">FH12/CH12</f>
        <v>0.41437855159579234</v>
      </c>
      <c r="EU12" s="120">
        <v>6225</v>
      </c>
      <c r="EV12" s="120">
        <v>12427</v>
      </c>
      <c r="EW12" s="120">
        <v>20203</v>
      </c>
      <c r="EX12" s="120">
        <v>24913</v>
      </c>
      <c r="EY12" s="120">
        <v>28986</v>
      </c>
      <c r="EZ12" s="120">
        <v>32671</v>
      </c>
      <c r="FA12" s="120">
        <v>46753</v>
      </c>
      <c r="FB12" s="120">
        <v>33555</v>
      </c>
      <c r="FC12" s="120">
        <v>46751</v>
      </c>
      <c r="FD12" s="120">
        <v>69380</v>
      </c>
      <c r="FE12" s="120">
        <v>83276</v>
      </c>
      <c r="FF12" s="390"/>
      <c r="FG12" s="120">
        <v>73506</v>
      </c>
      <c r="FH12" s="120">
        <v>83276</v>
      </c>
      <c r="FI12" s="120">
        <v>86128</v>
      </c>
      <c r="FJ12" s="390"/>
      <c r="FK12" s="120">
        <v>86128</v>
      </c>
      <c r="FL12" s="120">
        <v>101254.1</v>
      </c>
      <c r="FM12" s="120">
        <v>118644</v>
      </c>
      <c r="FN12" s="120">
        <v>138640</v>
      </c>
      <c r="FO12" s="120">
        <v>168655</v>
      </c>
      <c r="FP12" s="390"/>
      <c r="FQ12" s="410">
        <f>SUM(FS12:GB12)/SUM(EV12:FE12)</f>
        <v>0.19104571149242319</v>
      </c>
      <c r="FR12" s="120">
        <v>2506</v>
      </c>
      <c r="FS12" s="120">
        <v>2301</v>
      </c>
      <c r="FT12" s="120">
        <v>4660</v>
      </c>
      <c r="FU12" s="120">
        <v>3249</v>
      </c>
      <c r="FV12" s="120">
        <v>6327</v>
      </c>
      <c r="FW12" s="120">
        <v>4034</v>
      </c>
      <c r="FX12" s="120">
        <v>7914</v>
      </c>
      <c r="FY12" s="120">
        <v>5619</v>
      </c>
      <c r="FZ12" s="120">
        <v>8330</v>
      </c>
      <c r="GA12" s="120">
        <v>8303</v>
      </c>
      <c r="GB12" s="120">
        <v>25474</v>
      </c>
      <c r="GC12" s="390"/>
      <c r="GD12" s="120">
        <v>8227</v>
      </c>
      <c r="GE12" s="120">
        <v>25474</v>
      </c>
      <c r="GF12" s="120">
        <v>12083</v>
      </c>
      <c r="GG12" s="390"/>
      <c r="GH12" s="390"/>
      <c r="GI12" s="390"/>
      <c r="GJ12" s="120">
        <v>-4134</v>
      </c>
      <c r="GK12" s="120">
        <v>-3544</v>
      </c>
      <c r="GL12" s="120">
        <v>-12925</v>
      </c>
      <c r="GM12" s="120">
        <v>-17956</v>
      </c>
      <c r="GN12" s="120">
        <v>-23020</v>
      </c>
      <c r="GO12" s="120">
        <v>-14833</v>
      </c>
      <c r="GP12" s="120">
        <v>-22967</v>
      </c>
      <c r="GQ12" s="120">
        <v>-16693</v>
      </c>
      <c r="GR12" s="120">
        <v>-33139</v>
      </c>
      <c r="GS12" s="120">
        <v>-68906</v>
      </c>
      <c r="GT12" s="390"/>
      <c r="GU12" s="120">
        <f t="shared" ref="GU12" si="3">SUM(GJ12:GS12)</f>
        <v>-218117</v>
      </c>
      <c r="GV12" s="120"/>
      <c r="GW12" s="376"/>
      <c r="GX12" s="379"/>
      <c r="GY12" s="376"/>
      <c r="GZ12" s="376"/>
      <c r="HA12" s="120">
        <v>3719</v>
      </c>
      <c r="HB12" s="120">
        <v>10126</v>
      </c>
      <c r="HC12" s="120">
        <v>15543</v>
      </c>
      <c r="HD12" s="120">
        <v>21664</v>
      </c>
      <c r="HE12" s="120">
        <v>22659</v>
      </c>
      <c r="HF12" s="120">
        <v>28637</v>
      </c>
      <c r="HG12" s="120">
        <v>38839</v>
      </c>
      <c r="HH12" s="120">
        <v>27936</v>
      </c>
      <c r="HI12" s="120">
        <v>38421</v>
      </c>
      <c r="HJ12" s="120">
        <v>61077</v>
      </c>
      <c r="HK12" s="120">
        <v>57802</v>
      </c>
      <c r="HL12" s="707"/>
      <c r="HM12" s="120">
        <v>65279</v>
      </c>
      <c r="HN12" s="120">
        <v>57802</v>
      </c>
      <c r="HO12" s="120">
        <f t="shared" ref="HO12" si="4">FI12-GF12</f>
        <v>74045</v>
      </c>
      <c r="HP12" s="390"/>
      <c r="HQ12" s="379"/>
      <c r="HR12" s="390"/>
      <c r="HS12" s="111">
        <v>0.18883562185798319</v>
      </c>
      <c r="HT12" s="111">
        <v>0.16371263026596394</v>
      </c>
      <c r="HU12" s="111">
        <v>0.15027329489628616</v>
      </c>
      <c r="HV12" s="111">
        <v>0.13486968175043512</v>
      </c>
      <c r="HW12" s="111">
        <v>0.11519521826171975</v>
      </c>
      <c r="HX12" s="709"/>
      <c r="HY12" s="112">
        <v>0</v>
      </c>
      <c r="HZ12" s="111">
        <f>IF(OR(CI12=0,CH12=0),EM12/CE12-1,CI12/CH12-1)</f>
        <v>0.24829050685190546</v>
      </c>
      <c r="IA12" s="111">
        <f>IFERROR(MIN(IF(HS12=0,HZ12+($NU12-$HZ12)/9,IF(HT12=0,HS12,(HS12*(12-$HY12)+HT12*$HY12)/12)),IF(EO12/EM12-1&lt;=-100%,HZ12+($NU12-$HZ12)/9,IF(CI12=0,EM12/CH12-1,EO12/CI12-1))),HZ12+($NU12-$HZ12)/9)</f>
        <v>0.18883562185798319</v>
      </c>
      <c r="IB12" s="111">
        <f>IFERROR(MIN(IF(HT12=0,IA12+($NU12-$HZ12)/9,IF(HU12=0,HT12,(HT12*(12-$HY12)+HU12*$HY12)/12)),IF(EP12/EN12-1&lt;=-100%,IA12+($NU12-$HZ12)/9,IF(EM12=0,EN12/CI12-1,EP12/EM12-1))),IA12+($NU12-$HZ12)/9)</f>
        <v>0.16371263026596394</v>
      </c>
      <c r="IC12" s="111">
        <f>IFERROR(MIN(IF(HU12=0,IB12+($NU12-$HZ12)/9,IF(HV12=0,HU12,(HU12*(12-$HY12)+HV12*$HY12)/12)),IF(EQ12/EO12-1&lt;=-100%,IB12+($NU12-$HZ12)/9,IF(EN12=0,EO12/EM12-1,EQ12/EN12-1))),IB12+($NU12-$HZ12)/9)</f>
        <v>0.15027329489628616</v>
      </c>
      <c r="ID12" s="111">
        <f>IFERROR(MIN(IF(HV12=0,IC12+($NU12-$HZ12)/9,IF(HW12=0,HV12,(HV12*(12-$HY12)+HW12*$HY12)/12)),IF(ER12/EP12-1&lt;=-100%,IC12+($NU12-$HZ12)/9,IF(EO12=0,EP12/EN12-1,ER12/EO12-1))),IC12+($NU12-$HZ12)/9)</f>
        <v>0.13486968175043512</v>
      </c>
      <c r="IE12" s="709"/>
      <c r="IF12" s="111">
        <v>0.24829050685190546</v>
      </c>
      <c r="IG12" s="111">
        <v>0.18883562185798319</v>
      </c>
      <c r="IH12" s="111">
        <v>0.16371263026596394</v>
      </c>
      <c r="II12" s="111">
        <v>0.15027329489628616</v>
      </c>
      <c r="IJ12" s="111">
        <v>0.13486968175043512</v>
      </c>
      <c r="IK12" s="390"/>
      <c r="IL12" s="111">
        <v>4.3200000000000002E-2</v>
      </c>
      <c r="IM12" s="390"/>
      <c r="IN12" s="111">
        <v>0.34332553561402501</v>
      </c>
      <c r="IO12" s="111">
        <v>0.33950998538070526</v>
      </c>
      <c r="IP12" s="111">
        <v>0.34185344939362244</v>
      </c>
      <c r="IQ12" s="111">
        <v>0.34728154002229378</v>
      </c>
      <c r="IR12" s="111">
        <v>0.37226000260452879</v>
      </c>
      <c r="IS12" s="709"/>
      <c r="IT12" s="111">
        <v>0.34332553561402501</v>
      </c>
      <c r="IU12" s="111">
        <v>0.33950998538070526</v>
      </c>
      <c r="IV12" s="111">
        <v>0.34185344939362244</v>
      </c>
      <c r="IW12" s="390"/>
      <c r="IX12" s="375" t="s">
        <v>454</v>
      </c>
      <c r="IY12" s="252">
        <v>198759</v>
      </c>
      <c r="IZ12" s="386">
        <v>0.41418108925591723</v>
      </c>
      <c r="JA12" s="386">
        <v>0.39668088426086884</v>
      </c>
      <c r="JB12" s="386">
        <v>0.21385703132067158</v>
      </c>
      <c r="JC12" s="386">
        <v>0.30766810445426018</v>
      </c>
      <c r="JD12" s="386">
        <v>0.33279028141260203</v>
      </c>
      <c r="JE12" s="270"/>
      <c r="JF12" s="390"/>
      <c r="JG12" s="111">
        <v>0.25</v>
      </c>
      <c r="JH12" s="709"/>
      <c r="JI12" s="111">
        <v>0.6759042342208339</v>
      </c>
      <c r="JJ12" s="111">
        <v>0.35358588984580186</v>
      </c>
      <c r="JK12" s="111">
        <f t="shared" ref="JK12" si="5">MEDIAN(VW12:WF12)</f>
        <v>0.36481591061643281</v>
      </c>
      <c r="JL12" s="111">
        <f>-WS12/SUM(VJ12:VS12)</f>
        <v>0.37815701843839833</v>
      </c>
      <c r="JM12" s="710"/>
      <c r="JN12" s="709"/>
      <c r="JO12" s="111">
        <v>0.37210274374769864</v>
      </c>
      <c r="JP12" s="111">
        <v>2.0331797418468796E-2</v>
      </c>
      <c r="JQ12" s="111">
        <v>0.23172576455718877</v>
      </c>
      <c r="JR12" s="111">
        <v>0.26779156673268117</v>
      </c>
      <c r="JS12" s="111">
        <v>0.10804812754396266</v>
      </c>
      <c r="JT12" s="111">
        <v>0</v>
      </c>
      <c r="JU12" s="111">
        <v>0</v>
      </c>
      <c r="JV12" s="111">
        <v>0</v>
      </c>
      <c r="JW12" s="111">
        <v>0</v>
      </c>
      <c r="JX12" s="111">
        <v>0</v>
      </c>
      <c r="JY12" s="111">
        <f t="shared" ref="JY12" si="6">100%-SUM(JO12:JX12)</f>
        <v>0</v>
      </c>
      <c r="JZ12" s="111">
        <f t="shared" ref="JZ12" si="7">SUM(JO12:JY12)</f>
        <v>1</v>
      </c>
      <c r="KA12" s="390"/>
      <c r="KB12" s="371">
        <v>48.621299999999998</v>
      </c>
      <c r="KC12" s="371">
        <v>23.055399999999999</v>
      </c>
      <c r="KD12" s="371">
        <v>45.324573763307427</v>
      </c>
      <c r="KE12" s="371">
        <v>164.73654006483679</v>
      </c>
      <c r="KF12" s="371">
        <v>107.12521755483326</v>
      </c>
      <c r="KG12" s="371">
        <v>107.12521755483326</v>
      </c>
      <c r="KH12" s="371">
        <v>47.417220498195185</v>
      </c>
      <c r="KI12" s="371">
        <v>151.12594471614122</v>
      </c>
      <c r="KJ12" s="371">
        <v>56.203800000000001</v>
      </c>
      <c r="KK12" s="371">
        <v>14.2821</v>
      </c>
      <c r="KL12" s="371">
        <f t="shared" ref="KL12" si="8">IFERROR(MAX(KB12:KC12),"")</f>
        <v>48.621299999999998</v>
      </c>
      <c r="KM12" s="390"/>
      <c r="KN12" s="111">
        <v>6.3299204999999997E-2</v>
      </c>
      <c r="KO12" s="111">
        <v>6.0742615E-2</v>
      </c>
      <c r="KP12" s="111">
        <v>6.2969532376330739E-2</v>
      </c>
      <c r="KQ12" s="111">
        <v>7.4910729006483684E-2</v>
      </c>
      <c r="KR12" s="111">
        <v>6.9149596755483322E-2</v>
      </c>
      <c r="KS12" s="111">
        <v>0</v>
      </c>
      <c r="KT12" s="111">
        <v>0</v>
      </c>
      <c r="KU12" s="111">
        <v>0</v>
      </c>
      <c r="KV12" s="111">
        <v>0</v>
      </c>
      <c r="KW12" s="111">
        <v>0</v>
      </c>
      <c r="KX12" s="111">
        <v>0</v>
      </c>
      <c r="KY12" s="390"/>
      <c r="KZ12" s="111">
        <v>6.6912423369693594E-2</v>
      </c>
      <c r="LA12" s="111">
        <v>6.3299204999999997E-2</v>
      </c>
      <c r="LB12" s="111">
        <v>6.6912423369693594E-2</v>
      </c>
      <c r="LC12" s="390"/>
      <c r="LD12" s="111">
        <v>0.98901804285301986</v>
      </c>
      <c r="LE12" s="111">
        <v>1.0981957146980087E-2</v>
      </c>
      <c r="LF12" s="111">
        <v>0</v>
      </c>
      <c r="LG12" s="111">
        <v>0</v>
      </c>
      <c r="LH12" s="111">
        <v>0</v>
      </c>
      <c r="LI12" s="111">
        <v>0</v>
      </c>
      <c r="LJ12" s="111">
        <v>0</v>
      </c>
      <c r="LK12" s="111">
        <v>0</v>
      </c>
      <c r="LL12" s="111">
        <v>0</v>
      </c>
      <c r="LM12" s="111">
        <v>0</v>
      </c>
      <c r="LN12" s="111">
        <f t="shared" ref="LN12" si="9">IFERROR(EC12/SUM($DS12:$EC12),"")</f>
        <v>0</v>
      </c>
      <c r="LO12" s="111">
        <f t="shared" ref="LO12" si="10">IFERROR(SUM(LD12:LN12),"")</f>
        <v>1</v>
      </c>
      <c r="LP12" s="390"/>
      <c r="LQ12" s="121">
        <v>1.0443053557297128</v>
      </c>
      <c r="LR12" s="121">
        <v>0.97335644339722627</v>
      </c>
      <c r="LS12" s="121">
        <v>0</v>
      </c>
      <c r="LT12" s="121">
        <v>0</v>
      </c>
      <c r="LU12" s="121">
        <v>0</v>
      </c>
      <c r="LV12" s="121">
        <v>0</v>
      </c>
      <c r="LW12" s="121">
        <v>0</v>
      </c>
      <c r="LX12" s="121">
        <v>0</v>
      </c>
      <c r="LY12" s="121">
        <v>0</v>
      </c>
      <c r="LZ12" s="121">
        <v>0</v>
      </c>
      <c r="MA12" s="121">
        <v>1.0443053557297128</v>
      </c>
      <c r="MB12" s="390"/>
      <c r="MC12" s="371">
        <v>1.6543521324687198</v>
      </c>
      <c r="MD12" s="371">
        <v>0.87474165718133134</v>
      </c>
      <c r="ME12" s="371">
        <v>0</v>
      </c>
      <c r="MF12" s="371">
        <v>0</v>
      </c>
      <c r="MG12" s="371">
        <v>0</v>
      </c>
      <c r="MH12" s="371">
        <v>0</v>
      </c>
      <c r="MI12" s="371">
        <v>0</v>
      </c>
      <c r="MJ12" s="371">
        <v>0</v>
      </c>
      <c r="MK12" s="371">
        <v>0</v>
      </c>
      <c r="ML12" s="371">
        <v>0</v>
      </c>
      <c r="MM12" s="371"/>
      <c r="MN12" s="390"/>
      <c r="MO12" s="112">
        <v>328817.37549735029</v>
      </c>
      <c r="MP12" s="112">
        <v>1930.5548373991983</v>
      </c>
      <c r="MQ12" s="112">
        <v>0</v>
      </c>
      <c r="MR12" s="112">
        <v>0</v>
      </c>
      <c r="MS12" s="112">
        <v>0</v>
      </c>
      <c r="MT12" s="112">
        <v>0</v>
      </c>
      <c r="MU12" s="112">
        <v>0</v>
      </c>
      <c r="MV12" s="112">
        <v>0</v>
      </c>
      <c r="MW12" s="112">
        <v>0</v>
      </c>
      <c r="MX12" s="112">
        <v>0</v>
      </c>
      <c r="MY12" s="112"/>
      <c r="MZ12" s="112">
        <v>330747.93033474952</v>
      </c>
      <c r="NA12" s="390"/>
      <c r="NB12" s="111">
        <v>0.99416306298441437</v>
      </c>
      <c r="NC12" s="111">
        <v>5.8369370155855142E-3</v>
      </c>
      <c r="ND12" s="111">
        <v>0</v>
      </c>
      <c r="NE12" s="111">
        <v>0</v>
      </c>
      <c r="NF12" s="111">
        <v>0</v>
      </c>
      <c r="NG12" s="111">
        <v>0</v>
      </c>
      <c r="NH12" s="111">
        <v>0</v>
      </c>
      <c r="NI12" s="111">
        <v>0</v>
      </c>
      <c r="NJ12" s="111">
        <v>0</v>
      </c>
      <c r="NK12" s="111">
        <v>0</v>
      </c>
      <c r="NL12" s="111"/>
      <c r="NM12" s="111">
        <f t="shared" ref="NM12" si="11">SUM(NB12:NL12)</f>
        <v>0.99999999999999989</v>
      </c>
      <c r="NN12" s="390"/>
      <c r="NO12" s="366">
        <v>1.043891231397104</v>
      </c>
      <c r="NP12" s="111">
        <v>5.6572617100729534E-2</v>
      </c>
      <c r="NQ12" s="366">
        <v>0.8</v>
      </c>
      <c r="NR12" s="711">
        <v>1.30951</v>
      </c>
      <c r="NS12" s="382">
        <v>0.85839363178443739</v>
      </c>
      <c r="NT12" s="373">
        <v>-0.52103406684745002</v>
      </c>
      <c r="NU12" s="111">
        <v>4.3200000000000002E-2</v>
      </c>
      <c r="NV12" s="111">
        <v>9.6729938695754886E-2</v>
      </c>
      <c r="NW12" s="111">
        <v>0.10063719810780915</v>
      </c>
      <c r="NX12" s="390"/>
      <c r="NY12" s="380">
        <v>2E-3</v>
      </c>
      <c r="NZ12" s="364" t="s">
        <v>364</v>
      </c>
      <c r="OA12" s="111">
        <v>5.3586666666666671E-2</v>
      </c>
      <c r="OB12" s="712"/>
      <c r="OC12" s="111"/>
      <c r="OD12" s="111">
        <v>5.5586666666666673E-2</v>
      </c>
      <c r="OE12" s="111">
        <v>5.5586666666666673E-2</v>
      </c>
      <c r="OF12" s="111">
        <v>4.1690000000000005E-2</v>
      </c>
      <c r="OG12" s="390"/>
      <c r="OH12" s="111">
        <v>9.3782906635027447E-2</v>
      </c>
      <c r="OI12" s="111">
        <v>8.2953038675466398E-2</v>
      </c>
      <c r="OJ12" s="390"/>
      <c r="OK12" s="383"/>
      <c r="OL12" s="390"/>
      <c r="SH12" s="384"/>
      <c r="SI12" s="111">
        <v>0.17965484855599906</v>
      </c>
      <c r="SJ12" s="111">
        <v>0.24829050685190546</v>
      </c>
      <c r="SK12" s="111">
        <v>0.13218493530058822</v>
      </c>
      <c r="SL12" s="111">
        <v>0.11459884118617475</v>
      </c>
      <c r="SM12" s="111">
        <v>0.10519130642740031</v>
      </c>
      <c r="SN12" s="407">
        <v>9.440877722530458E-2</v>
      </c>
      <c r="SO12" s="111">
        <v>9.440877722530458E-2</v>
      </c>
      <c r="SP12" s="111">
        <v>9.440877722530458E-2</v>
      </c>
      <c r="SQ12" s="111">
        <v>9.440877722530458E-2</v>
      </c>
      <c r="SR12" s="111">
        <v>6.2324388612652291E-2</v>
      </c>
      <c r="SS12" s="111">
        <v>4.3200000000000002E-2</v>
      </c>
      <c r="ST12" s="111">
        <v>4.3200000000000002E-2</v>
      </c>
      <c r="SU12" s="390"/>
      <c r="SV12" s="112">
        <v>200966</v>
      </c>
      <c r="SW12" s="112">
        <v>250863.95000000004</v>
      </c>
      <c r="SX12" s="112">
        <v>284024.38500000001</v>
      </c>
      <c r="SY12" s="112">
        <v>316573.25038961595</v>
      </c>
      <c r="SZ12" s="112">
        <v>349874.00417806819</v>
      </c>
      <c r="TA12" s="112">
        <v>382905.18109544076</v>
      </c>
      <c r="TB12" s="112">
        <v>419054.79103589512</v>
      </c>
      <c r="TC12" s="112">
        <v>458617.24144799949</v>
      </c>
      <c r="TD12" s="112">
        <v>501914.73442754743</v>
      </c>
      <c r="TE12" s="112">
        <v>533196.26338642603</v>
      </c>
      <c r="TF12" s="112">
        <v>556230.34196471958</v>
      </c>
      <c r="TG12" s="112">
        <v>580259.49273759546</v>
      </c>
      <c r="TH12" s="390"/>
      <c r="TI12" s="111">
        <v>0.41835892519132589</v>
      </c>
      <c r="TJ12" s="111">
        <v>0.30899298205262254</v>
      </c>
      <c r="TK12" s="111">
        <v>0.30555898684263472</v>
      </c>
      <c r="TL12" s="111">
        <v>0.30766810445426018</v>
      </c>
      <c r="TM12" s="713">
        <v>0.31119272526715458</v>
      </c>
      <c r="TN12" s="386">
        <v>0.31471734608004898</v>
      </c>
      <c r="TO12" s="386">
        <v>0.31824196689294337</v>
      </c>
      <c r="TP12" s="386">
        <v>0.32176658770583777</v>
      </c>
      <c r="TQ12" s="386">
        <v>0.32529120851873217</v>
      </c>
      <c r="TR12" s="386">
        <v>0.32881582933162656</v>
      </c>
      <c r="TS12" s="111">
        <v>0.33234045014452107</v>
      </c>
      <c r="TT12" s="111">
        <v>0.33234045014452107</v>
      </c>
      <c r="TU12" s="390"/>
      <c r="TV12" s="252">
        <v>21773</v>
      </c>
      <c r="TW12" s="252">
        <v>171</v>
      </c>
      <c r="TX12" s="252">
        <v>178.38719999999998</v>
      </c>
      <c r="TY12" s="252">
        <v>186.09352703999997</v>
      </c>
      <c r="TZ12" s="252">
        <v>194.13276740812796</v>
      </c>
      <c r="UA12" s="252">
        <v>202.51930296015908</v>
      </c>
      <c r="UB12" s="252">
        <v>211.26813684803793</v>
      </c>
      <c r="UC12" s="252">
        <v>220.39492035987314</v>
      </c>
      <c r="UD12" s="252">
        <v>229.91598091941964</v>
      </c>
      <c r="UE12" s="252">
        <v>239.84835129513854</v>
      </c>
      <c r="UF12" s="252">
        <v>250.20980007108849</v>
      </c>
      <c r="UG12" s="252">
        <v>-261.01886343417573</v>
      </c>
      <c r="UH12" s="390"/>
      <c r="UI12" s="252">
        <v>105848.91976</v>
      </c>
      <c r="UJ12" s="252">
        <v>77686.200000000012</v>
      </c>
      <c r="UK12" s="252">
        <v>86964.590519202422</v>
      </c>
      <c r="UL12" s="252">
        <v>97585.58539533701</v>
      </c>
      <c r="UM12" s="252">
        <v>109072.37762771299</v>
      </c>
      <c r="UN12" s="252">
        <v>120709.42169761781</v>
      </c>
      <c r="UO12" s="252">
        <v>133572.08907202267</v>
      </c>
      <c r="UP12" s="252">
        <v>147788.09976414696</v>
      </c>
      <c r="UQ12" s="252">
        <v>163498.36651621482</v>
      </c>
      <c r="UR12" s="252">
        <v>175563.21989322721</v>
      </c>
      <c r="US12" s="252">
        <v>185108.05203266689</v>
      </c>
      <c r="UT12" s="252">
        <v>193104.71988047811</v>
      </c>
      <c r="UU12" s="390"/>
      <c r="UV12" s="111">
        <v>0.29644300000000001</v>
      </c>
      <c r="UW12" s="111">
        <v>0.13784724202840681</v>
      </c>
      <c r="UX12" s="713">
        <v>0.15030865958080605</v>
      </c>
      <c r="UY12" s="386">
        <v>0.16277007713320529</v>
      </c>
      <c r="UZ12" s="386">
        <v>0.17523149468560453</v>
      </c>
      <c r="VA12" s="386">
        <v>0.18769291223800375</v>
      </c>
      <c r="VB12" s="386">
        <v>0.20015432979040301</v>
      </c>
      <c r="VC12" s="386">
        <v>0.21261574734280225</v>
      </c>
      <c r="VD12" s="386">
        <v>0.22507716489520146</v>
      </c>
      <c r="VE12" s="386">
        <v>0.23753858244760076</v>
      </c>
      <c r="VF12" s="111">
        <v>0.25</v>
      </c>
      <c r="VG12" s="111">
        <v>0.25</v>
      </c>
      <c r="VH12" s="390"/>
      <c r="VI12" s="252">
        <v>80374.919760000004</v>
      </c>
      <c r="VJ12" s="252">
        <v>66977.371586332796</v>
      </c>
      <c r="VK12" s="252">
        <v>73893.059487267426</v>
      </c>
      <c r="VL12" s="252">
        <v>81701.572133449008</v>
      </c>
      <c r="VM12" s="252">
        <v>89959.46186709615</v>
      </c>
      <c r="VN12" s="252">
        <v>98053.118804626647</v>
      </c>
      <c r="VO12" s="252">
        <v>106837.05710510796</v>
      </c>
      <c r="VP12" s="252">
        <v>116366.02248442023</v>
      </c>
      <c r="VQ12" s="252">
        <v>126698.61771574865</v>
      </c>
      <c r="VR12" s="252">
        <v>133860.1815098536</v>
      </c>
      <c r="VS12" s="252">
        <v>138831.03902450018</v>
      </c>
      <c r="VT12" s="252">
        <v>144828.53991035858</v>
      </c>
      <c r="VU12" s="390"/>
      <c r="VV12" s="386"/>
      <c r="VW12" s="386">
        <v>0.94244040786008509</v>
      </c>
      <c r="VX12" s="386">
        <v>0.94244040786008521</v>
      </c>
      <c r="VY12" s="386">
        <v>0.77843560152323699</v>
      </c>
      <c r="VZ12" s="386">
        <v>0.56653600437798057</v>
      </c>
      <c r="WA12" s="386">
        <v>0.51274629762457291</v>
      </c>
      <c r="WB12" s="386">
        <v>0.21586965876607608</v>
      </c>
      <c r="WC12" s="386">
        <v>0.21688552360829272</v>
      </c>
      <c r="WD12" s="386">
        <v>0.14390490312671897</v>
      </c>
      <c r="WE12" s="386">
        <v>0.10029261924648851</v>
      </c>
      <c r="WF12" s="386">
        <v>0.10088020276262612</v>
      </c>
      <c r="WG12" s="386">
        <v>0.26038829131389329</v>
      </c>
      <c r="WH12" s="390"/>
      <c r="WI12" s="252">
        <v>-62961.024085475881</v>
      </c>
      <c r="WJ12" s="252">
        <v>-69471.685815684832</v>
      </c>
      <c r="WK12" s="252">
        <v>-63454.550622434559</v>
      </c>
      <c r="WL12" s="252">
        <v>-50855.290879811721</v>
      </c>
      <c r="WM12" s="714">
        <v>-50172.532614824369</v>
      </c>
      <c r="WN12" s="252">
        <v>-23017.272680241913</v>
      </c>
      <c r="WO12" s="252">
        <v>-25190.305249044988</v>
      </c>
      <c r="WP12" s="252">
        <v>-18199.466271712517</v>
      </c>
      <c r="WQ12" s="252">
        <v>-13401.133197060248</v>
      </c>
      <c r="WR12" s="252">
        <v>-13980.06215117327</v>
      </c>
      <c r="WS12" s="252">
        <f t="shared" ref="WS12" si="12">SUM(WI12:WR12)</f>
        <v>-390703.32356746425</v>
      </c>
      <c r="WT12" s="252">
        <v>-37711.656040744274</v>
      </c>
      <c r="WU12" s="725"/>
      <c r="WV12" s="252">
        <v>4016.3475008569148</v>
      </c>
      <c r="WW12" s="252">
        <v>4421.3736715825944</v>
      </c>
      <c r="WX12" s="252">
        <v>18247.021511014449</v>
      </c>
      <c r="WY12" s="252">
        <v>39104.170987284429</v>
      </c>
      <c r="WZ12" s="252">
        <v>47880.586189802278</v>
      </c>
      <c r="XA12" s="252">
        <v>83819.784424866055</v>
      </c>
      <c r="XB12" s="252">
        <v>91175.717235375239</v>
      </c>
      <c r="XC12" s="252">
        <v>108499.15144403614</v>
      </c>
      <c r="XD12" s="252">
        <v>120459.04831279335</v>
      </c>
      <c r="XE12" s="252">
        <v>124850.9768733269</v>
      </c>
      <c r="XF12" s="252">
        <v>107116.88386961431</v>
      </c>
      <c r="XG12" s="390"/>
      <c r="XH12" s="386">
        <v>9.2426411680227527E-2</v>
      </c>
      <c r="XI12" s="386">
        <v>9.1069916725427622E-2</v>
      </c>
      <c r="XJ12" s="386">
        <v>8.9713421770627716E-2</v>
      </c>
      <c r="XK12" s="386">
        <v>8.8356926815827824E-2</v>
      </c>
      <c r="XL12" s="386">
        <v>8.7000431861027919E-2</v>
      </c>
      <c r="XM12" s="386">
        <v>8.5643936906228013E-2</v>
      </c>
      <c r="XN12" s="386">
        <v>8.4287441951428121E-2</v>
      </c>
      <c r="XO12" s="386">
        <v>8.2930946996628216E-2</v>
      </c>
      <c r="XP12" s="386">
        <v>8.2561386573167916E-2</v>
      </c>
      <c r="XQ12" s="386">
        <v>8.2953038675466398E-2</v>
      </c>
      <c r="XR12" s="386">
        <v>8.2953038675466398E-2</v>
      </c>
      <c r="XS12" s="390"/>
      <c r="XT12" s="252">
        <v>1173369.2511902982</v>
      </c>
      <c r="XU12" s="252">
        <v>1281819.5606537331</v>
      </c>
      <c r="XV12" s="252">
        <v>1398554.7612994928</v>
      </c>
      <c r="XW12" s="252">
        <v>1524023.8944692737</v>
      </c>
      <c r="XX12" s="252">
        <v>1658681.9621784682</v>
      </c>
      <c r="XY12" s="252">
        <v>1802988.0092080922</v>
      </c>
      <c r="XZ12" s="252">
        <v>1957403.0005113957</v>
      </c>
      <c r="YA12" s="252">
        <v>2122387.4922925513</v>
      </c>
      <c r="YB12" s="252">
        <v>2298399.0969221713</v>
      </c>
      <c r="YC12" s="252">
        <v>2488158.1132625826</v>
      </c>
      <c r="YD12" s="252">
        <v>2694558.389462729</v>
      </c>
      <c r="YE12" s="390"/>
      <c r="YF12" s="252">
        <v>356474.3078078382</v>
      </c>
      <c r="YG12" s="252">
        <v>3676.5382619040615</v>
      </c>
      <c r="YH12" s="252">
        <v>3714.0868741635572</v>
      </c>
      <c r="YI12" s="252">
        <v>14101.167906972312</v>
      </c>
      <c r="YJ12" s="252">
        <v>27870.046966448161</v>
      </c>
      <c r="YK12" s="252">
        <v>31550.836317855392</v>
      </c>
      <c r="YL12" s="252">
        <v>51194.35456247293</v>
      </c>
      <c r="YM12" s="252">
        <v>51744.976409110001</v>
      </c>
      <c r="YN12" s="252">
        <v>57361.463547528183</v>
      </c>
      <c r="YO12" s="252">
        <v>58988.402701681269</v>
      </c>
      <c r="YP12" s="252">
        <v>56272.434259702364</v>
      </c>
      <c r="YQ12" s="390"/>
      <c r="YR12" s="252">
        <v>1529843.5589981363</v>
      </c>
      <c r="YS12" s="252">
        <v>12253.484746466973</v>
      </c>
      <c r="YT12" s="252">
        <v>1542097.0437446032</v>
      </c>
      <c r="YU12" s="390"/>
      <c r="YV12" s="382">
        <v>609.63164007663352</v>
      </c>
      <c r="YW12" s="111">
        <v>1.1102934222950014</v>
      </c>
      <c r="YX12" s="386">
        <v>0.78935276967930035</v>
      </c>
      <c r="YY12" s="385"/>
      <c r="YZ12" s="1006" t="s">
        <v>97</v>
      </c>
      <c r="ZA12" s="367">
        <v>46022</v>
      </c>
      <c r="ZC12" s="385"/>
      <c r="ZE12" s="111">
        <v>0.17965484855599906</v>
      </c>
      <c r="ZF12" s="111">
        <v>0.22167038498246211</v>
      </c>
      <c r="ZG12" s="111">
        <v>0.21941112807816043</v>
      </c>
      <c r="ZH12" s="111">
        <v>0.15687468377226457</v>
      </c>
      <c r="ZI12" s="380"/>
      <c r="ZJ12" s="381"/>
      <c r="ZK12" s="386">
        <v>0.44963456111151312</v>
      </c>
      <c r="ZL12" s="386">
        <v>0.49696209381841439</v>
      </c>
      <c r="ZM12" s="386">
        <v>0.44616569361366809</v>
      </c>
      <c r="ZN12" s="386">
        <v>0.41000325332050863</v>
      </c>
      <c r="ZO12" s="386">
        <v>0.3800500203571221</v>
      </c>
      <c r="ZP12" s="386">
        <v>0.39668088426086884</v>
      </c>
      <c r="ZQ12" s="386">
        <v>0.28914903377955387</v>
      </c>
      <c r="ZR12" s="386">
        <v>0.34876886777067795</v>
      </c>
      <c r="ZS12" s="386">
        <v>0.42572792201871118</v>
      </c>
      <c r="ZT12" s="386">
        <v>0.41835892519132589</v>
      </c>
      <c r="ZU12" s="387">
        <v>0.34185344939362244</v>
      </c>
      <c r="ZV12" s="386">
        <v>0.21234572517075925</v>
      </c>
      <c r="ZW12" s="388">
        <v>0.33234045014452107</v>
      </c>
      <c r="ZX12" s="386">
        <v>0.21385703132067158</v>
      </c>
      <c r="ZY12" s="386">
        <v>7.6239835252127491E-2</v>
      </c>
      <c r="ZZ12" s="386">
        <v>0</v>
      </c>
      <c r="AAA12" s="386">
        <v>0</v>
      </c>
      <c r="AAB12" s="386">
        <v>0</v>
      </c>
      <c r="AAC12" s="386">
        <v>0</v>
      </c>
      <c r="AAD12" s="386">
        <v>0</v>
      </c>
      <c r="AAE12" s="386">
        <v>0</v>
      </c>
      <c r="AAF12" s="386">
        <v>0</v>
      </c>
      <c r="AAG12" s="386">
        <v>0</v>
      </c>
      <c r="AAH12" s="389">
        <f t="shared" ref="AAH12:AAH14" si="13">COUNTIF((EV12:FE12),"&gt;0")+COUNTIF((EV12:FE12),"&lt;0")+COUNTIF((FK12:FM12),"&gt;0")+COUNTIF((FK12:FM12),"&lt;0")</f>
        <v>13</v>
      </c>
      <c r="AAI12" s="112">
        <v>10</v>
      </c>
      <c r="AAJ12" s="386">
        <v>5.7772439741048585E-2</v>
      </c>
      <c r="AAK12" s="109">
        <v>0.19999999999999996</v>
      </c>
      <c r="AAL12" s="111">
        <v>2.3412985370655164E-2</v>
      </c>
      <c r="AAM12" s="387">
        <v>0.38273714015358123</v>
      </c>
      <c r="AAN12" s="386">
        <v>5.7646135995735467E-2</v>
      </c>
      <c r="AAO12" s="388">
        <v>0.42956311089489158</v>
      </c>
      <c r="AAP12" s="111">
        <v>0.28914903377955387</v>
      </c>
      <c r="AAQ12" s="111">
        <v>0.49696209381841439</v>
      </c>
      <c r="AAR12" s="389"/>
      <c r="AAS12" s="378"/>
      <c r="AAT12" s="120">
        <v>9641</v>
      </c>
      <c r="AAU12" s="120">
        <v>13775</v>
      </c>
      <c r="AAV12" s="120">
        <v>17319</v>
      </c>
      <c r="AAW12" s="120">
        <v>30244</v>
      </c>
      <c r="AAX12" s="120">
        <v>48200</v>
      </c>
      <c r="AAY12" s="120">
        <v>71220</v>
      </c>
      <c r="AAZ12" s="120">
        <v>86053</v>
      </c>
      <c r="ABA12" s="120">
        <v>109020</v>
      </c>
      <c r="ABB12" s="120">
        <v>125713</v>
      </c>
      <c r="ABC12" s="120">
        <v>158852</v>
      </c>
      <c r="ABD12" s="120">
        <v>227758</v>
      </c>
      <c r="ABE12" s="389"/>
      <c r="ABF12" s="120">
        <f t="shared" ref="ABF12" si="14">SUM(AAU12:ABD12)</f>
        <v>888154</v>
      </c>
      <c r="ABG12" s="120">
        <v>227758</v>
      </c>
      <c r="ABH12" s="120">
        <v>0</v>
      </c>
      <c r="ABI12" s="389"/>
      <c r="ABJ12" s="391"/>
      <c r="ABK12" s="164">
        <v>2.3606081311923472</v>
      </c>
      <c r="ABL12" s="164">
        <v>2.6148453077764198</v>
      </c>
      <c r="ABM12" s="164">
        <v>2.3479595483884532</v>
      </c>
      <c r="ABN12" s="164">
        <v>1.8024833001886695</v>
      </c>
      <c r="ABO12" s="164">
        <v>1.4397085915257075</v>
      </c>
      <c r="ABP12" s="164">
        <v>1.4996725439204441</v>
      </c>
      <c r="ABQ12" s="164">
        <v>1.1955421816448202</v>
      </c>
      <c r="ABR12" s="164">
        <v>1.1494080508492628</v>
      </c>
      <c r="ABS12" s="164">
        <v>1.1561576441234866</v>
      </c>
      <c r="ABT12" s="164">
        <v>1.0396316701585577</v>
      </c>
      <c r="ABU12" s="390"/>
      <c r="ABV12" s="164">
        <v>1.1561576441234866</v>
      </c>
      <c r="ABW12" s="164">
        <v>1.4696905677230758</v>
      </c>
      <c r="ABX12" s="164">
        <v>1.1436057260339987</v>
      </c>
      <c r="ABY12" s="164">
        <v>2.6703324971858202</v>
      </c>
      <c r="ABZ12" s="164">
        <v>0.99544364802987706</v>
      </c>
      <c r="ACA12" s="390"/>
      <c r="ACB12" s="977">
        <v>10</v>
      </c>
      <c r="ACC12" s="392">
        <v>0.58552349906057366</v>
      </c>
      <c r="ACD12" s="130">
        <v>0.19999999999999996</v>
      </c>
      <c r="ACE12" s="978">
        <v>0.23729053471043901</v>
      </c>
      <c r="ACF12" s="979">
        <v>0.90631519132355964</v>
      </c>
      <c r="ACG12" s="980">
        <v>0.20749330762216253</v>
      </c>
      <c r="ACH12" s="981">
        <v>1.3808962607444377</v>
      </c>
      <c r="ACI12" s="982">
        <v>1.0396316701585577</v>
      </c>
      <c r="ACJ12" s="982">
        <v>2.6148453077764198</v>
      </c>
      <c r="ACK12"/>
      <c r="ACL12" s="252">
        <v>-19292.606161647462</v>
      </c>
      <c r="ACM12" s="252">
        <v>-18936.797450646798</v>
      </c>
      <c r="ACN12" s="252">
        <v>-19374.243061847636</v>
      </c>
      <c r="ACO12" s="252">
        <v>-19217.404335093008</v>
      </c>
      <c r="ACP12" s="252">
        <v>-21031.695979813379</v>
      </c>
      <c r="ACQ12" s="252">
        <v>-23017.272680241913</v>
      </c>
      <c r="ACR12" s="252">
        <v>-25190.305249044988</v>
      </c>
      <c r="ACS12" s="252">
        <v>-18199.466271712517</v>
      </c>
      <c r="ACT12" s="252">
        <v>-13401.133197060248</v>
      </c>
      <c r="ACU12" s="252">
        <v>-13980.06215117327</v>
      </c>
      <c r="ACV12" s="252">
        <v>-191640.98653828123</v>
      </c>
      <c r="ACW12" s="386">
        <v>0.18586184809450959</v>
      </c>
      <c r="ACX12" s="235"/>
      <c r="ACY12" s="293"/>
      <c r="ACZ12" s="293"/>
      <c r="ADA12" s="111">
        <v>0.86487871540826788</v>
      </c>
      <c r="ADB12" s="111">
        <v>0.99974271563645711</v>
      </c>
      <c r="ADC12" s="111">
        <v>0.91096020015558321</v>
      </c>
      <c r="ADD12" s="111">
        <v>0.57771148845035947</v>
      </c>
      <c r="ADE12" s="111">
        <v>0.479601406799531</v>
      </c>
      <c r="ADF12" s="111">
        <v>0.49425114291709321</v>
      </c>
      <c r="ADG12" s="111">
        <v>0.28808066395657012</v>
      </c>
      <c r="ADH12" s="111">
        <v>0.32990348864454511</v>
      </c>
      <c r="ADI12" s="111">
        <v>0.4338528554108903</v>
      </c>
      <c r="ADJ12" s="111">
        <v>0.30315780636817469</v>
      </c>
      <c r="ADK12" s="111">
        <v>0.25729906198684571</v>
      </c>
      <c r="ADL12" s="111">
        <v>0.32990348864454511</v>
      </c>
      <c r="ADM12" s="111">
        <v>0.48692627485831208</v>
      </c>
      <c r="ADN12" s="111">
        <v>0.56821404837474732</v>
      </c>
      <c r="ADO12" s="111">
        <v>0.24949618830393022</v>
      </c>
      <c r="ADP12" s="111">
        <v>0.43944025754743576</v>
      </c>
      <c r="ADQ12" s="388" t="str">
        <f>IFERROR(-AFI12/SUM(VH21:VQ21),"")</f>
        <v/>
      </c>
      <c r="ADR12" s="977">
        <v>10</v>
      </c>
      <c r="ADS12" s="386">
        <v>0.26429973103779064</v>
      </c>
      <c r="ADT12" s="130">
        <v>0.3</v>
      </c>
      <c r="ADU12" s="978">
        <v>8.6623976614124604E-2</v>
      </c>
      <c r="ADV12" s="983">
        <v>0.48159007176062274</v>
      </c>
      <c r="ADW12" s="984">
        <v>0.15244955111879696</v>
      </c>
      <c r="ADX12" s="985">
        <v>0.65483802498887189</v>
      </c>
      <c r="ADY12" s="986">
        <v>0.28808066395657012</v>
      </c>
      <c r="ADZ12" s="986">
        <v>0.99974271563645711</v>
      </c>
      <c r="AEA12"/>
      <c r="AEB12" s="386">
        <v>0.27351860267940148</v>
      </c>
      <c r="AEC12" s="386">
        <v>0.28304563415883188</v>
      </c>
      <c r="AED12" s="386">
        <v>0.29428644626741379</v>
      </c>
      <c r="AEE12" s="386">
        <v>0.30592842800560327</v>
      </c>
      <c r="AEF12" s="386">
        <v>0.31423220604458413</v>
      </c>
      <c r="AEG12" s="386">
        <v>0.32206474438102572</v>
      </c>
      <c r="AEH12" s="386">
        <v>0.32939734837831375</v>
      </c>
      <c r="AEI12" s="386">
        <v>0.34351929959184235</v>
      </c>
      <c r="AEJ12" s="386">
        <v>0.35199333943342953</v>
      </c>
      <c r="AEK12" s="386">
        <v>0.43944025754743576</v>
      </c>
      <c r="AEL12"/>
      <c r="AEM12" s="252">
        <v>244247.99970420421</v>
      </c>
      <c r="AEN12" s="252">
        <v>260433.87846746377</v>
      </c>
      <c r="AEO12" s="252">
        <v>276993.65580818185</v>
      </c>
      <c r="AEP12" s="252">
        <v>293419.37813652254</v>
      </c>
      <c r="AEQ12" s="252">
        <v>311395.83282492426</v>
      </c>
      <c r="AER12" s="252">
        <v>331069.42261930404</v>
      </c>
      <c r="AES12" s="252">
        <v>352600.37196980347</v>
      </c>
      <c r="AET12" s="252">
        <v>368156.03049113962</v>
      </c>
      <c r="AEU12" s="252">
        <v>379610.4022128217</v>
      </c>
      <c r="AEV12" s="252">
        <v>391559.6027928805</v>
      </c>
      <c r="AEW12" s="252">
        <v>3209486.575027246</v>
      </c>
      <c r="AEX12"/>
      <c r="AEY12" s="252">
        <v>-16489.999704204194</v>
      </c>
      <c r="AEZ12" s="252">
        <v>-16185.878763259572</v>
      </c>
      <c r="AFA12" s="252">
        <v>-16559.777340718079</v>
      </c>
      <c r="AFB12" s="252">
        <v>-16425.722328340704</v>
      </c>
      <c r="AFC12" s="252">
        <v>-17976.454688401704</v>
      </c>
      <c r="AFD12" s="252">
        <v>-19673.589794379801</v>
      </c>
      <c r="AFE12" s="252">
        <v>-21530.949350499453</v>
      </c>
      <c r="AFF12" s="252">
        <v>-15555.658521336149</v>
      </c>
      <c r="AFG12" s="252">
        <v>-11454.371721682097</v>
      </c>
      <c r="AFH12" s="252">
        <v>-11949.200580058781</v>
      </c>
      <c r="AFI12" s="252">
        <v>-163801.60279288053</v>
      </c>
      <c r="AFJ12"/>
      <c r="AFK12" s="252">
        <v>-16489.999704204194</v>
      </c>
      <c r="AFL12" s="252">
        <v>-16185.878763259572</v>
      </c>
      <c r="AFM12" s="252">
        <v>-16559.777340718079</v>
      </c>
      <c r="AFN12" s="252">
        <v>-16425.722328340704</v>
      </c>
      <c r="AFO12" s="252">
        <v>-17976.454688401704</v>
      </c>
      <c r="AFP12" s="252">
        <v>-19673.589794379801</v>
      </c>
      <c r="AFQ12" s="252">
        <v>-21530.949350499453</v>
      </c>
      <c r="AFR12" s="252">
        <v>-15555.658521336149</v>
      </c>
      <c r="AFS12" s="252">
        <v>-11454.371721682097</v>
      </c>
      <c r="AFT12" s="252">
        <v>-11949.200580058781</v>
      </c>
      <c r="AFU12" s="252">
        <v>-163801.60279288056</v>
      </c>
      <c r="AFV12" s="386">
        <v>0.15886199067257531</v>
      </c>
      <c r="AFW12"/>
      <c r="AFX12" s="399">
        <v>0</v>
      </c>
      <c r="AFY12"/>
      <c r="AFZ12" s="121">
        <v>-69783</v>
      </c>
      <c r="AGA12" s="121">
        <v>-69783</v>
      </c>
      <c r="AGB12" s="121">
        <v>-67148.100000000006</v>
      </c>
      <c r="AGC12" s="121">
        <v>-55704.5</v>
      </c>
      <c r="AGD12" s="121">
        <v>-54686.700000000012</v>
      </c>
      <c r="AGE12"/>
      <c r="AGF12" s="392">
        <v>-62961.024085475881</v>
      </c>
      <c r="AGG12" s="392">
        <v>-69471.685815684832</v>
      </c>
      <c r="AGH12" s="392">
        <v>-63454.550622434559</v>
      </c>
      <c r="AGI12" s="392">
        <v>-50855.290879811721</v>
      </c>
      <c r="AGJ12" s="392">
        <v>-50172.532614824369</v>
      </c>
      <c r="AGL12" s="278"/>
      <c r="AGM12" s="386">
        <v>2.9428001561031696E-2</v>
      </c>
      <c r="AGN12" s="386">
        <v>0.12322933427375157</v>
      </c>
      <c r="AGO12" s="386">
        <v>6.0494031304250274E-2</v>
      </c>
      <c r="AGP12" s="386">
        <v>4.8096426311248712E-2</v>
      </c>
      <c r="AGQ12" s="386">
        <v>6.5513338439403865E-2</v>
      </c>
      <c r="AGR12" s="386">
        <v>5.3543520043105683E-2</v>
      </c>
      <c r="AGS12" s="386">
        <v>7.8189168038795109E-2</v>
      </c>
      <c r="AGT12" s="386">
        <v>0.10283481603448454</v>
      </c>
      <c r="AGU12" s="386">
        <v>0.12748046403017396</v>
      </c>
      <c r="AGV12" s="386">
        <v>0.1521261120258634</v>
      </c>
      <c r="AGW12" s="386">
        <v>0.17677176002155284</v>
      </c>
      <c r="AGX12" s="386">
        <v>0.20141740801724228</v>
      </c>
      <c r="AGY12" s="386">
        <v>0.22606305601293172</v>
      </c>
      <c r="AGZ12" s="386">
        <v>0.25070870400862116</v>
      </c>
      <c r="AHA12" s="386">
        <v>0.27535435200431058</v>
      </c>
      <c r="AHB12" s="386">
        <v>0.3</v>
      </c>
      <c r="AHC12" s="386">
        <v>0.3</v>
      </c>
      <c r="AHD12"/>
      <c r="AHE12" s="401">
        <v>0.8</v>
      </c>
      <c r="AHF12" s="401">
        <v>0.8</v>
      </c>
      <c r="AHG12" s="401">
        <v>0.8</v>
      </c>
      <c r="AHH12" s="401">
        <v>0.8</v>
      </c>
      <c r="AHI12" s="401">
        <v>0.8</v>
      </c>
      <c r="AHJ12" s="401">
        <v>0.8</v>
      </c>
      <c r="AHK12" s="401">
        <v>0.8</v>
      </c>
      <c r="AHL12" s="401">
        <v>0.8</v>
      </c>
      <c r="AHM12" s="401">
        <v>0.8</v>
      </c>
      <c r="AHN12" s="401">
        <v>0.82035428715644154</v>
      </c>
      <c r="AHO12" s="401">
        <v>0.85839363178443739</v>
      </c>
      <c r="AHP12" s="401">
        <v>0.85839363178443739</v>
      </c>
      <c r="AHQ12"/>
      <c r="AHR12" s="386">
        <v>9.6729938695754886E-2</v>
      </c>
      <c r="AHS12" s="386">
        <v>9.6729938695754886E-2</v>
      </c>
      <c r="AHT12" s="386">
        <v>9.6729938695754886E-2</v>
      </c>
      <c r="AHU12" s="386">
        <v>9.6729938695754886E-2</v>
      </c>
      <c r="AHV12" s="386">
        <v>9.6729938695754886E-2</v>
      </c>
      <c r="AHW12" s="386">
        <v>9.6729938695754886E-2</v>
      </c>
      <c r="AHX12" s="386">
        <v>9.6729938695754886E-2</v>
      </c>
      <c r="AHY12" s="386">
        <v>9.6729938695754886E-2</v>
      </c>
      <c r="AHZ12" s="386">
        <v>9.809189337535501E-2</v>
      </c>
      <c r="AIA12" s="386">
        <v>0.10063719810780915</v>
      </c>
      <c r="AIB12" s="386">
        <v>0.10063719810780915</v>
      </c>
      <c r="AIC12" s="987"/>
      <c r="AID12" s="107"/>
      <c r="AIE12" s="107"/>
      <c r="AIF12" s="107"/>
      <c r="AIG12" s="107"/>
      <c r="AIH12" s="107"/>
      <c r="AII12" s="107"/>
      <c r="AIJ12" s="107"/>
      <c r="AIK12" s="107"/>
      <c r="AIL12" s="107"/>
      <c r="AIM12" s="107"/>
      <c r="AIN12" s="107"/>
      <c r="AIO12" s="107"/>
      <c r="AIP12" s="107"/>
      <c r="AIQ12" s="107"/>
      <c r="AIR12"/>
      <c r="AIS12"/>
      <c r="AIT12"/>
      <c r="AIU12"/>
      <c r="AIV12"/>
      <c r="AIW12"/>
      <c r="AIX12"/>
      <c r="AIY12"/>
      <c r="AIZ12"/>
      <c r="AJA12"/>
      <c r="AJB12"/>
      <c r="AJC12"/>
      <c r="AJD12"/>
      <c r="AJE12"/>
      <c r="AJF12"/>
      <c r="AJG12"/>
      <c r="AJH12"/>
    </row>
    <row r="13" spans="1:944" s="374" customFormat="1" ht="15" customHeight="1" x14ac:dyDescent="0.35">
      <c r="A13" s="125" t="s">
        <v>228</v>
      </c>
      <c r="B13" s="110" t="str">
        <f>IFERROR(IF(OR(RIGHT(LEFT(SUBSTITUTE(B8," ","^",2),FIND("^",SUBSTITUTE(B8," ","^",2))-1),1)=",",RIGHT(LEFT(SUBSTITUTE(B8," ","^",2),FIND("^",SUBSTITUTE(B8," ","^",2))-1),1)="."), LEFT(LEFT(SUBSTITUTE(B8," ","^",2),FIND("^",SUBSTITUTE(B8," ","^",2))-1),LEN(LEFT(SUBSTITUTE(B8," ","^",2),FIND("^",SUBSTITUTE(B8," ","^",2))-1))-1), LEFT(SUBSTITUTE(B8," ","^",2),FIND("^",SUBSTITUTE(B8," ","^",2))-1)),LEFT(B8,FIND("^",SUBSTITUTE(TRIM(B8)&amp;" "," ","^",2))-0))</f>
        <v>Meta Platforms</v>
      </c>
      <c r="C13" s="721" t="str">
        <f>B8</f>
        <v>Meta Platforms, Inc.</v>
      </c>
      <c r="D13" s="110" t="s">
        <v>575</v>
      </c>
      <c r="E13" s="110" t="s">
        <v>368</v>
      </c>
      <c r="F13" s="110" t="s">
        <v>576</v>
      </c>
      <c r="G13" s="110" t="s">
        <v>577</v>
      </c>
      <c r="H13" s="110" t="s">
        <v>454</v>
      </c>
      <c r="I13" s="110" t="s">
        <v>455</v>
      </c>
      <c r="J13" s="110" t="s">
        <v>444</v>
      </c>
      <c r="K13" s="110" t="s">
        <v>358</v>
      </c>
      <c r="L13" s="110" t="s">
        <v>358</v>
      </c>
      <c r="M13" s="364" t="s">
        <v>364</v>
      </c>
      <c r="N13" s="365">
        <v>8.7862799999999996</v>
      </c>
      <c r="O13" s="110" t="s">
        <v>363</v>
      </c>
      <c r="P13" s="110"/>
      <c r="Q13" s="213"/>
      <c r="R13" s="366">
        <v>629.86</v>
      </c>
      <c r="S13" s="366">
        <v>479.8</v>
      </c>
      <c r="T13" s="366">
        <v>796.25</v>
      </c>
      <c r="U13" s="366">
        <v>614</v>
      </c>
      <c r="V13" s="366">
        <v>857.5</v>
      </c>
      <c r="W13" s="366">
        <v>1015</v>
      </c>
      <c r="X13" s="213"/>
      <c r="Y13" s="367">
        <v>46022</v>
      </c>
      <c r="Z13" s="368">
        <v>2025</v>
      </c>
      <c r="AA13" s="367">
        <v>46022</v>
      </c>
      <c r="AB13" s="213"/>
      <c r="AC13" s="120">
        <v>2529.55546</v>
      </c>
      <c r="AD13" s="369">
        <v>0.86335830000000002</v>
      </c>
      <c r="AE13" s="120">
        <v>1593265.8045600001</v>
      </c>
      <c r="AF13" s="120">
        <v>3489</v>
      </c>
      <c r="AG13" s="213"/>
      <c r="AH13" s="120">
        <v>81592</v>
      </c>
      <c r="AI13" s="120">
        <v>0</v>
      </c>
      <c r="AJ13" s="120">
        <v>96037.638722304881</v>
      </c>
      <c r="AK13" s="120">
        <v>0</v>
      </c>
      <c r="AL13" s="120">
        <v>0</v>
      </c>
      <c r="AM13" s="120">
        <v>0</v>
      </c>
      <c r="AN13" s="120">
        <v>27524</v>
      </c>
      <c r="AO13" s="213"/>
      <c r="AP13" s="371">
        <v>2.1043478260869564</v>
      </c>
      <c r="AQ13" s="371">
        <v>2.2446199999999998</v>
      </c>
      <c r="AR13" s="213"/>
      <c r="AS13" s="372">
        <v>1.30951</v>
      </c>
      <c r="AT13" s="372">
        <v>0.23222999999999999</v>
      </c>
      <c r="AU13" s="213"/>
      <c r="AV13" s="120">
        <v>101892</v>
      </c>
      <c r="AW13" s="164">
        <v>3.4242138735131315E-2</v>
      </c>
      <c r="AX13" s="405">
        <v>71.481549999999999</v>
      </c>
      <c r="AY13" s="164">
        <v>15.086919999999999</v>
      </c>
      <c r="AZ13" s="164">
        <v>15.086919999999999</v>
      </c>
      <c r="BA13" s="405">
        <v>11.300050000000001</v>
      </c>
      <c r="BB13" s="406">
        <v>19.174250000000001</v>
      </c>
      <c r="BC13" s="164">
        <v>19.174250000000001</v>
      </c>
      <c r="BD13" s="405">
        <v>18.295629999999999</v>
      </c>
      <c r="BE13" s="406">
        <v>26.813960000000002</v>
      </c>
      <c r="BF13" s="164">
        <v>26.813960000000002</v>
      </c>
      <c r="BG13" s="405">
        <v>20.887419999999999</v>
      </c>
      <c r="BH13" s="164">
        <v>30.18684</v>
      </c>
      <c r="BI13" s="164">
        <v>30.18684</v>
      </c>
      <c r="BJ13" s="405">
        <v>0.93581000000000003</v>
      </c>
      <c r="BK13" s="164">
        <v>7.3353099999999998</v>
      </c>
      <c r="BL13" s="164">
        <v>7.3353099999999998</v>
      </c>
      <c r="BM13" s="164">
        <v>5.3845799999999997</v>
      </c>
      <c r="BN13" s="370" t="s">
        <v>24</v>
      </c>
      <c r="BO13" s="386">
        <v>0.19492599999999999</v>
      </c>
      <c r="BP13" s="407">
        <v>0.19492599999999999</v>
      </c>
      <c r="BQ13" s="111">
        <v>0.30237999999999998</v>
      </c>
      <c r="BR13" s="111">
        <v>0.30237999999999998</v>
      </c>
      <c r="BS13" s="370" t="s">
        <v>24</v>
      </c>
      <c r="BT13" s="410">
        <f>(CE13/BU13)^(1/10)-1</f>
        <v>0.27338307879318413</v>
      </c>
      <c r="BU13" s="408">
        <v>17928</v>
      </c>
      <c r="BV13" s="408">
        <v>27638</v>
      </c>
      <c r="BW13" s="408">
        <v>40653</v>
      </c>
      <c r="BX13" s="408">
        <v>55838</v>
      </c>
      <c r="BY13" s="408">
        <v>70697</v>
      </c>
      <c r="BZ13" s="408">
        <v>85965</v>
      </c>
      <c r="CA13" s="408">
        <v>117929</v>
      </c>
      <c r="CB13" s="408">
        <v>116609</v>
      </c>
      <c r="CC13" s="408">
        <v>134902</v>
      </c>
      <c r="CD13" s="408">
        <v>164501</v>
      </c>
      <c r="CE13" s="408">
        <v>200966</v>
      </c>
      <c r="CF13" s="370" t="s">
        <v>24</v>
      </c>
      <c r="CG13" s="408">
        <v>170360</v>
      </c>
      <c r="CH13" s="408">
        <v>200966</v>
      </c>
      <c r="CI13" s="408">
        <v>250871.95</v>
      </c>
      <c r="CJ13" s="370" t="s">
        <v>24</v>
      </c>
      <c r="CK13" s="375" t="s">
        <v>444</v>
      </c>
      <c r="CL13" s="375" t="s">
        <v>445</v>
      </c>
      <c r="CM13" s="375" t="s">
        <v>446</v>
      </c>
      <c r="CN13" s="375" t="s">
        <v>447</v>
      </c>
      <c r="CO13" s="375" t="s">
        <v>448</v>
      </c>
      <c r="CP13" s="375" t="s">
        <v>449</v>
      </c>
      <c r="CQ13" s="375" t="s">
        <v>450</v>
      </c>
      <c r="CR13" s="375" t="s">
        <v>451</v>
      </c>
      <c r="CS13" s="375" t="s">
        <v>452</v>
      </c>
      <c r="CT13" s="375" t="s">
        <v>453</v>
      </c>
      <c r="CU13" s="370" t="s">
        <v>24</v>
      </c>
      <c r="CV13" s="112">
        <v>74780</v>
      </c>
      <c r="CW13" s="112">
        <v>4086</v>
      </c>
      <c r="CX13" s="112">
        <v>46569</v>
      </c>
      <c r="CY13" s="112">
        <v>53817</v>
      </c>
      <c r="CZ13" s="112">
        <v>21714</v>
      </c>
      <c r="DA13" s="112">
        <v>0</v>
      </c>
      <c r="DB13" s="112">
        <v>0</v>
      </c>
      <c r="DC13" s="112">
        <v>0</v>
      </c>
      <c r="DD13" s="112">
        <v>0</v>
      </c>
      <c r="DE13" s="112">
        <v>0</v>
      </c>
      <c r="DF13" s="112">
        <v>0</v>
      </c>
      <c r="DG13" s="370" t="s">
        <v>24</v>
      </c>
      <c r="DH13" s="375" t="s">
        <v>454</v>
      </c>
      <c r="DI13" s="375" t="s">
        <v>455</v>
      </c>
      <c r="DJ13" s="375" t="s">
        <v>456</v>
      </c>
      <c r="DK13" s="375" t="s">
        <v>457</v>
      </c>
      <c r="DL13" s="375" t="s">
        <v>457</v>
      </c>
      <c r="DM13" s="375" t="s">
        <v>457</v>
      </c>
      <c r="DN13" s="375" t="s">
        <v>457</v>
      </c>
      <c r="DO13" s="375" t="s">
        <v>457</v>
      </c>
      <c r="DP13" s="375" t="s">
        <v>457</v>
      </c>
      <c r="DQ13" s="375" t="s">
        <v>457</v>
      </c>
      <c r="DR13" s="370" t="s">
        <v>24</v>
      </c>
      <c r="DS13" s="112">
        <v>198759</v>
      </c>
      <c r="DT13" s="112">
        <v>2207</v>
      </c>
      <c r="DU13" s="112">
        <v>0</v>
      </c>
      <c r="DV13" s="112">
        <v>0</v>
      </c>
      <c r="DW13" s="112">
        <v>0</v>
      </c>
      <c r="DX13" s="112">
        <v>0</v>
      </c>
      <c r="DY13" s="112">
        <v>0</v>
      </c>
      <c r="DZ13" s="112">
        <v>0</v>
      </c>
      <c r="EA13" s="112">
        <v>0</v>
      </c>
      <c r="EB13" s="112">
        <v>0</v>
      </c>
      <c r="EC13" s="112">
        <v>0</v>
      </c>
      <c r="ED13" s="370" t="s">
        <v>24</v>
      </c>
      <c r="EE13" s="377">
        <v>2025</v>
      </c>
      <c r="EF13" s="120" t="s">
        <v>458</v>
      </c>
      <c r="EG13" s="120" t="s">
        <v>459</v>
      </c>
      <c r="EH13" s="120" t="s">
        <v>460</v>
      </c>
      <c r="EI13" s="120" t="s">
        <v>461</v>
      </c>
      <c r="EJ13" s="120" t="s">
        <v>462</v>
      </c>
      <c r="EK13" s="120" t="s">
        <v>463</v>
      </c>
      <c r="EL13" s="370" t="s">
        <v>24</v>
      </c>
      <c r="EM13" s="120">
        <v>250871.95</v>
      </c>
      <c r="EN13" s="120">
        <v>298126</v>
      </c>
      <c r="EO13" s="120">
        <v>346743</v>
      </c>
      <c r="EP13" s="120">
        <v>399215</v>
      </c>
      <c r="EQ13" s="120">
        <v>453057</v>
      </c>
      <c r="ER13" s="120">
        <v>505247</v>
      </c>
      <c r="ES13" s="370" t="s">
        <v>24</v>
      </c>
      <c r="ET13" s="410">
        <f t="shared" ref="ET13:ET14" si="15">FH13/CH13</f>
        <v>0.41437855159579234</v>
      </c>
      <c r="EU13" s="120">
        <v>6225</v>
      </c>
      <c r="EV13" s="120">
        <v>12427</v>
      </c>
      <c r="EW13" s="120">
        <v>20203</v>
      </c>
      <c r="EX13" s="120">
        <v>24913</v>
      </c>
      <c r="EY13" s="120">
        <v>28986</v>
      </c>
      <c r="EZ13" s="120">
        <v>32671</v>
      </c>
      <c r="FA13" s="120">
        <v>46753</v>
      </c>
      <c r="FB13" s="120">
        <v>33555</v>
      </c>
      <c r="FC13" s="120">
        <v>46751</v>
      </c>
      <c r="FD13" s="120">
        <v>69380</v>
      </c>
      <c r="FE13" s="120">
        <v>83276</v>
      </c>
      <c r="FF13" s="390"/>
      <c r="FG13" s="120">
        <v>73506</v>
      </c>
      <c r="FH13" s="120">
        <v>83276</v>
      </c>
      <c r="FI13" s="120">
        <v>86068</v>
      </c>
      <c r="FJ13" s="390"/>
      <c r="FK13" s="120">
        <v>86068</v>
      </c>
      <c r="FL13" s="120">
        <v>101136.5</v>
      </c>
      <c r="FM13" s="120">
        <v>119373</v>
      </c>
      <c r="FN13" s="120">
        <v>138640</v>
      </c>
      <c r="FO13" s="120">
        <v>168655</v>
      </c>
      <c r="FP13" s="390"/>
      <c r="FQ13" s="410">
        <f>SUM(FS13:GB13)/SUM(EV13:FE13)</f>
        <v>0.19104571149242319</v>
      </c>
      <c r="FR13" s="120">
        <v>2506</v>
      </c>
      <c r="FS13" s="120">
        <v>2301</v>
      </c>
      <c r="FT13" s="120">
        <v>4660</v>
      </c>
      <c r="FU13" s="120">
        <v>3249</v>
      </c>
      <c r="FV13" s="120">
        <v>6327</v>
      </c>
      <c r="FW13" s="120">
        <v>4034</v>
      </c>
      <c r="FX13" s="120">
        <v>7914</v>
      </c>
      <c r="FY13" s="120">
        <v>5619</v>
      </c>
      <c r="FZ13" s="120">
        <v>8330</v>
      </c>
      <c r="GA13" s="120">
        <v>8303</v>
      </c>
      <c r="GB13" s="120">
        <v>25474</v>
      </c>
      <c r="GC13" s="390"/>
      <c r="GD13" s="120">
        <v>8227</v>
      </c>
      <c r="GE13" s="120">
        <v>25474</v>
      </c>
      <c r="GF13" s="120">
        <v>12275</v>
      </c>
      <c r="GG13" s="390"/>
      <c r="GH13" s="390"/>
      <c r="GI13" s="390"/>
      <c r="GJ13" s="120">
        <v>-4134</v>
      </c>
      <c r="GK13" s="120">
        <v>-3544</v>
      </c>
      <c r="GL13" s="120">
        <v>-12925</v>
      </c>
      <c r="GM13" s="120">
        <v>-17956</v>
      </c>
      <c r="GN13" s="120">
        <v>-23020</v>
      </c>
      <c r="GO13" s="120">
        <v>-14833</v>
      </c>
      <c r="GP13" s="120">
        <v>-22967</v>
      </c>
      <c r="GQ13" s="120">
        <v>-16693</v>
      </c>
      <c r="GR13" s="120">
        <v>-33139</v>
      </c>
      <c r="GS13" s="120">
        <v>-68906</v>
      </c>
      <c r="GT13" s="390"/>
      <c r="GU13" s="120">
        <v>-218117</v>
      </c>
      <c r="GV13" s="120"/>
      <c r="GW13" s="376"/>
      <c r="GX13" s="379"/>
      <c r="GY13" s="376"/>
      <c r="GZ13" s="376"/>
      <c r="HA13" s="120">
        <v>3719</v>
      </c>
      <c r="HB13" s="120">
        <v>10126</v>
      </c>
      <c r="HC13" s="120">
        <v>15543</v>
      </c>
      <c r="HD13" s="120">
        <v>21664</v>
      </c>
      <c r="HE13" s="120">
        <v>22659</v>
      </c>
      <c r="HF13" s="120">
        <v>28637</v>
      </c>
      <c r="HG13" s="120">
        <v>38839</v>
      </c>
      <c r="HH13" s="120">
        <v>27936</v>
      </c>
      <c r="HI13" s="120">
        <v>38421</v>
      </c>
      <c r="HJ13" s="120">
        <v>61077</v>
      </c>
      <c r="HK13" s="120">
        <v>57802</v>
      </c>
      <c r="HL13" s="707"/>
      <c r="HM13" s="120">
        <v>65279</v>
      </c>
      <c r="HN13" s="120">
        <v>57802</v>
      </c>
      <c r="HO13" s="120">
        <v>73793</v>
      </c>
      <c r="HP13" s="390"/>
      <c r="HQ13" s="379">
        <v>0</v>
      </c>
      <c r="HR13" s="390"/>
      <c r="HS13" s="111">
        <v>0.18835924064049392</v>
      </c>
      <c r="HT13" s="111">
        <v>0.16307534398207468</v>
      </c>
      <c r="HU13" s="111">
        <v>0.15132821715218481</v>
      </c>
      <c r="HV13" s="111">
        <v>0.13486968175043512</v>
      </c>
      <c r="HW13" s="111">
        <v>0.11519521826171975</v>
      </c>
      <c r="HX13" s="709"/>
      <c r="HY13" s="112">
        <v>0</v>
      </c>
      <c r="HZ13" s="111">
        <v>0.24833031458057597</v>
      </c>
      <c r="IA13" s="111">
        <v>0.18835924064049392</v>
      </c>
      <c r="IB13" s="111">
        <v>0.16307534398207468</v>
      </c>
      <c r="IC13" s="111">
        <v>0.15132821715218481</v>
      </c>
      <c r="ID13" s="111">
        <v>0.13486968175043512</v>
      </c>
      <c r="IE13" s="709"/>
      <c r="IF13" s="111">
        <v>0.24833031458057597</v>
      </c>
      <c r="IG13" s="111">
        <v>0.18835924064049392</v>
      </c>
      <c r="IH13" s="111">
        <v>0.16307534398207468</v>
      </c>
      <c r="II13" s="111">
        <v>0.15132821715218481</v>
      </c>
      <c r="IJ13" s="111">
        <v>0.13486968175043512</v>
      </c>
      <c r="IK13" s="390"/>
      <c r="IL13" s="111">
        <v>4.3099999999999999E-2</v>
      </c>
      <c r="IM13" s="390"/>
      <c r="IN13" s="111">
        <v>0.34307542154473625</v>
      </c>
      <c r="IO13" s="111">
        <v>0.33924079080657171</v>
      </c>
      <c r="IP13" s="111">
        <v>0.34426938683693686</v>
      </c>
      <c r="IQ13" s="111">
        <v>0.34728154002229378</v>
      </c>
      <c r="IR13" s="111">
        <v>0.37226000260452879</v>
      </c>
      <c r="IS13" s="709"/>
      <c r="IT13" s="111">
        <v>0.34307542154473625</v>
      </c>
      <c r="IU13" s="111">
        <v>0.33924079080657171</v>
      </c>
      <c r="IV13" s="111">
        <v>0.34426938683693686</v>
      </c>
      <c r="IW13" s="390"/>
      <c r="IX13" s="375" t="s">
        <v>454</v>
      </c>
      <c r="IY13" s="252">
        <v>198759</v>
      </c>
      <c r="IZ13" s="386">
        <v>0.41418108925591723</v>
      </c>
      <c r="JA13" s="386">
        <v>0.39668088426086884</v>
      </c>
      <c r="JB13" s="386">
        <v>0.21385703132067158</v>
      </c>
      <c r="JC13" s="386">
        <v>0.30952153902665636</v>
      </c>
      <c r="JD13" s="386">
        <v>0.33326716743071916</v>
      </c>
      <c r="JE13" s="270">
        <v>0</v>
      </c>
      <c r="JF13" s="390"/>
      <c r="JG13" s="111">
        <v>0.25</v>
      </c>
      <c r="JH13" s="709"/>
      <c r="JI13" s="111">
        <v>0.6759042342208339</v>
      </c>
      <c r="JJ13" s="111">
        <v>0.35358588984580186</v>
      </c>
      <c r="JK13" s="111">
        <v>0.37241813054346035</v>
      </c>
      <c r="JL13" s="111">
        <v>0.37427103344686014</v>
      </c>
      <c r="JM13" s="710">
        <v>0</v>
      </c>
      <c r="JN13" s="709"/>
      <c r="JO13" s="111">
        <v>0.37210274374769864</v>
      </c>
      <c r="JP13" s="111">
        <v>2.0331797418468796E-2</v>
      </c>
      <c r="JQ13" s="111">
        <v>0.23172576455718877</v>
      </c>
      <c r="JR13" s="111">
        <v>0.26779156673268117</v>
      </c>
      <c r="JS13" s="111">
        <v>0.10804812754396266</v>
      </c>
      <c r="JT13" s="111">
        <v>0</v>
      </c>
      <c r="JU13" s="111">
        <v>0</v>
      </c>
      <c r="JV13" s="111">
        <v>0</v>
      </c>
      <c r="JW13" s="111">
        <v>0</v>
      </c>
      <c r="JX13" s="111">
        <v>0</v>
      </c>
      <c r="JY13" s="111">
        <v>0</v>
      </c>
      <c r="JZ13" s="111">
        <v>1</v>
      </c>
      <c r="KA13" s="390"/>
      <c r="KB13" s="371">
        <v>49.116700000000002</v>
      </c>
      <c r="KC13" s="371">
        <v>23.7014</v>
      </c>
      <c r="KD13" s="371">
        <v>46.934737057079992</v>
      </c>
      <c r="KE13" s="371">
        <v>172.29962898780158</v>
      </c>
      <c r="KF13" s="371">
        <v>110.34615949406346</v>
      </c>
      <c r="KG13" s="371">
        <v>0</v>
      </c>
      <c r="KH13" s="371">
        <v>0</v>
      </c>
      <c r="KI13" s="371">
        <v>0</v>
      </c>
      <c r="KJ13" s="371">
        <v>0</v>
      </c>
      <c r="KK13" s="371">
        <v>0</v>
      </c>
      <c r="KL13" s="371">
        <v>49.116700000000002</v>
      </c>
      <c r="KM13" s="390"/>
      <c r="KN13" s="111">
        <v>6.3321374E-2</v>
      </c>
      <c r="KO13" s="111">
        <v>6.0779844E-2</v>
      </c>
      <c r="KP13" s="111">
        <v>6.3103177705707988E-2</v>
      </c>
      <c r="KQ13" s="111">
        <v>7.5639666898780156E-2</v>
      </c>
      <c r="KR13" s="111">
        <v>6.9444319949406336E-2</v>
      </c>
      <c r="KS13" s="111">
        <v>0</v>
      </c>
      <c r="KT13" s="111">
        <v>0</v>
      </c>
      <c r="KU13" s="111">
        <v>0</v>
      </c>
      <c r="KV13" s="111">
        <v>0</v>
      </c>
      <c r="KW13" s="111">
        <v>0</v>
      </c>
      <c r="KX13" s="111">
        <v>0</v>
      </c>
      <c r="KY13" s="390"/>
      <c r="KZ13" s="111">
        <v>6.7724975013353797E-2</v>
      </c>
      <c r="LA13" s="111">
        <v>6.3622205000000001E-2</v>
      </c>
      <c r="LB13" s="111">
        <v>6.7724975013353797E-2</v>
      </c>
      <c r="LC13" s="390"/>
      <c r="LD13" s="111">
        <v>0.98901804285301986</v>
      </c>
      <c r="LE13" s="111">
        <v>1.0981957146980087E-2</v>
      </c>
      <c r="LF13" s="111">
        <v>0</v>
      </c>
      <c r="LG13" s="111">
        <v>0</v>
      </c>
      <c r="LH13" s="111">
        <v>0</v>
      </c>
      <c r="LI13" s="111">
        <v>0</v>
      </c>
      <c r="LJ13" s="111">
        <v>0</v>
      </c>
      <c r="LK13" s="111">
        <v>0</v>
      </c>
      <c r="LL13" s="111">
        <v>0</v>
      </c>
      <c r="LM13" s="111">
        <v>0</v>
      </c>
      <c r="LN13" s="111">
        <v>0</v>
      </c>
      <c r="LO13" s="111">
        <v>1</v>
      </c>
      <c r="LP13" s="390"/>
      <c r="LQ13" s="121">
        <v>1.0443053557297128</v>
      </c>
      <c r="LR13" s="121">
        <v>0.97335644339722627</v>
      </c>
      <c r="LS13" s="121">
        <v>0</v>
      </c>
      <c r="LT13" s="121">
        <v>0</v>
      </c>
      <c r="LU13" s="121">
        <v>0</v>
      </c>
      <c r="LV13" s="121">
        <v>0</v>
      </c>
      <c r="LW13" s="121">
        <v>0</v>
      </c>
      <c r="LX13" s="121">
        <v>0</v>
      </c>
      <c r="LY13" s="121">
        <v>0</v>
      </c>
      <c r="LZ13" s="121">
        <v>0</v>
      </c>
      <c r="MA13" s="121">
        <v>1.0443053557297128</v>
      </c>
      <c r="MB13" s="390"/>
      <c r="MC13" s="371">
        <v>1.6543521324687198</v>
      </c>
      <c r="MD13" s="371">
        <v>0.87474165718133134</v>
      </c>
      <c r="ME13" s="371">
        <v>0</v>
      </c>
      <c r="MF13" s="371">
        <v>0</v>
      </c>
      <c r="MG13" s="371">
        <v>0</v>
      </c>
      <c r="MH13" s="371">
        <v>0</v>
      </c>
      <c r="MI13" s="371">
        <v>0</v>
      </c>
      <c r="MJ13" s="371">
        <v>0</v>
      </c>
      <c r="MK13" s="371">
        <v>0</v>
      </c>
      <c r="ML13" s="371">
        <v>0</v>
      </c>
      <c r="MM13" s="371">
        <v>0</v>
      </c>
      <c r="MN13" s="390"/>
      <c r="MO13" s="112">
        <v>328817.37549735029</v>
      </c>
      <c r="MP13" s="112">
        <v>1930.5548373991983</v>
      </c>
      <c r="MQ13" s="112">
        <v>0</v>
      </c>
      <c r="MR13" s="112">
        <v>0</v>
      </c>
      <c r="MS13" s="112">
        <v>0</v>
      </c>
      <c r="MT13" s="112">
        <v>0</v>
      </c>
      <c r="MU13" s="112">
        <v>0</v>
      </c>
      <c r="MV13" s="112">
        <v>0</v>
      </c>
      <c r="MW13" s="112">
        <v>0</v>
      </c>
      <c r="MX13" s="112">
        <v>0</v>
      </c>
      <c r="MY13" s="112">
        <v>0</v>
      </c>
      <c r="MZ13" s="112">
        <v>330747.93033474952</v>
      </c>
      <c r="NA13" s="390"/>
      <c r="NB13" s="111">
        <v>0.99416306298441437</v>
      </c>
      <c r="NC13" s="111">
        <v>5.8369370155855142E-3</v>
      </c>
      <c r="ND13" s="111">
        <v>0</v>
      </c>
      <c r="NE13" s="111">
        <v>0</v>
      </c>
      <c r="NF13" s="111">
        <v>0</v>
      </c>
      <c r="NG13" s="111">
        <v>0</v>
      </c>
      <c r="NH13" s="111">
        <v>0</v>
      </c>
      <c r="NI13" s="111">
        <v>0</v>
      </c>
      <c r="NJ13" s="111">
        <v>0</v>
      </c>
      <c r="NK13" s="111">
        <v>0</v>
      </c>
      <c r="NL13" s="111">
        <v>0</v>
      </c>
      <c r="NM13" s="111">
        <v>0.99999999999999989</v>
      </c>
      <c r="NN13" s="390"/>
      <c r="NO13" s="366">
        <v>1.0438912313971038</v>
      </c>
      <c r="NP13" s="111">
        <v>6.0277223327985033E-2</v>
      </c>
      <c r="NQ13" s="366">
        <v>0.8</v>
      </c>
      <c r="NR13" s="711">
        <v>1.30951</v>
      </c>
      <c r="NS13" s="382">
        <v>0.85839363178443739</v>
      </c>
      <c r="NT13" s="373">
        <v>-0.52103406684745002</v>
      </c>
      <c r="NU13" s="111">
        <v>4.3099999999999999E-2</v>
      </c>
      <c r="NV13" s="111">
        <v>9.727998001068304E-2</v>
      </c>
      <c r="NW13" s="111">
        <v>0.10123468726422305</v>
      </c>
      <c r="NX13" s="390"/>
      <c r="NY13" s="380">
        <v>2E-3</v>
      </c>
      <c r="NZ13" s="364" t="s">
        <v>364</v>
      </c>
      <c r="OA13" s="111">
        <v>5.5710000000000003E-2</v>
      </c>
      <c r="OB13" s="712" t="s">
        <v>592</v>
      </c>
      <c r="OC13" s="111">
        <v>0</v>
      </c>
      <c r="OD13" s="111">
        <v>5.7710000000000004E-2</v>
      </c>
      <c r="OE13" s="111">
        <v>5.7710000000000004E-2</v>
      </c>
      <c r="OF13" s="111">
        <v>4.3282500000000002E-2</v>
      </c>
      <c r="OG13" s="390"/>
      <c r="OH13" s="111">
        <v>9.4210199683292667E-2</v>
      </c>
      <c r="OI13" s="111">
        <v>8.384903108495613E-2</v>
      </c>
      <c r="OJ13" s="390"/>
      <c r="OK13" s="383">
        <v>0</v>
      </c>
      <c r="OL13" s="390"/>
      <c r="OM13" s="374">
        <v>0</v>
      </c>
      <c r="ON13" s="374">
        <v>0</v>
      </c>
      <c r="OO13" s="374">
        <v>0</v>
      </c>
      <c r="OP13" s="374">
        <v>0</v>
      </c>
      <c r="OQ13" s="374">
        <v>0</v>
      </c>
      <c r="OR13" s="374">
        <v>0</v>
      </c>
      <c r="OS13" s="374">
        <v>0</v>
      </c>
      <c r="OT13" s="374">
        <v>0</v>
      </c>
      <c r="OU13" s="374">
        <v>0</v>
      </c>
      <c r="OV13" s="374">
        <v>0</v>
      </c>
      <c r="OW13" s="374">
        <v>0</v>
      </c>
      <c r="OX13" s="374">
        <v>0</v>
      </c>
      <c r="OY13" s="374">
        <v>0</v>
      </c>
      <c r="OZ13" s="374">
        <v>0</v>
      </c>
      <c r="PA13" s="374">
        <v>0</v>
      </c>
      <c r="PB13" s="374">
        <v>0</v>
      </c>
      <c r="PC13" s="374">
        <v>0</v>
      </c>
      <c r="PD13" s="374">
        <v>0</v>
      </c>
      <c r="PE13" s="374">
        <v>0</v>
      </c>
      <c r="PF13" s="374">
        <v>0</v>
      </c>
      <c r="PG13" s="374">
        <v>0</v>
      </c>
      <c r="PH13" s="374">
        <v>0</v>
      </c>
      <c r="PI13" s="374">
        <v>0</v>
      </c>
      <c r="PJ13" s="374">
        <v>0</v>
      </c>
      <c r="PK13" s="374">
        <v>0</v>
      </c>
      <c r="PL13" s="374">
        <v>0</v>
      </c>
      <c r="PM13" s="374">
        <v>0</v>
      </c>
      <c r="PN13" s="374">
        <v>0</v>
      </c>
      <c r="PO13" s="374">
        <v>0</v>
      </c>
      <c r="PP13" s="374">
        <v>0</v>
      </c>
      <c r="PQ13" s="374">
        <v>0</v>
      </c>
      <c r="PR13" s="374">
        <v>0</v>
      </c>
      <c r="PS13" s="374">
        <v>0</v>
      </c>
      <c r="PT13" s="374">
        <v>0</v>
      </c>
      <c r="PU13" s="374">
        <v>0</v>
      </c>
      <c r="PV13" s="374">
        <v>0</v>
      </c>
      <c r="PW13" s="374">
        <v>0</v>
      </c>
      <c r="PX13" s="374">
        <v>0</v>
      </c>
      <c r="PY13" s="374">
        <v>0</v>
      </c>
      <c r="PZ13" s="374">
        <v>0</v>
      </c>
      <c r="QA13" s="374">
        <v>0</v>
      </c>
      <c r="QB13" s="374">
        <v>0</v>
      </c>
      <c r="QC13" s="374">
        <v>0</v>
      </c>
      <c r="QD13" s="374">
        <v>0</v>
      </c>
      <c r="QE13" s="374">
        <v>0</v>
      </c>
      <c r="QF13" s="374">
        <v>0</v>
      </c>
      <c r="QG13" s="374">
        <v>0</v>
      </c>
      <c r="QH13" s="374">
        <v>0</v>
      </c>
      <c r="QI13" s="374">
        <v>0</v>
      </c>
      <c r="QJ13" s="374">
        <v>0</v>
      </c>
      <c r="QK13" s="374">
        <v>0</v>
      </c>
      <c r="QL13" s="374">
        <v>0</v>
      </c>
      <c r="QM13" s="374">
        <v>0</v>
      </c>
      <c r="QN13" s="374">
        <v>0</v>
      </c>
      <c r="QO13" s="374">
        <v>0</v>
      </c>
      <c r="QP13" s="374">
        <v>0</v>
      </c>
      <c r="QQ13" s="374">
        <v>0</v>
      </c>
      <c r="QR13" s="374">
        <v>0</v>
      </c>
      <c r="QS13" s="374">
        <v>0</v>
      </c>
      <c r="QT13" s="374">
        <v>0</v>
      </c>
      <c r="QU13" s="374">
        <v>0</v>
      </c>
      <c r="QV13" s="374">
        <v>0</v>
      </c>
      <c r="QW13" s="374">
        <v>0</v>
      </c>
      <c r="QX13" s="374">
        <v>0</v>
      </c>
      <c r="QY13" s="374">
        <v>0</v>
      </c>
      <c r="QZ13" s="374">
        <v>0</v>
      </c>
      <c r="RA13" s="374">
        <v>0</v>
      </c>
      <c r="RB13" s="374">
        <v>0</v>
      </c>
      <c r="RC13" s="374">
        <v>0</v>
      </c>
      <c r="RD13" s="374">
        <v>0</v>
      </c>
      <c r="RE13" s="374">
        <v>0</v>
      </c>
      <c r="RF13" s="374">
        <v>0</v>
      </c>
      <c r="RG13" s="374">
        <v>0</v>
      </c>
      <c r="RH13" s="374">
        <v>0</v>
      </c>
      <c r="RI13" s="374">
        <v>0</v>
      </c>
      <c r="RJ13" s="374">
        <v>0</v>
      </c>
      <c r="RK13" s="374">
        <v>0</v>
      </c>
      <c r="RL13" s="374">
        <v>0</v>
      </c>
      <c r="RM13" s="374">
        <v>0</v>
      </c>
      <c r="RN13" s="374">
        <v>0</v>
      </c>
      <c r="RO13" s="374">
        <v>0</v>
      </c>
      <c r="RP13" s="374">
        <v>0</v>
      </c>
      <c r="RQ13" s="374">
        <v>0</v>
      </c>
      <c r="RR13" s="374">
        <v>0</v>
      </c>
      <c r="RS13" s="374">
        <v>0</v>
      </c>
      <c r="RT13" s="374">
        <v>0</v>
      </c>
      <c r="RU13" s="374">
        <v>0</v>
      </c>
      <c r="RV13" s="374">
        <v>0</v>
      </c>
      <c r="RW13" s="374">
        <v>0</v>
      </c>
      <c r="RX13" s="374">
        <v>0</v>
      </c>
      <c r="RY13" s="374">
        <v>0</v>
      </c>
      <c r="RZ13" s="374">
        <v>0</v>
      </c>
      <c r="SA13" s="374">
        <v>0</v>
      </c>
      <c r="SB13" s="374">
        <v>0</v>
      </c>
      <c r="SC13" s="374">
        <v>0</v>
      </c>
      <c r="SD13" s="374">
        <v>0</v>
      </c>
      <c r="SE13" s="374">
        <v>0</v>
      </c>
      <c r="SF13" s="374">
        <v>0</v>
      </c>
      <c r="SG13" s="374">
        <v>0</v>
      </c>
      <c r="SH13" s="384" t="s">
        <v>576</v>
      </c>
      <c r="SI13" s="111">
        <v>0.179654848555999</v>
      </c>
      <c r="SJ13" s="111">
        <v>0.24844724978354549</v>
      </c>
      <c r="SK13" s="111">
        <v>0.1317735534861233</v>
      </c>
      <c r="SL13" s="111">
        <v>0.11499684697074392</v>
      </c>
      <c r="SM13" s="111">
        <v>0.1067053680108902</v>
      </c>
      <c r="SN13" s="407">
        <v>9.2822992224012468E-2</v>
      </c>
      <c r="SO13" s="111">
        <v>9.2822992224012468E-2</v>
      </c>
      <c r="SP13" s="111">
        <v>9.2822992224012468E-2</v>
      </c>
      <c r="SQ13" s="111">
        <v>9.2822992224012468E-2</v>
      </c>
      <c r="SR13" s="111">
        <v>6.1951496112006225E-2</v>
      </c>
      <c r="SS13" s="111">
        <v>4.4400000000000002E-2</v>
      </c>
      <c r="ST13" s="111">
        <v>4.3099999999999999E-2</v>
      </c>
      <c r="SU13" s="390"/>
      <c r="SV13" s="112">
        <v>200966</v>
      </c>
      <c r="SW13" s="112">
        <v>250895.45</v>
      </c>
      <c r="SX13" s="112">
        <v>283956.83499999996</v>
      </c>
      <c r="SY13" s="112">
        <v>316610.97570079175</v>
      </c>
      <c r="SZ13" s="112">
        <v>350395.06637923175</v>
      </c>
      <c r="TA13" s="112">
        <v>382919.78490108351</v>
      </c>
      <c r="TB13" s="112">
        <v>418463.5451173773</v>
      </c>
      <c r="TC13" s="112">
        <v>457306.58351184032</v>
      </c>
      <c r="TD13" s="112">
        <v>499755.14895714959</v>
      </c>
      <c r="TE13" s="112">
        <v>530715.72812472354</v>
      </c>
      <c r="TF13" s="112">
        <v>554279.50645346125</v>
      </c>
      <c r="TG13" s="112">
        <v>578168.95318160544</v>
      </c>
      <c r="TH13" s="390"/>
      <c r="TI13" s="111">
        <v>0.41835892519132589</v>
      </c>
      <c r="TJ13" s="111">
        <v>0.30904924740564244</v>
      </c>
      <c r="TK13" s="111">
        <v>0.3062602557307984</v>
      </c>
      <c r="TL13" s="111">
        <v>0.30952153902665636</v>
      </c>
      <c r="TM13" s="713">
        <v>0.31291377165580819</v>
      </c>
      <c r="TN13" s="386">
        <v>0.31630600428496003</v>
      </c>
      <c r="TO13" s="386">
        <v>0.31969823691411187</v>
      </c>
      <c r="TP13" s="386">
        <v>0.3230904695432637</v>
      </c>
      <c r="TQ13" s="386">
        <v>0.32648270217241554</v>
      </c>
      <c r="TR13" s="386">
        <v>0.32987493480156738</v>
      </c>
      <c r="TS13" s="111">
        <v>0.33326716743071916</v>
      </c>
      <c r="TT13" s="111">
        <v>0.33326716743071916</v>
      </c>
      <c r="TU13" s="390"/>
      <c r="TV13" s="252">
        <v>21773</v>
      </c>
      <c r="TW13" s="252">
        <v>171</v>
      </c>
      <c r="TX13" s="252">
        <v>178.5924</v>
      </c>
      <c r="TY13" s="252">
        <v>186.52190256</v>
      </c>
      <c r="TZ13" s="252">
        <v>194.803475033664</v>
      </c>
      <c r="UA13" s="252">
        <v>203.45274932515869</v>
      </c>
      <c r="UB13" s="252">
        <v>212.48605139519574</v>
      </c>
      <c r="UC13" s="252">
        <v>221.92043207714244</v>
      </c>
      <c r="UD13" s="252">
        <v>231.77369926136757</v>
      </c>
      <c r="UE13" s="252">
        <v>242.06445150857229</v>
      </c>
      <c r="UF13" s="252">
        <v>252.81211315555291</v>
      </c>
      <c r="UG13" s="252">
        <v>264.03697097965943</v>
      </c>
      <c r="UH13" s="390"/>
      <c r="UI13" s="252">
        <v>105848.91976</v>
      </c>
      <c r="UJ13" s="252">
        <v>77710.049999999988</v>
      </c>
      <c r="UK13" s="252">
        <v>87143.285303608107</v>
      </c>
      <c r="UL13" s="252">
        <v>98184.438374200356</v>
      </c>
      <c r="UM13" s="252">
        <v>109838.24526534634</v>
      </c>
      <c r="UN13" s="252">
        <v>121323.27987304324</v>
      </c>
      <c r="UO13" s="252">
        <v>133994.54363824963</v>
      </c>
      <c r="UP13" s="252">
        <v>147973.31922414337</v>
      </c>
      <c r="UQ13" s="252">
        <v>163393.1851553696</v>
      </c>
      <c r="UR13" s="252">
        <v>175311.88066481811</v>
      </c>
      <c r="US13" s="252">
        <v>184975.9731937976</v>
      </c>
      <c r="UT13" s="252">
        <v>192948.43763845027</v>
      </c>
      <c r="UU13" s="390"/>
      <c r="UV13" s="111">
        <v>0.29644300000000001</v>
      </c>
      <c r="UW13" s="111">
        <v>0.13992878999874869</v>
      </c>
      <c r="UX13" s="713">
        <v>0.15215892444333218</v>
      </c>
      <c r="UY13" s="386">
        <v>0.16438905888791566</v>
      </c>
      <c r="UZ13" s="386">
        <v>0.17661919333249915</v>
      </c>
      <c r="VA13" s="386">
        <v>0.18884932777708263</v>
      </c>
      <c r="VB13" s="386">
        <v>0.20107946222166612</v>
      </c>
      <c r="VC13" s="386">
        <v>0.2133095966662496</v>
      </c>
      <c r="VD13" s="386">
        <v>0.22553973111083311</v>
      </c>
      <c r="VE13" s="386">
        <v>0.23776986555541654</v>
      </c>
      <c r="VF13" s="111">
        <v>0.25</v>
      </c>
      <c r="VG13" s="111">
        <v>0.25</v>
      </c>
      <c r="VH13" s="390"/>
      <c r="VI13" s="252">
        <v>80374.919760000004</v>
      </c>
      <c r="VJ13" s="252">
        <v>66836.176732757725</v>
      </c>
      <c r="VK13" s="252">
        <v>73883.656739352664</v>
      </c>
      <c r="VL13" s="252">
        <v>82043.990952427004</v>
      </c>
      <c r="VM13" s="252">
        <v>90438.702989523663</v>
      </c>
      <c r="VN13" s="252">
        <v>98411.460025308159</v>
      </c>
      <c r="VO13" s="252">
        <v>107050.99286283282</v>
      </c>
      <c r="VP13" s="252">
        <v>116409.19018307514</v>
      </c>
      <c r="VQ13" s="252">
        <v>126541.53011008498</v>
      </c>
      <c r="VR13" s="252">
        <v>133627.99836887707</v>
      </c>
      <c r="VS13" s="252">
        <v>138731.97989534819</v>
      </c>
      <c r="VT13" s="252">
        <v>144711.32822883769</v>
      </c>
      <c r="VU13" s="390"/>
      <c r="VV13" s="386"/>
      <c r="VW13" s="386">
        <v>0.94059861753335994</v>
      </c>
      <c r="VX13" s="386">
        <v>0.94059861753335994</v>
      </c>
      <c r="VY13" s="386">
        <v>0.73535227835731243</v>
      </c>
      <c r="VZ13" s="386">
        <v>0.54465442610538339</v>
      </c>
      <c r="WA13" s="386">
        <v>0.53227938874951541</v>
      </c>
      <c r="WB13" s="386">
        <v>0.21152225325806293</v>
      </c>
      <c r="WC13" s="386">
        <v>0.21255687233740528</v>
      </c>
      <c r="WD13" s="386">
        <v>0.14260766152068033</v>
      </c>
      <c r="WE13" s="386">
        <v>0.10277928079844068</v>
      </c>
      <c r="WF13" s="386">
        <v>0.10339464026106168</v>
      </c>
      <c r="WG13" s="386">
        <v>0.26272477952925671</v>
      </c>
      <c r="WH13" s="390"/>
      <c r="WI13" s="252">
        <v>-62705.173072449026</v>
      </c>
      <c r="WJ13" s="252">
        <v>-69326.881622802466</v>
      </c>
      <c r="WK13" s="252">
        <v>-60194.076366382891</v>
      </c>
      <c r="WL13" s="252">
        <v>-49151.739299576431</v>
      </c>
      <c r="WM13" s="714">
        <v>-52274.098083168195</v>
      </c>
      <c r="WN13" s="252">
        <v>-22598.721695482189</v>
      </c>
      <c r="WO13" s="252">
        <v>-24696.402663694553</v>
      </c>
      <c r="WP13" s="252">
        <v>-18012.738988994315</v>
      </c>
      <c r="WQ13" s="252">
        <v>-13709.310356655469</v>
      </c>
      <c r="WR13" s="252">
        <v>-14318.003736491011</v>
      </c>
      <c r="WS13" s="252">
        <v>-386987.14588569658</v>
      </c>
      <c r="WT13" s="252">
        <v>-37949.882749319084</v>
      </c>
      <c r="WU13" s="725"/>
      <c r="WV13" s="252">
        <v>4131.0036603086992</v>
      </c>
      <c r="WW13" s="252">
        <v>4556.7751165501977</v>
      </c>
      <c r="WX13" s="252">
        <v>21849.914586044113</v>
      </c>
      <c r="WY13" s="252">
        <v>41286.963689947232</v>
      </c>
      <c r="WZ13" s="252">
        <v>46137.361942139964</v>
      </c>
      <c r="XA13" s="252">
        <v>84452.271167350627</v>
      </c>
      <c r="XB13" s="252">
        <v>91712.787519380596</v>
      </c>
      <c r="XC13" s="252">
        <v>108528.79112109066</v>
      </c>
      <c r="XD13" s="252">
        <v>119918.68801222161</v>
      </c>
      <c r="XE13" s="252">
        <v>124413.97615885719</v>
      </c>
      <c r="XF13" s="252">
        <v>106761.44547951862</v>
      </c>
      <c r="XG13" s="390"/>
      <c r="XH13" s="386">
        <v>9.2386830628568839E-2</v>
      </c>
      <c r="XI13" s="386">
        <v>9.1130597892892101E-2</v>
      </c>
      <c r="XJ13" s="386">
        <v>8.987436515721535E-2</v>
      </c>
      <c r="XK13" s="386">
        <v>8.8618132421538598E-2</v>
      </c>
      <c r="XL13" s="386">
        <v>8.7361899685861846E-2</v>
      </c>
      <c r="XM13" s="386">
        <v>8.6105666950185109E-2</v>
      </c>
      <c r="XN13" s="386">
        <v>8.4849434214508357E-2</v>
      </c>
      <c r="XO13" s="386">
        <v>8.3593201478831619E-2</v>
      </c>
      <c r="XP13" s="386">
        <v>8.343503324194286E-2</v>
      </c>
      <c r="XQ13" s="386">
        <v>8.384903108495613E-2</v>
      </c>
      <c r="XR13" s="386">
        <v>8.384903108495613E-2</v>
      </c>
      <c r="XS13" s="390"/>
      <c r="XT13" s="252">
        <v>1136418.6924645524</v>
      </c>
      <c r="XU13" s="252">
        <v>1241408.8137284147</v>
      </c>
      <c r="XV13" s="252">
        <v>1354539.141152991</v>
      </c>
      <c r="XW13" s="252">
        <v>1476277.4865447157</v>
      </c>
      <c r="XX13" s="252">
        <v>1607102.4403382714</v>
      </c>
      <c r="XY13" s="252">
        <v>1747501.9625160072</v>
      </c>
      <c r="XZ13" s="252">
        <v>1897971.7844952056</v>
      </c>
      <c r="YA13" s="252">
        <v>2059013.6165647246</v>
      </c>
      <c r="YB13" s="252">
        <v>2231133.1566618774</v>
      </c>
      <c r="YC13" s="252">
        <v>2417287.8257551622</v>
      </c>
      <c r="YD13" s="252">
        <v>2619975.0677981931</v>
      </c>
      <c r="YE13" s="390"/>
      <c r="YF13" s="252">
        <v>358556.54013366229</v>
      </c>
      <c r="YG13" s="252">
        <v>3781.6307781115265</v>
      </c>
      <c r="YH13" s="252">
        <v>3827.4024176333191</v>
      </c>
      <c r="YI13" s="252">
        <v>16877.9785458773</v>
      </c>
      <c r="YJ13" s="252">
        <v>29397.51970165841</v>
      </c>
      <c r="YK13" s="252">
        <v>30351.642675106887</v>
      </c>
      <c r="YL13" s="252">
        <v>51449.227137789167</v>
      </c>
      <c r="YM13" s="252">
        <v>51861.327091362808</v>
      </c>
      <c r="YN13" s="252">
        <v>57097.197572719539</v>
      </c>
      <c r="YO13" s="252">
        <v>58298.985524579519</v>
      </c>
      <c r="YP13" s="252">
        <v>55613.628688823803</v>
      </c>
      <c r="YQ13" s="390"/>
      <c r="YR13" s="252">
        <v>1494975.2325982146</v>
      </c>
      <c r="YS13" s="252">
        <v>13078.361277695119</v>
      </c>
      <c r="YT13" s="252">
        <v>1508053.5938759097</v>
      </c>
      <c r="YU13" s="390"/>
      <c r="YV13" s="382">
        <v>596.17336631785474</v>
      </c>
      <c r="YW13" s="111">
        <v>1.0565047611740928</v>
      </c>
      <c r="YX13" s="386">
        <v>0.73453061224489802</v>
      </c>
      <c r="YY13" s="385"/>
      <c r="YZ13" s="1006" t="s">
        <v>97</v>
      </c>
      <c r="ZA13" s="367">
        <v>46022</v>
      </c>
      <c r="ZC13" s="385"/>
      <c r="ZE13" s="111">
        <v>0.179654848555999</v>
      </c>
      <c r="ZF13" s="111">
        <v>0.22167038498246217</v>
      </c>
      <c r="ZG13" s="111">
        <v>0.21941112807816054</v>
      </c>
      <c r="ZH13" s="111">
        <v>0.15687468377226454</v>
      </c>
      <c r="ZI13" s="111"/>
      <c r="ZJ13" s="381"/>
      <c r="ZK13" s="386">
        <v>0.44963456111151312</v>
      </c>
      <c r="ZL13" s="386">
        <v>0.49696209381841439</v>
      </c>
      <c r="ZM13" s="386">
        <v>0.44616569361366809</v>
      </c>
      <c r="ZN13" s="386">
        <v>0.41000325332050863</v>
      </c>
      <c r="ZO13" s="386">
        <v>0.3800500203571221</v>
      </c>
      <c r="ZP13" s="386">
        <v>0.39668088426086884</v>
      </c>
      <c r="ZQ13" s="386">
        <v>0.28914903377955387</v>
      </c>
      <c r="ZR13" s="386">
        <v>0.34876886777067795</v>
      </c>
      <c r="ZS13" s="386">
        <v>0.42572792201871118</v>
      </c>
      <c r="ZT13" s="386">
        <v>0.41835892519132589</v>
      </c>
      <c r="ZU13" s="387">
        <v>0.34426938683693686</v>
      </c>
      <c r="ZV13" s="386">
        <v>0.21234572517075925</v>
      </c>
      <c r="ZW13" s="388">
        <v>0.33326716743071916</v>
      </c>
      <c r="ZX13" s="386">
        <v>0.21385703132067158</v>
      </c>
      <c r="ZY13" s="386">
        <v>7.6239835252127491E-2</v>
      </c>
      <c r="ZZ13" s="386">
        <v>0</v>
      </c>
      <c r="AAA13" s="386">
        <v>0</v>
      </c>
      <c r="AAB13" s="386">
        <v>0</v>
      </c>
      <c r="AAC13" s="386">
        <v>0</v>
      </c>
      <c r="AAD13" s="386">
        <v>0</v>
      </c>
      <c r="AAE13" s="386">
        <v>0</v>
      </c>
      <c r="AAF13" s="386">
        <v>0</v>
      </c>
      <c r="AAG13" s="386">
        <v>0</v>
      </c>
      <c r="AAH13" s="389">
        <f t="shared" si="13"/>
        <v>13</v>
      </c>
      <c r="AAI13" s="112">
        <v>10</v>
      </c>
      <c r="AAJ13" s="386">
        <v>5.7772439741048585E-2</v>
      </c>
      <c r="AAK13" s="109">
        <v>0.19999999999999996</v>
      </c>
      <c r="AAL13" s="111">
        <v>2.3412985370655164E-2</v>
      </c>
      <c r="AAM13" s="387">
        <v>0.38273714015358123</v>
      </c>
      <c r="AAN13" s="386">
        <v>5.7646135995735467E-2</v>
      </c>
      <c r="AAO13" s="388">
        <v>0.42956311089489158</v>
      </c>
      <c r="AAP13" s="111">
        <v>0.28914903377955387</v>
      </c>
      <c r="AAQ13" s="111">
        <v>0.49696209381841439</v>
      </c>
      <c r="AAR13" s="389"/>
      <c r="AAS13" s="378"/>
      <c r="AAT13" s="120">
        <v>9641</v>
      </c>
      <c r="AAU13" s="120">
        <v>13775</v>
      </c>
      <c r="AAV13" s="120">
        <v>17319</v>
      </c>
      <c r="AAW13" s="120">
        <v>30244</v>
      </c>
      <c r="AAX13" s="120">
        <v>48200</v>
      </c>
      <c r="AAY13" s="120">
        <v>71220</v>
      </c>
      <c r="AAZ13" s="120">
        <v>86053</v>
      </c>
      <c r="ABA13" s="120">
        <v>109020</v>
      </c>
      <c r="ABB13" s="120">
        <v>125713</v>
      </c>
      <c r="ABC13" s="120">
        <v>158852</v>
      </c>
      <c r="ABD13" s="120">
        <v>227758</v>
      </c>
      <c r="ABE13" s="389"/>
      <c r="ABF13" s="120">
        <v>888154</v>
      </c>
      <c r="ABG13" s="120">
        <v>227758</v>
      </c>
      <c r="ABH13" s="120">
        <v>0</v>
      </c>
      <c r="ABI13" s="389"/>
      <c r="ABJ13" s="391"/>
      <c r="ABK13" s="164">
        <v>2.3606081311923472</v>
      </c>
      <c r="ABL13" s="164">
        <v>2.6148453077764198</v>
      </c>
      <c r="ABM13" s="164">
        <v>2.3479595483884532</v>
      </c>
      <c r="ABN13" s="164">
        <v>1.8024833001886695</v>
      </c>
      <c r="ABO13" s="164">
        <v>1.4397085915257075</v>
      </c>
      <c r="ABP13" s="164">
        <v>1.4996725439204441</v>
      </c>
      <c r="ABQ13" s="164">
        <v>1.1955421816448202</v>
      </c>
      <c r="ABR13" s="164">
        <v>1.1494080508492628</v>
      </c>
      <c r="ABS13" s="164">
        <v>1.1561576441234866</v>
      </c>
      <c r="ABT13" s="164">
        <v>1.0396316701585577</v>
      </c>
      <c r="ABU13" s="390"/>
      <c r="ABV13" s="164">
        <v>1.1561576441234866</v>
      </c>
      <c r="ABW13" s="164">
        <v>1.4696905677230758</v>
      </c>
      <c r="ABX13" s="164">
        <v>1.1436057260339987</v>
      </c>
      <c r="ABY13" s="164">
        <v>2.6703324971858202</v>
      </c>
      <c r="ABZ13" s="164">
        <v>0.98324860726962859</v>
      </c>
      <c r="ACA13" s="390"/>
      <c r="ACB13" s="112">
        <v>10</v>
      </c>
      <c r="ACC13" s="392">
        <v>0.58552349906057366</v>
      </c>
      <c r="ACD13" s="109">
        <v>0.19999999999999996</v>
      </c>
      <c r="ACE13" s="393">
        <v>0.23729053471043901</v>
      </c>
      <c r="ACF13" s="394">
        <v>0.90631519132355964</v>
      </c>
      <c r="ACG13" s="386">
        <v>0.20749330762216253</v>
      </c>
      <c r="ACH13" s="395">
        <v>1.3808962607444377</v>
      </c>
      <c r="ACI13" s="121">
        <v>1.0396316701585577</v>
      </c>
      <c r="ACJ13" s="121">
        <v>2.6148453077764198</v>
      </c>
      <c r="ACL13" s="252">
        <v>-19234.979274656642</v>
      </c>
      <c r="ACM13" s="252">
        <v>-18998.046198350519</v>
      </c>
      <c r="ACN13" s="252">
        <v>-19655.446497867979</v>
      </c>
      <c r="ACO13" s="252">
        <v>-18922.748901229043</v>
      </c>
      <c r="ACP13" s="252">
        <v>-20679.215075344771</v>
      </c>
      <c r="ACQ13" s="252">
        <v>-22598.721695482189</v>
      </c>
      <c r="ACR13" s="252">
        <v>-24696.402663694553</v>
      </c>
      <c r="ACS13" s="252">
        <v>-18012.738988994315</v>
      </c>
      <c r="ACT13" s="252">
        <v>-13709.310356655469</v>
      </c>
      <c r="ACU13" s="252">
        <v>-14318.003736491011</v>
      </c>
      <c r="ACV13" s="252">
        <v>-190825.61338876651</v>
      </c>
      <c r="ACW13" s="386">
        <v>0.18455522435424748</v>
      </c>
      <c r="ACX13" s="235"/>
      <c r="ACY13" s="378"/>
      <c r="ACZ13" s="378"/>
      <c r="ADA13" s="111">
        <v>0.86487871540826788</v>
      </c>
      <c r="ADB13" s="111">
        <v>0.99974271563645722</v>
      </c>
      <c r="ADC13" s="111">
        <v>0.9109602001555831</v>
      </c>
      <c r="ADD13" s="111">
        <v>0.57771148845035947</v>
      </c>
      <c r="ADE13" s="111">
        <v>0.47960140679953106</v>
      </c>
      <c r="ADF13" s="111">
        <v>0.49425114291709321</v>
      </c>
      <c r="ADG13" s="111">
        <v>0.28808066395657006</v>
      </c>
      <c r="ADH13" s="111">
        <v>0.32990348864454511</v>
      </c>
      <c r="ADI13" s="111">
        <v>0.4338528554108903</v>
      </c>
      <c r="ADJ13" s="111">
        <v>0.30315780636817463</v>
      </c>
      <c r="ADK13" s="111">
        <v>0.25729906198684566</v>
      </c>
      <c r="ADL13" s="111">
        <v>0.32990348864454511</v>
      </c>
      <c r="ADM13" s="111">
        <v>0.48692627485831214</v>
      </c>
      <c r="ADN13" s="111">
        <v>0.56821404837474732</v>
      </c>
      <c r="ADO13" s="111">
        <v>0.24949618830393022</v>
      </c>
      <c r="ADP13" s="111">
        <v>0.43944025754743576</v>
      </c>
      <c r="ADQ13" s="235"/>
      <c r="ADR13" s="112">
        <v>10</v>
      </c>
      <c r="ADS13" s="386">
        <v>0.26429973103779064</v>
      </c>
      <c r="ADT13" s="109">
        <v>0.3</v>
      </c>
      <c r="ADU13" s="393">
        <v>8.6623976614124604E-2</v>
      </c>
      <c r="ADV13" s="396">
        <v>0.48159007176062274</v>
      </c>
      <c r="ADW13" s="397">
        <v>0.15244955111879696</v>
      </c>
      <c r="ADX13" s="398">
        <v>0.65483802498887189</v>
      </c>
      <c r="ADY13" s="111">
        <v>0.28808066395657006</v>
      </c>
      <c r="ADZ13" s="111">
        <v>0.99974271563645722</v>
      </c>
      <c r="AEA13" s="235"/>
      <c r="AEB13" s="386">
        <v>0.27294051556500964</v>
      </c>
      <c r="AEC13" s="386">
        <v>0.28289901574862036</v>
      </c>
      <c r="AED13" s="386">
        <v>0.29510378179268487</v>
      </c>
      <c r="AEE13" s="386">
        <v>0.30736217489175888</v>
      </c>
      <c r="AEF13" s="386">
        <v>0.3154407452390931</v>
      </c>
      <c r="AEG13" s="386">
        <v>0.32305842529934642</v>
      </c>
      <c r="AEH13" s="386">
        <v>0.33018853864745185</v>
      </c>
      <c r="AEI13" s="386">
        <v>0.34386490048165391</v>
      </c>
      <c r="AEJ13" s="386">
        <v>0.35187059182281916</v>
      </c>
      <c r="AEK13" s="386">
        <v>0.43944025754743576</v>
      </c>
      <c r="AEM13" s="252">
        <v>244248.00618096307</v>
      </c>
      <c r="AEN13" s="252">
        <v>260534.89137921159</v>
      </c>
      <c r="AEO13" s="252">
        <v>277385.36101639387</v>
      </c>
      <c r="AEP13" s="252">
        <v>293607.69439593679</v>
      </c>
      <c r="AEQ13" s="252">
        <v>311335.83330062439</v>
      </c>
      <c r="AER13" s="252">
        <v>330709.55110500805</v>
      </c>
      <c r="AES13" s="252">
        <v>351881.59536649822</v>
      </c>
      <c r="AET13" s="252">
        <v>367323.783945092</v>
      </c>
      <c r="AEU13" s="252">
        <v>379076.67482633394</v>
      </c>
      <c r="AEV13" s="252">
        <v>391351.39406270307</v>
      </c>
      <c r="AEW13" s="252">
        <v>3207454.785578765</v>
      </c>
      <c r="AEY13" s="252">
        <v>-16744.118894866388</v>
      </c>
      <c r="AEZ13" s="252">
        <v>-16537.867796638107</v>
      </c>
      <c r="AFA13" s="252">
        <v>-17110.137130514871</v>
      </c>
      <c r="AFB13" s="252">
        <v>-16472.32122767844</v>
      </c>
      <c r="AFC13" s="252">
        <v>-18001.331372906672</v>
      </c>
      <c r="AFD13" s="252">
        <v>-19672.268814955871</v>
      </c>
      <c r="AFE13" s="252">
        <v>-21498.307670195198</v>
      </c>
      <c r="AFF13" s="252">
        <v>-15680.154314036823</v>
      </c>
      <c r="AFG13" s="252">
        <v>-11934.004154655371</v>
      </c>
      <c r="AFH13" s="252">
        <v>-12098.940693156797</v>
      </c>
      <c r="AFI13" s="252">
        <v>-165749.45206960454</v>
      </c>
      <c r="AFK13" s="252">
        <v>-16744.118894866388</v>
      </c>
      <c r="AFL13" s="252">
        <v>-16537.867796638107</v>
      </c>
      <c r="AFM13" s="252">
        <v>-17110.137130514871</v>
      </c>
      <c r="AFN13" s="252">
        <v>-16472.32122767844</v>
      </c>
      <c r="AFO13" s="252">
        <v>-18001.331372906672</v>
      </c>
      <c r="AFP13" s="252">
        <v>-19672.268814955871</v>
      </c>
      <c r="AFQ13" s="252">
        <v>-21498.307670195198</v>
      </c>
      <c r="AFR13" s="252">
        <v>-15680.154314036823</v>
      </c>
      <c r="AFS13" s="252">
        <v>-11934.004154655371</v>
      </c>
      <c r="AFT13" s="252">
        <v>-12098.940693156797</v>
      </c>
      <c r="AFU13" s="252">
        <v>-165749.45206960454</v>
      </c>
      <c r="AFV13" s="386">
        <v>0.16030304721714164</v>
      </c>
      <c r="AFX13" s="399">
        <v>0</v>
      </c>
      <c r="AFZ13" s="121">
        <v>-69775.5</v>
      </c>
      <c r="AGA13" s="121">
        <v>-69775.5</v>
      </c>
      <c r="AGB13" s="121">
        <v>-64881.5</v>
      </c>
      <c r="AGC13" s="121">
        <v>-55152.5</v>
      </c>
      <c r="AGD13" s="121">
        <v>-52585.350000000006</v>
      </c>
      <c r="AGF13" s="392">
        <v>-63035.735626909547</v>
      </c>
      <c r="AGG13" s="392">
        <v>-69692.351805869141</v>
      </c>
      <c r="AGH13" s="392">
        <v>-61411.956057250114</v>
      </c>
      <c r="AGI13" s="392">
        <v>-49347.134586611304</v>
      </c>
      <c r="AGJ13" s="392">
        <v>-48420.858336123776</v>
      </c>
      <c r="AGL13" s="400"/>
      <c r="AGM13" s="386">
        <v>2.9428001561031696E-2</v>
      </c>
      <c r="AGN13" s="386">
        <v>0.12322933427375157</v>
      </c>
      <c r="AGO13" s="386">
        <v>6.0494031304250274E-2</v>
      </c>
      <c r="AGP13" s="386">
        <v>4.8096426311248712E-2</v>
      </c>
      <c r="AGQ13" s="386">
        <v>6.5513338439403865E-2</v>
      </c>
      <c r="AGR13" s="386">
        <v>5.6850436849702035E-2</v>
      </c>
      <c r="AGS13" s="386">
        <v>9.0618106273591362E-2</v>
      </c>
      <c r="AGT13" s="386">
        <v>0.11388276113208121</v>
      </c>
      <c r="AGU13" s="386">
        <v>0.13714741599057106</v>
      </c>
      <c r="AGV13" s="386">
        <v>0.16041207084906092</v>
      </c>
      <c r="AGW13" s="386">
        <v>0.18367672570755078</v>
      </c>
      <c r="AGX13" s="386">
        <v>0.20694138056604064</v>
      </c>
      <c r="AGY13" s="386">
        <v>0.2302060354245305</v>
      </c>
      <c r="AGZ13" s="386">
        <v>0.25347069028302033</v>
      </c>
      <c r="AHA13" s="386">
        <v>0.27673534514151016</v>
      </c>
      <c r="AHB13" s="386">
        <v>0.3</v>
      </c>
      <c r="AHC13" s="386">
        <v>0.3</v>
      </c>
      <c r="AHE13" s="401">
        <v>0.8</v>
      </c>
      <c r="AHF13" s="401">
        <v>0.8</v>
      </c>
      <c r="AHG13" s="401">
        <v>0.8</v>
      </c>
      <c r="AHH13" s="401">
        <v>0.8</v>
      </c>
      <c r="AHI13" s="401">
        <v>0.8</v>
      </c>
      <c r="AHJ13" s="401">
        <v>0.8</v>
      </c>
      <c r="AHK13" s="401">
        <v>0.8</v>
      </c>
      <c r="AHL13" s="401">
        <v>0.8</v>
      </c>
      <c r="AHM13" s="401">
        <v>0.8</v>
      </c>
      <c r="AHN13" s="401">
        <v>0.82241722006010343</v>
      </c>
      <c r="AHO13" s="401">
        <v>0.85839363178443739</v>
      </c>
      <c r="AHP13" s="401">
        <v>0.85839363178443739</v>
      </c>
      <c r="AHR13" s="386">
        <v>9.727998001068304E-2</v>
      </c>
      <c r="AHS13" s="386">
        <v>9.727998001068304E-2</v>
      </c>
      <c r="AHT13" s="386">
        <v>9.727998001068304E-2</v>
      </c>
      <c r="AHU13" s="386">
        <v>9.727998001068304E-2</v>
      </c>
      <c r="AHV13" s="386">
        <v>9.727998001068304E-2</v>
      </c>
      <c r="AHW13" s="386">
        <v>9.727998001068304E-2</v>
      </c>
      <c r="AHX13" s="386">
        <v>9.727998001068304E-2</v>
      </c>
      <c r="AHY13" s="386">
        <v>9.727998001068304E-2</v>
      </c>
      <c r="AHZ13" s="386">
        <v>9.8798185679122394E-2</v>
      </c>
      <c r="AIA13" s="386">
        <v>0.10123468726422305</v>
      </c>
      <c r="AIB13" s="386">
        <v>0.10123468726422305</v>
      </c>
    </row>
    <row r="14" spans="1:944" s="374" customFormat="1" ht="15" customHeight="1" x14ac:dyDescent="0.35">
      <c r="A14" s="125" t="s">
        <v>229</v>
      </c>
      <c r="B14" s="110" t="str">
        <f>IFERROR(IF(OR(RIGHT(LEFT(SUBSTITUTE(C14," ","^",2),FIND("^",SUBSTITUTE(C14," ","^",2))-1),1)=",",RIGHT(LEFT(SUBSTITUTE(C14," ","^",2),FIND("^",SUBSTITUTE(C14," ","^",2))-1),1)="."), LEFT(LEFT(SUBSTITUTE(C14," ","^",2),FIND("^",SUBSTITUTE(C14," ","^",2))-1),LEN(LEFT(SUBSTITUTE(C14," ","^",2),FIND("^",SUBSTITUTE(C14," ","^",2))-1))-1), LEFT(SUBSTITUTE(C14," ","^",2),FIND("^",SUBSTITUTE(C14," ","^",2))-1)),LEFT(C14,FIND("^",SUBSTITUTE(TRIM(C14)&amp;" "," ","^",2))-0))</f>
        <v>Meta Platforms</v>
      </c>
      <c r="C14" s="721" t="str">
        <f>B8</f>
        <v>Meta Platforms, Inc.</v>
      </c>
      <c r="D14" s="110" t="s">
        <v>575</v>
      </c>
      <c r="E14" s="110" t="s">
        <v>368</v>
      </c>
      <c r="F14" s="110" t="s">
        <v>576</v>
      </c>
      <c r="G14" s="773">
        <v>46111</v>
      </c>
      <c r="H14" s="110" t="s">
        <v>454</v>
      </c>
      <c r="I14" s="110" t="s">
        <v>455</v>
      </c>
      <c r="J14" s="110" t="s">
        <v>444</v>
      </c>
      <c r="K14" s="110" t="s">
        <v>358</v>
      </c>
      <c r="L14" s="110" t="s">
        <v>358</v>
      </c>
      <c r="M14" s="364" t="s">
        <v>364</v>
      </c>
      <c r="N14" s="365">
        <v>8.7862799999999996</v>
      </c>
      <c r="O14" s="110">
        <v>0</v>
      </c>
      <c r="P14" s="110"/>
      <c r="Q14" s="213"/>
      <c r="R14" s="366">
        <v>525.72</v>
      </c>
      <c r="S14" s="366">
        <v>479.8</v>
      </c>
      <c r="T14" s="366">
        <v>796.25</v>
      </c>
      <c r="U14" s="366">
        <v>614</v>
      </c>
      <c r="V14" s="366">
        <v>858</v>
      </c>
      <c r="W14" s="366">
        <v>1144</v>
      </c>
      <c r="X14" s="213"/>
      <c r="Y14" s="367">
        <v>46022</v>
      </c>
      <c r="Z14" s="368">
        <v>2025</v>
      </c>
      <c r="AA14" s="367">
        <v>46022</v>
      </c>
      <c r="AB14" s="213"/>
      <c r="AC14" s="120">
        <v>2529.55546</v>
      </c>
      <c r="AD14" s="369">
        <v>0.86336290000000004</v>
      </c>
      <c r="AE14" s="120">
        <v>1329837.8985299999</v>
      </c>
      <c r="AF14" s="120">
        <v>3489</v>
      </c>
      <c r="AG14" s="213"/>
      <c r="AH14" s="120">
        <v>81592</v>
      </c>
      <c r="AI14" s="120">
        <v>0</v>
      </c>
      <c r="AJ14" s="120">
        <v>96037.638722304881</v>
      </c>
      <c r="AK14" s="120">
        <v>0</v>
      </c>
      <c r="AL14" s="120">
        <v>0</v>
      </c>
      <c r="AM14" s="120">
        <v>0</v>
      </c>
      <c r="AN14" s="120">
        <v>27524</v>
      </c>
      <c r="AO14" s="213"/>
      <c r="AP14" s="371">
        <v>2.1043478260869564</v>
      </c>
      <c r="AQ14" s="371">
        <v>2.2446199999999998</v>
      </c>
      <c r="AR14" s="213"/>
      <c r="AS14" s="372">
        <v>1.27799</v>
      </c>
      <c r="AT14" s="372">
        <v>0</v>
      </c>
      <c r="AU14" s="213"/>
      <c r="AV14" s="120">
        <v>101892</v>
      </c>
      <c r="AW14" s="164">
        <v>3.4242138735131315E-2</v>
      </c>
      <c r="AX14" s="405">
        <v>71.481549999999999</v>
      </c>
      <c r="AY14" s="164">
        <v>0</v>
      </c>
      <c r="AZ14" s="164">
        <v>0</v>
      </c>
      <c r="BA14" s="405">
        <v>0</v>
      </c>
      <c r="BB14" s="406">
        <v>0</v>
      </c>
      <c r="BC14" s="164">
        <v>0</v>
      </c>
      <c r="BD14" s="405">
        <v>0</v>
      </c>
      <c r="BE14" s="406">
        <v>0</v>
      </c>
      <c r="BF14" s="164">
        <v>0</v>
      </c>
      <c r="BG14" s="405">
        <v>0</v>
      </c>
      <c r="BH14" s="164">
        <v>0</v>
      </c>
      <c r="BI14" s="164">
        <v>0</v>
      </c>
      <c r="BJ14" s="405">
        <v>0</v>
      </c>
      <c r="BK14" s="164">
        <v>0</v>
      </c>
      <c r="BL14" s="164">
        <v>0</v>
      </c>
      <c r="BM14" s="164">
        <v>0</v>
      </c>
      <c r="BN14" s="370" t="s">
        <v>24</v>
      </c>
      <c r="BO14" s="386">
        <v>0.19492599999999999</v>
      </c>
      <c r="BP14" s="407">
        <v>0.19492599999999999</v>
      </c>
      <c r="BQ14" s="111">
        <v>0.30237999999999998</v>
      </c>
      <c r="BR14" s="111">
        <v>0.30237999999999998</v>
      </c>
      <c r="BS14" s="370" t="s">
        <v>24</v>
      </c>
      <c r="BT14" s="410">
        <f>(CE14/BU14)^(1/10)-1</f>
        <v>0.27338307879318413</v>
      </c>
      <c r="BU14" s="408">
        <v>17928</v>
      </c>
      <c r="BV14" s="408">
        <v>27638</v>
      </c>
      <c r="BW14" s="408">
        <v>40653</v>
      </c>
      <c r="BX14" s="408">
        <v>55838</v>
      </c>
      <c r="BY14" s="408">
        <v>70697</v>
      </c>
      <c r="BZ14" s="408">
        <v>85965</v>
      </c>
      <c r="CA14" s="408">
        <v>117929</v>
      </c>
      <c r="CB14" s="408">
        <v>116609</v>
      </c>
      <c r="CC14" s="408">
        <v>134902</v>
      </c>
      <c r="CD14" s="408">
        <v>164501</v>
      </c>
      <c r="CE14" s="408">
        <v>200966</v>
      </c>
      <c r="CF14" s="370" t="s">
        <v>24</v>
      </c>
      <c r="CG14" s="408">
        <v>164501</v>
      </c>
      <c r="CH14" s="408">
        <v>200966</v>
      </c>
      <c r="CI14" s="408">
        <v>250895.45</v>
      </c>
      <c r="CJ14" s="370" t="s">
        <v>24</v>
      </c>
      <c r="CK14" s="375" t="s">
        <v>444</v>
      </c>
      <c r="CL14" s="375" t="s">
        <v>445</v>
      </c>
      <c r="CM14" s="375" t="s">
        <v>446</v>
      </c>
      <c r="CN14" s="375" t="s">
        <v>447</v>
      </c>
      <c r="CO14" s="375" t="s">
        <v>448</v>
      </c>
      <c r="CP14" s="375" t="s">
        <v>449</v>
      </c>
      <c r="CQ14" s="375" t="s">
        <v>450</v>
      </c>
      <c r="CR14" s="375" t="s">
        <v>451</v>
      </c>
      <c r="CS14" s="375" t="s">
        <v>452</v>
      </c>
      <c r="CT14" s="375" t="s">
        <v>453</v>
      </c>
      <c r="CU14" s="370" t="s">
        <v>24</v>
      </c>
      <c r="CV14" s="112">
        <v>74780</v>
      </c>
      <c r="CW14" s="112">
        <v>4086</v>
      </c>
      <c r="CX14" s="112">
        <v>46569</v>
      </c>
      <c r="CY14" s="112">
        <v>53817</v>
      </c>
      <c r="CZ14" s="112">
        <v>21714</v>
      </c>
      <c r="DA14" s="112">
        <v>0</v>
      </c>
      <c r="DB14" s="112">
        <v>0</v>
      </c>
      <c r="DC14" s="112">
        <v>0</v>
      </c>
      <c r="DD14" s="112">
        <v>0</v>
      </c>
      <c r="DE14" s="112">
        <v>0</v>
      </c>
      <c r="DF14" s="112">
        <v>0</v>
      </c>
      <c r="DG14" s="370" t="s">
        <v>24</v>
      </c>
      <c r="DH14" s="375" t="s">
        <v>454</v>
      </c>
      <c r="DI14" s="375" t="s">
        <v>455</v>
      </c>
      <c r="DJ14" s="375" t="s">
        <v>456</v>
      </c>
      <c r="DK14" s="375" t="s">
        <v>457</v>
      </c>
      <c r="DL14" s="375" t="s">
        <v>457</v>
      </c>
      <c r="DM14" s="375" t="s">
        <v>457</v>
      </c>
      <c r="DN14" s="375" t="s">
        <v>457</v>
      </c>
      <c r="DO14" s="375" t="s">
        <v>457</v>
      </c>
      <c r="DP14" s="375" t="s">
        <v>457</v>
      </c>
      <c r="DQ14" s="375" t="s">
        <v>457</v>
      </c>
      <c r="DR14" s="370" t="s">
        <v>24</v>
      </c>
      <c r="DS14" s="112">
        <v>198759</v>
      </c>
      <c r="DT14" s="112">
        <v>2207</v>
      </c>
      <c r="DU14" s="112">
        <v>0</v>
      </c>
      <c r="DV14" s="112">
        <v>0</v>
      </c>
      <c r="DW14" s="112">
        <v>0</v>
      </c>
      <c r="DX14" s="112">
        <v>0</v>
      </c>
      <c r="DY14" s="112">
        <v>0</v>
      </c>
      <c r="DZ14" s="112">
        <v>0</v>
      </c>
      <c r="EA14" s="112">
        <v>0</v>
      </c>
      <c r="EB14" s="112">
        <v>0</v>
      </c>
      <c r="EC14" s="112">
        <v>0</v>
      </c>
      <c r="ED14" s="370" t="s">
        <v>24</v>
      </c>
      <c r="EE14" s="377">
        <v>2025</v>
      </c>
      <c r="EF14" s="120" t="s">
        <v>458</v>
      </c>
      <c r="EG14" s="120" t="s">
        <v>459</v>
      </c>
      <c r="EH14" s="120" t="s">
        <v>460</v>
      </c>
      <c r="EI14" s="120" t="s">
        <v>461</v>
      </c>
      <c r="EJ14" s="120" t="s">
        <v>462</v>
      </c>
      <c r="EK14" s="120" t="s">
        <v>463</v>
      </c>
      <c r="EL14" s="370" t="s">
        <v>24</v>
      </c>
      <c r="EM14" s="120">
        <v>250895.45</v>
      </c>
      <c r="EN14" s="120">
        <v>298126</v>
      </c>
      <c r="EO14" s="120">
        <v>347102.5</v>
      </c>
      <c r="EP14" s="120">
        <v>400013.5</v>
      </c>
      <c r="EQ14" s="120">
        <v>453057</v>
      </c>
      <c r="ER14" s="120">
        <v>508600.5</v>
      </c>
      <c r="ES14" s="370" t="s">
        <v>24</v>
      </c>
      <c r="ET14" s="410">
        <f t="shared" si="15"/>
        <v>0.41437855159579234</v>
      </c>
      <c r="EU14" s="120">
        <v>6225</v>
      </c>
      <c r="EV14" s="120">
        <v>12427</v>
      </c>
      <c r="EW14" s="120">
        <v>20203</v>
      </c>
      <c r="EX14" s="120">
        <v>24913</v>
      </c>
      <c r="EY14" s="120">
        <v>28986</v>
      </c>
      <c r="EZ14" s="120">
        <v>32671</v>
      </c>
      <c r="FA14" s="120">
        <v>46753</v>
      </c>
      <c r="FB14" s="120">
        <v>33555</v>
      </c>
      <c r="FC14" s="120">
        <v>46751</v>
      </c>
      <c r="FD14" s="120">
        <v>69380</v>
      </c>
      <c r="FE14" s="120">
        <v>83276</v>
      </c>
      <c r="FF14" s="390"/>
      <c r="FG14" s="120">
        <v>69380</v>
      </c>
      <c r="FH14" s="120">
        <v>83276</v>
      </c>
      <c r="FI14" s="120">
        <v>86154.5</v>
      </c>
      <c r="FJ14" s="390"/>
      <c r="FK14" s="120">
        <v>86154.5</v>
      </c>
      <c r="FL14" s="120">
        <v>101449.05</v>
      </c>
      <c r="FM14" s="120">
        <v>119373</v>
      </c>
      <c r="FN14" s="120">
        <v>145124</v>
      </c>
      <c r="FO14" s="120">
        <v>168811</v>
      </c>
      <c r="FP14" s="390"/>
      <c r="FQ14" s="410">
        <f>SUM(FS14:GB14)/SUM(EV14:FE14)</f>
        <v>0.19104571149242319</v>
      </c>
      <c r="FR14" s="120">
        <v>2506</v>
      </c>
      <c r="FS14" s="120">
        <v>2301</v>
      </c>
      <c r="FT14" s="120">
        <v>4660</v>
      </c>
      <c r="FU14" s="120">
        <v>3249</v>
      </c>
      <c r="FV14" s="120">
        <v>6327</v>
      </c>
      <c r="FW14" s="120">
        <v>4034</v>
      </c>
      <c r="FX14" s="120">
        <v>7914</v>
      </c>
      <c r="FY14" s="120">
        <v>5619</v>
      </c>
      <c r="FZ14" s="120">
        <v>8330</v>
      </c>
      <c r="GA14" s="120">
        <v>8303</v>
      </c>
      <c r="GB14" s="120">
        <v>25474</v>
      </c>
      <c r="GC14" s="390"/>
      <c r="GD14" s="120">
        <v>8303</v>
      </c>
      <c r="GE14" s="120">
        <v>25474</v>
      </c>
      <c r="GF14" s="120">
        <v>12301</v>
      </c>
      <c r="GG14" s="390"/>
      <c r="GH14" s="390"/>
      <c r="GI14" s="390"/>
      <c r="GJ14" s="120">
        <v>-4134</v>
      </c>
      <c r="GK14" s="120">
        <v>-3544</v>
      </c>
      <c r="GL14" s="120">
        <v>-12925</v>
      </c>
      <c r="GM14" s="120">
        <v>-17956</v>
      </c>
      <c r="GN14" s="120">
        <v>-23020</v>
      </c>
      <c r="GO14" s="120">
        <v>-14833</v>
      </c>
      <c r="GP14" s="120">
        <v>-22967</v>
      </c>
      <c r="GQ14" s="120">
        <v>-16693</v>
      </c>
      <c r="GR14" s="120">
        <v>-33139</v>
      </c>
      <c r="GS14" s="120">
        <v>-68906</v>
      </c>
      <c r="GT14" s="390"/>
      <c r="GU14" s="120">
        <v>-218117</v>
      </c>
      <c r="GV14" s="120"/>
      <c r="GW14" s="376"/>
      <c r="GX14" s="379"/>
      <c r="GY14" s="376"/>
      <c r="GZ14" s="376"/>
      <c r="HA14" s="120">
        <v>3719</v>
      </c>
      <c r="HB14" s="120">
        <v>10126</v>
      </c>
      <c r="HC14" s="120">
        <v>15543</v>
      </c>
      <c r="HD14" s="120">
        <v>21664</v>
      </c>
      <c r="HE14" s="120">
        <v>22659</v>
      </c>
      <c r="HF14" s="120">
        <v>28637</v>
      </c>
      <c r="HG14" s="120">
        <v>38839</v>
      </c>
      <c r="HH14" s="120">
        <v>27936</v>
      </c>
      <c r="HI14" s="120">
        <v>38421</v>
      </c>
      <c r="HJ14" s="120">
        <v>61077</v>
      </c>
      <c r="HK14" s="120">
        <v>57802</v>
      </c>
      <c r="HL14" s="707"/>
      <c r="HM14" s="120">
        <v>61729.668900000004</v>
      </c>
      <c r="HN14" s="120">
        <v>58601.919760000004</v>
      </c>
      <c r="HO14" s="120">
        <v>73853.5</v>
      </c>
      <c r="HP14" s="390"/>
      <c r="HQ14" s="379">
        <v>0</v>
      </c>
      <c r="HR14" s="390"/>
      <c r="HS14" s="111">
        <v>0.18824793355160474</v>
      </c>
      <c r="HT14" s="111">
        <v>0.16428120995820561</v>
      </c>
      <c r="HU14" s="111">
        <v>0.15243624001555744</v>
      </c>
      <c r="HV14" s="111">
        <v>0.1326042746057321</v>
      </c>
      <c r="HW14" s="111">
        <v>0.12259715664916326</v>
      </c>
      <c r="HX14" s="709"/>
      <c r="HY14" s="112">
        <v>0</v>
      </c>
      <c r="HZ14" s="111">
        <v>0.24844724978354549</v>
      </c>
      <c r="IA14" s="111">
        <v>0.18824793355160474</v>
      </c>
      <c r="IB14" s="111">
        <v>0.16428120995820561</v>
      </c>
      <c r="IC14" s="111">
        <v>0.15243624001555744</v>
      </c>
      <c r="ID14" s="111">
        <v>0.1326042746057321</v>
      </c>
      <c r="IE14" s="709"/>
      <c r="IF14" s="111">
        <v>0.24844724978354549</v>
      </c>
      <c r="IG14" s="111">
        <v>0.18824793355160474</v>
      </c>
      <c r="IH14" s="111">
        <v>0.16428120995820561</v>
      </c>
      <c r="II14" s="111">
        <v>0.15243624001555744</v>
      </c>
      <c r="IJ14" s="111">
        <v>0.1326042746057321</v>
      </c>
      <c r="IK14" s="390"/>
      <c r="IL14" s="111">
        <v>4.4400000000000002E-2</v>
      </c>
      <c r="IM14" s="390"/>
      <c r="IN14" s="111">
        <v>0.34338805267293604</v>
      </c>
      <c r="IO14" s="111">
        <v>0.34028917303422046</v>
      </c>
      <c r="IP14" s="111">
        <v>0.3439128211407293</v>
      </c>
      <c r="IQ14" s="111">
        <v>0.36279775557574934</v>
      </c>
      <c r="IR14" s="111">
        <v>0.37260433013947475</v>
      </c>
      <c r="IS14" s="709"/>
      <c r="IT14" s="111">
        <v>0.34338805267293604</v>
      </c>
      <c r="IU14" s="111">
        <v>0.34028917303422046</v>
      </c>
      <c r="IV14" s="111">
        <v>0.3439128211407293</v>
      </c>
      <c r="IW14" s="390"/>
      <c r="IX14" s="375" t="s">
        <v>454</v>
      </c>
      <c r="IY14" s="252">
        <v>198759</v>
      </c>
      <c r="IZ14" s="386">
        <v>0.41418108925591723</v>
      </c>
      <c r="JA14" s="386">
        <v>0.39668088426086884</v>
      </c>
      <c r="JB14" s="386">
        <v>0.21385703132067158</v>
      </c>
      <c r="JC14" s="386">
        <v>0.30952153902665636</v>
      </c>
      <c r="JD14" s="386">
        <v>0.33326716743071916</v>
      </c>
      <c r="JE14" s="270">
        <v>0</v>
      </c>
      <c r="JF14" s="390"/>
      <c r="JG14" s="111">
        <v>0.25</v>
      </c>
      <c r="JH14" s="709"/>
      <c r="JI14" s="111">
        <v>0.6759042342208339</v>
      </c>
      <c r="JJ14" s="111">
        <v>0.35358588984580186</v>
      </c>
      <c r="JK14" s="111">
        <v>0.37241813054346029</v>
      </c>
      <c r="JL14" s="111">
        <v>0.37503106129918728</v>
      </c>
      <c r="JM14" s="710">
        <v>0</v>
      </c>
      <c r="JN14" s="709"/>
      <c r="JO14" s="111">
        <v>0.37210274374769864</v>
      </c>
      <c r="JP14" s="111">
        <v>2.0331797418468796E-2</v>
      </c>
      <c r="JQ14" s="111">
        <v>0.23172576455718877</v>
      </c>
      <c r="JR14" s="111">
        <v>0.26779156673268117</v>
      </c>
      <c r="JS14" s="111">
        <v>0.10804812754396266</v>
      </c>
      <c r="JT14" s="111">
        <v>0</v>
      </c>
      <c r="JU14" s="111">
        <v>0</v>
      </c>
      <c r="JV14" s="111">
        <v>0</v>
      </c>
      <c r="JW14" s="111">
        <v>0</v>
      </c>
      <c r="JX14" s="111">
        <v>0</v>
      </c>
      <c r="JY14" s="111">
        <v>0</v>
      </c>
      <c r="JZ14" s="111">
        <v>1</v>
      </c>
      <c r="KA14" s="390"/>
      <c r="KB14" s="371">
        <v>52.258800000000001</v>
      </c>
      <c r="KC14" s="371">
        <v>23.9756</v>
      </c>
      <c r="KD14" s="371">
        <v>50.047177449766643</v>
      </c>
      <c r="KE14" s="371">
        <v>182.41789938520864</v>
      </c>
      <c r="KF14" s="371">
        <v>119.44857337959985</v>
      </c>
      <c r="KG14" s="371">
        <v>119.44857337959985</v>
      </c>
      <c r="KH14" s="371">
        <v>50.928683088181089</v>
      </c>
      <c r="KI14" s="371">
        <v>170.66653330252336</v>
      </c>
      <c r="KJ14" s="371">
        <v>66.634299999999996</v>
      </c>
      <c r="KK14" s="371">
        <v>15.807600000000001</v>
      </c>
      <c r="KL14" s="371">
        <v>0</v>
      </c>
      <c r="KM14" s="390"/>
      <c r="KN14" s="111">
        <v>6.3622205000000001E-2</v>
      </c>
      <c r="KO14" s="111">
        <v>6.0793884999999999E-2</v>
      </c>
      <c r="KP14" s="111">
        <v>6.3401042744976654E-2</v>
      </c>
      <c r="KQ14" s="111">
        <v>7.6638114938520852E-2</v>
      </c>
      <c r="KR14" s="111">
        <v>7.0341182337959982E-2</v>
      </c>
      <c r="KS14" s="111">
        <v>0</v>
      </c>
      <c r="KT14" s="111">
        <v>0</v>
      </c>
      <c r="KU14" s="111">
        <v>0</v>
      </c>
      <c r="KV14" s="111">
        <v>0</v>
      </c>
      <c r="KW14" s="111">
        <v>0</v>
      </c>
      <c r="KX14" s="111">
        <v>0</v>
      </c>
      <c r="KY14" s="390"/>
      <c r="KZ14" s="111">
        <v>6.7724975013353797E-2</v>
      </c>
      <c r="LA14" s="111">
        <v>6.3622205000000001E-2</v>
      </c>
      <c r="LB14" s="111">
        <v>6.7724975013353797E-2</v>
      </c>
      <c r="LC14" s="390"/>
      <c r="LD14" s="111">
        <v>0.98901804285301986</v>
      </c>
      <c r="LE14" s="111">
        <v>1.0981957146980087E-2</v>
      </c>
      <c r="LF14" s="111">
        <v>0</v>
      </c>
      <c r="LG14" s="111">
        <v>0</v>
      </c>
      <c r="LH14" s="111">
        <v>0</v>
      </c>
      <c r="LI14" s="111">
        <v>0</v>
      </c>
      <c r="LJ14" s="111">
        <v>0</v>
      </c>
      <c r="LK14" s="111">
        <v>0</v>
      </c>
      <c r="LL14" s="111">
        <v>0</v>
      </c>
      <c r="LM14" s="111">
        <v>0</v>
      </c>
      <c r="LN14" s="111">
        <v>0</v>
      </c>
      <c r="LO14" s="111">
        <v>1</v>
      </c>
      <c r="LP14" s="390"/>
      <c r="LQ14" s="121">
        <v>1.0443053557297128</v>
      </c>
      <c r="LR14" s="121">
        <v>0.97335644339722627</v>
      </c>
      <c r="LS14" s="121">
        <v>0</v>
      </c>
      <c r="LT14" s="121">
        <v>0</v>
      </c>
      <c r="LU14" s="121">
        <v>0</v>
      </c>
      <c r="LV14" s="121">
        <v>0</v>
      </c>
      <c r="LW14" s="121">
        <v>0</v>
      </c>
      <c r="LX14" s="121">
        <v>0</v>
      </c>
      <c r="LY14" s="121">
        <v>0</v>
      </c>
      <c r="LZ14" s="121">
        <v>0</v>
      </c>
      <c r="MA14" s="121">
        <v>1.0443053557297128</v>
      </c>
      <c r="MB14" s="390"/>
      <c r="MC14" s="371">
        <v>1.6543521324687198</v>
      </c>
      <c r="MD14" s="371">
        <v>0.87474165718133134</v>
      </c>
      <c r="ME14" s="371">
        <v>0</v>
      </c>
      <c r="MF14" s="371">
        <v>0</v>
      </c>
      <c r="MG14" s="371">
        <v>0</v>
      </c>
      <c r="MH14" s="371">
        <v>0</v>
      </c>
      <c r="MI14" s="371">
        <v>0</v>
      </c>
      <c r="MJ14" s="371">
        <v>0</v>
      </c>
      <c r="MK14" s="371">
        <v>0</v>
      </c>
      <c r="ML14" s="371">
        <v>0</v>
      </c>
      <c r="MM14" s="371">
        <v>0</v>
      </c>
      <c r="MN14" s="390"/>
      <c r="MO14" s="112">
        <v>328817.37549735029</v>
      </c>
      <c r="MP14" s="112">
        <v>1930.5548373991983</v>
      </c>
      <c r="MQ14" s="112">
        <v>0</v>
      </c>
      <c r="MR14" s="112">
        <v>0</v>
      </c>
      <c r="MS14" s="112">
        <v>0</v>
      </c>
      <c r="MT14" s="112">
        <v>0</v>
      </c>
      <c r="MU14" s="112">
        <v>0</v>
      </c>
      <c r="MV14" s="112">
        <v>0</v>
      </c>
      <c r="MW14" s="112">
        <v>0</v>
      </c>
      <c r="MX14" s="112">
        <v>0</v>
      </c>
      <c r="MY14" s="112">
        <v>0</v>
      </c>
      <c r="MZ14" s="112">
        <v>330747.93033474952</v>
      </c>
      <c r="NA14" s="390"/>
      <c r="NB14" s="111">
        <v>0.99416306298441437</v>
      </c>
      <c r="NC14" s="111">
        <v>5.8369370155855142E-3</v>
      </c>
      <c r="ND14" s="111">
        <v>0</v>
      </c>
      <c r="NE14" s="111">
        <v>0</v>
      </c>
      <c r="NF14" s="111">
        <v>0</v>
      </c>
      <c r="NG14" s="111">
        <v>0</v>
      </c>
      <c r="NH14" s="111">
        <v>0</v>
      </c>
      <c r="NI14" s="111">
        <v>0</v>
      </c>
      <c r="NJ14" s="111">
        <v>0</v>
      </c>
      <c r="NK14" s="111">
        <v>0</v>
      </c>
      <c r="NL14" s="111">
        <v>0</v>
      </c>
      <c r="NM14" s="111">
        <v>0.99999999999999989</v>
      </c>
      <c r="NN14" s="390"/>
      <c r="NO14" s="366">
        <v>1.043891231397104</v>
      </c>
      <c r="NP14" s="111">
        <v>7.2217552852467726E-2</v>
      </c>
      <c r="NQ14" s="366">
        <v>0.8</v>
      </c>
      <c r="NR14" s="711">
        <v>1.27799</v>
      </c>
      <c r="NS14" s="382">
        <v>0.85839363178443739</v>
      </c>
      <c r="NT14" s="373">
        <v>-0.52103406684745002</v>
      </c>
      <c r="NU14" s="111">
        <v>4.4400000000000002E-2</v>
      </c>
      <c r="NV14" s="111">
        <v>9.8579980010683049E-2</v>
      </c>
      <c r="NW14" s="111">
        <v>0.10253468726422306</v>
      </c>
      <c r="NX14" s="390"/>
      <c r="NY14" s="380">
        <v>2E-3</v>
      </c>
      <c r="NZ14" s="364" t="s">
        <v>364</v>
      </c>
      <c r="OA14" s="111">
        <v>5.5710000000000003E-2</v>
      </c>
      <c r="OB14" s="712" t="s">
        <v>592</v>
      </c>
      <c r="OC14" s="111">
        <v>0</v>
      </c>
      <c r="OD14" s="111">
        <v>5.7710000000000004E-2</v>
      </c>
      <c r="OE14" s="111">
        <v>5.7710000000000004E-2</v>
      </c>
      <c r="OF14" s="111">
        <v>4.3282500000000002E-2</v>
      </c>
      <c r="OG14" s="390"/>
      <c r="OH14" s="111">
        <v>9.4855503877405961E-2</v>
      </c>
      <c r="OI14" s="111">
        <v>8.4759031084956138E-2</v>
      </c>
      <c r="OJ14" s="390"/>
      <c r="OK14" s="383">
        <v>0</v>
      </c>
      <c r="OL14" s="390"/>
      <c r="OM14" s="374">
        <v>0</v>
      </c>
      <c r="ON14" s="374">
        <v>0</v>
      </c>
      <c r="OO14" s="374">
        <v>0</v>
      </c>
      <c r="OP14" s="374">
        <v>0</v>
      </c>
      <c r="OQ14" s="374">
        <v>0</v>
      </c>
      <c r="OR14" s="374">
        <v>0</v>
      </c>
      <c r="OS14" s="374">
        <v>0</v>
      </c>
      <c r="OT14" s="374">
        <v>0</v>
      </c>
      <c r="OU14" s="374">
        <v>0</v>
      </c>
      <c r="OV14" s="374">
        <v>0</v>
      </c>
      <c r="OW14" s="374">
        <v>0</v>
      </c>
      <c r="OX14" s="374">
        <v>0</v>
      </c>
      <c r="OY14" s="374">
        <v>0</v>
      </c>
      <c r="OZ14" s="374">
        <v>0</v>
      </c>
      <c r="PA14" s="374">
        <v>0</v>
      </c>
      <c r="PB14" s="374">
        <v>0</v>
      </c>
      <c r="PC14" s="374">
        <v>0</v>
      </c>
      <c r="PD14" s="374">
        <v>0</v>
      </c>
      <c r="PE14" s="374">
        <v>0</v>
      </c>
      <c r="PF14" s="374">
        <v>0</v>
      </c>
      <c r="PG14" s="374">
        <v>0</v>
      </c>
      <c r="PH14" s="374">
        <v>0</v>
      </c>
      <c r="PI14" s="374">
        <v>0</v>
      </c>
      <c r="PJ14" s="374">
        <v>0</v>
      </c>
      <c r="PK14" s="374">
        <v>0</v>
      </c>
      <c r="PL14" s="374">
        <v>0</v>
      </c>
      <c r="PM14" s="374">
        <v>0</v>
      </c>
      <c r="PN14" s="374">
        <v>0</v>
      </c>
      <c r="PO14" s="374">
        <v>0</v>
      </c>
      <c r="PP14" s="374">
        <v>0</v>
      </c>
      <c r="PQ14" s="374">
        <v>0</v>
      </c>
      <c r="PR14" s="374">
        <v>0</v>
      </c>
      <c r="PS14" s="374">
        <v>0</v>
      </c>
      <c r="PT14" s="374">
        <v>0</v>
      </c>
      <c r="PU14" s="374">
        <v>0</v>
      </c>
      <c r="PV14" s="374">
        <v>0</v>
      </c>
      <c r="PW14" s="374">
        <v>0</v>
      </c>
      <c r="PX14" s="374">
        <v>0</v>
      </c>
      <c r="PY14" s="374">
        <v>0</v>
      </c>
      <c r="PZ14" s="374">
        <v>0</v>
      </c>
      <c r="QA14" s="374">
        <v>0</v>
      </c>
      <c r="QB14" s="374">
        <v>0</v>
      </c>
      <c r="QC14" s="374">
        <v>0</v>
      </c>
      <c r="QD14" s="374">
        <v>0</v>
      </c>
      <c r="QE14" s="374">
        <v>0</v>
      </c>
      <c r="QF14" s="374">
        <v>0</v>
      </c>
      <c r="QG14" s="374">
        <v>0</v>
      </c>
      <c r="QH14" s="374">
        <v>0</v>
      </c>
      <c r="QI14" s="374">
        <v>0</v>
      </c>
      <c r="QJ14" s="374">
        <v>0</v>
      </c>
      <c r="QK14" s="374">
        <v>0</v>
      </c>
      <c r="QL14" s="374">
        <v>0</v>
      </c>
      <c r="QM14" s="374">
        <v>0</v>
      </c>
      <c r="QN14" s="374">
        <v>0</v>
      </c>
      <c r="QO14" s="374">
        <v>0</v>
      </c>
      <c r="QP14" s="374">
        <v>0</v>
      </c>
      <c r="QQ14" s="374">
        <v>0</v>
      </c>
      <c r="QR14" s="374">
        <v>0</v>
      </c>
      <c r="QS14" s="374">
        <v>0</v>
      </c>
      <c r="QT14" s="374">
        <v>0</v>
      </c>
      <c r="QU14" s="374">
        <v>0</v>
      </c>
      <c r="QV14" s="374">
        <v>0</v>
      </c>
      <c r="QW14" s="374">
        <v>0</v>
      </c>
      <c r="QX14" s="374">
        <v>0</v>
      </c>
      <c r="QY14" s="374">
        <v>0</v>
      </c>
      <c r="QZ14" s="374">
        <v>0</v>
      </c>
      <c r="RA14" s="374">
        <v>0</v>
      </c>
      <c r="RB14" s="374">
        <v>0</v>
      </c>
      <c r="RC14" s="374">
        <v>0</v>
      </c>
      <c r="RD14" s="374">
        <v>0</v>
      </c>
      <c r="RE14" s="374">
        <v>0</v>
      </c>
      <c r="RF14" s="374">
        <v>0</v>
      </c>
      <c r="RG14" s="374">
        <v>0</v>
      </c>
      <c r="RH14" s="374">
        <v>0</v>
      </c>
      <c r="RI14" s="374">
        <v>0</v>
      </c>
      <c r="RJ14" s="374">
        <v>0</v>
      </c>
      <c r="RK14" s="374">
        <v>0</v>
      </c>
      <c r="RL14" s="374">
        <v>0</v>
      </c>
      <c r="RM14" s="374">
        <v>0</v>
      </c>
      <c r="RN14" s="374">
        <v>0</v>
      </c>
      <c r="RO14" s="374">
        <v>0</v>
      </c>
      <c r="RP14" s="374">
        <v>0</v>
      </c>
      <c r="RQ14" s="374">
        <v>0</v>
      </c>
      <c r="RR14" s="374">
        <v>0</v>
      </c>
      <c r="RS14" s="374">
        <v>0</v>
      </c>
      <c r="RT14" s="374">
        <v>0</v>
      </c>
      <c r="RU14" s="374">
        <v>0</v>
      </c>
      <c r="RV14" s="374">
        <v>0</v>
      </c>
      <c r="RW14" s="374">
        <v>0</v>
      </c>
      <c r="RX14" s="374">
        <v>0</v>
      </c>
      <c r="RY14" s="374">
        <v>0</v>
      </c>
      <c r="RZ14" s="374">
        <v>0</v>
      </c>
      <c r="SA14" s="374">
        <v>0</v>
      </c>
      <c r="SB14" s="374">
        <v>0</v>
      </c>
      <c r="SC14" s="374">
        <v>0</v>
      </c>
      <c r="SD14" s="374">
        <v>0</v>
      </c>
      <c r="SE14" s="374">
        <v>0</v>
      </c>
      <c r="SF14" s="374">
        <v>0</v>
      </c>
      <c r="SG14" s="374">
        <v>0</v>
      </c>
      <c r="SH14" s="384">
        <v>0</v>
      </c>
      <c r="SI14" s="111">
        <v>0.22167038498246211</v>
      </c>
      <c r="SJ14" s="111">
        <v>0.24844724978354549</v>
      </c>
      <c r="SK14" s="111">
        <v>0.1317735534861233</v>
      </c>
      <c r="SL14" s="111">
        <v>0.11499684697074392</v>
      </c>
      <c r="SM14" s="111">
        <v>0.1067053680108902</v>
      </c>
      <c r="SN14" s="407">
        <v>9.2822992224012468E-2</v>
      </c>
      <c r="SO14" s="111">
        <v>9.2822992224012468E-2</v>
      </c>
      <c r="SP14" s="111">
        <v>9.2822992224012468E-2</v>
      </c>
      <c r="SQ14" s="111">
        <v>9.2822992224012468E-2</v>
      </c>
      <c r="SR14" s="111">
        <v>6.1951496112006225E-2</v>
      </c>
      <c r="SS14" s="111">
        <v>4.4400000000000002E-2</v>
      </c>
      <c r="ST14" s="111">
        <v>4.4400000000000002E-2</v>
      </c>
      <c r="SU14" s="390"/>
      <c r="SV14" s="112">
        <v>200966</v>
      </c>
      <c r="SW14" s="112">
        <v>250895.45</v>
      </c>
      <c r="SX14" s="112">
        <v>283956.83499999996</v>
      </c>
      <c r="SY14" s="112">
        <v>316610.97570079175</v>
      </c>
      <c r="SZ14" s="112">
        <v>350395.06637923175</v>
      </c>
      <c r="TA14" s="112">
        <v>382919.78490108351</v>
      </c>
      <c r="TB14" s="112">
        <v>418463.5451173773</v>
      </c>
      <c r="TC14" s="112">
        <v>457306.58351184032</v>
      </c>
      <c r="TD14" s="112">
        <v>499755.14895714959</v>
      </c>
      <c r="TE14" s="112">
        <v>530715.72812472354</v>
      </c>
      <c r="TF14" s="112">
        <v>554279.50645346125</v>
      </c>
      <c r="TG14" s="112">
        <v>578889.51653999498</v>
      </c>
      <c r="TH14" s="390"/>
      <c r="TI14" s="111">
        <v>0.41835892519132589</v>
      </c>
      <c r="TJ14" s="111">
        <v>0.30904924740564244</v>
      </c>
      <c r="TK14" s="111">
        <v>0.3062602557307984</v>
      </c>
      <c r="TL14" s="111">
        <v>0.30952153902665636</v>
      </c>
      <c r="TM14" s="713">
        <v>0.31291377165580819</v>
      </c>
      <c r="TN14" s="386">
        <v>0.31630600428496003</v>
      </c>
      <c r="TO14" s="386">
        <v>0.31969823691411187</v>
      </c>
      <c r="TP14" s="386">
        <v>0.3230904695432637</v>
      </c>
      <c r="TQ14" s="386">
        <v>0.32648270217241554</v>
      </c>
      <c r="TR14" s="386">
        <v>0.32987493480156738</v>
      </c>
      <c r="TS14" s="111">
        <v>0.33326716743071916</v>
      </c>
      <c r="TT14" s="111">
        <v>0.33326716743071916</v>
      </c>
      <c r="TU14" s="390"/>
      <c r="TV14" s="252">
        <v>21773</v>
      </c>
      <c r="TW14" s="252">
        <v>171</v>
      </c>
      <c r="TX14" s="252">
        <v>178.5924</v>
      </c>
      <c r="TY14" s="252">
        <v>186.52190256</v>
      </c>
      <c r="TZ14" s="252">
        <v>194.803475033664</v>
      </c>
      <c r="UA14" s="252">
        <v>203.45274932515869</v>
      </c>
      <c r="UB14" s="252">
        <v>212.48605139519574</v>
      </c>
      <c r="UC14" s="252">
        <v>221.92043207714244</v>
      </c>
      <c r="UD14" s="252">
        <v>231.77369926136757</v>
      </c>
      <c r="UE14" s="252">
        <v>242.06445150857229</v>
      </c>
      <c r="UF14" s="252">
        <v>252.81211315555291</v>
      </c>
      <c r="UG14" s="252">
        <v>264.03697097965943</v>
      </c>
      <c r="UH14" s="390"/>
      <c r="UI14" s="252">
        <v>105848.91976</v>
      </c>
      <c r="UJ14" s="252">
        <v>77710.049999999988</v>
      </c>
      <c r="UK14" s="252">
        <v>87143.285303608107</v>
      </c>
      <c r="UL14" s="252">
        <v>98184.438374200356</v>
      </c>
      <c r="UM14" s="252">
        <v>109838.24526534634</v>
      </c>
      <c r="UN14" s="252">
        <v>121323.27987304324</v>
      </c>
      <c r="UO14" s="252">
        <v>133994.54363824963</v>
      </c>
      <c r="UP14" s="252">
        <v>147973.31922414337</v>
      </c>
      <c r="UQ14" s="252">
        <v>163393.1851553696</v>
      </c>
      <c r="UR14" s="252">
        <v>175311.88066481811</v>
      </c>
      <c r="US14" s="252">
        <v>184975.9731937976</v>
      </c>
      <c r="UT14" s="252">
        <v>193188.90640360222</v>
      </c>
      <c r="UU14" s="390"/>
      <c r="UV14" s="111">
        <v>0.29644300000000001</v>
      </c>
      <c r="UW14" s="111">
        <v>0.13992878999874869</v>
      </c>
      <c r="UX14" s="713">
        <v>0.15215892444333218</v>
      </c>
      <c r="UY14" s="386">
        <v>0.16438905888791566</v>
      </c>
      <c r="UZ14" s="386">
        <v>0.17661919333249915</v>
      </c>
      <c r="VA14" s="386">
        <v>0.18884932777708263</v>
      </c>
      <c r="VB14" s="386">
        <v>0.20107946222166612</v>
      </c>
      <c r="VC14" s="386">
        <v>0.2133095966662496</v>
      </c>
      <c r="VD14" s="386">
        <v>0.22553973111083311</v>
      </c>
      <c r="VE14" s="386">
        <v>0.23776986555541654</v>
      </c>
      <c r="VF14" s="111">
        <v>0.25</v>
      </c>
      <c r="VG14" s="111">
        <v>0.25</v>
      </c>
      <c r="VH14" s="390"/>
      <c r="VI14" s="252">
        <v>80374.919760000004</v>
      </c>
      <c r="VJ14" s="252">
        <v>66836.176732757725</v>
      </c>
      <c r="VK14" s="252">
        <v>73883.656739352664</v>
      </c>
      <c r="VL14" s="252">
        <v>82043.990952427004</v>
      </c>
      <c r="VM14" s="252">
        <v>90438.702989523677</v>
      </c>
      <c r="VN14" s="252">
        <v>98411.460025308159</v>
      </c>
      <c r="VO14" s="252">
        <v>107050.99286283282</v>
      </c>
      <c r="VP14" s="252">
        <v>116409.19018307514</v>
      </c>
      <c r="VQ14" s="252">
        <v>126541.53011008498</v>
      </c>
      <c r="VR14" s="252">
        <v>133627.99836887707</v>
      </c>
      <c r="VS14" s="252">
        <v>138731.97989534819</v>
      </c>
      <c r="VT14" s="252">
        <v>144891.67980270166</v>
      </c>
      <c r="VU14" s="390"/>
      <c r="VV14" s="386"/>
      <c r="VW14" s="386">
        <v>0.94059861753335994</v>
      </c>
      <c r="VX14" s="386">
        <v>0.94059861753335994</v>
      </c>
      <c r="VY14" s="386">
        <v>0.73535227835731243</v>
      </c>
      <c r="VZ14" s="386">
        <v>0.54465442610538328</v>
      </c>
      <c r="WA14" s="386">
        <v>0.5322793887495153</v>
      </c>
      <c r="WB14" s="386">
        <v>0.2115222532580629</v>
      </c>
      <c r="WC14" s="386">
        <v>0.21255687233740528</v>
      </c>
      <c r="WD14" s="386">
        <v>0.14260766152068033</v>
      </c>
      <c r="WE14" s="386">
        <v>0.10277928079844068</v>
      </c>
      <c r="WF14" s="386">
        <v>0.10339464026106168</v>
      </c>
      <c r="WG14" s="386">
        <v>0.26191899218088482</v>
      </c>
      <c r="WH14" s="390"/>
      <c r="WI14" s="252">
        <v>-62705.173072449026</v>
      </c>
      <c r="WJ14" s="252">
        <v>-69326.881622802466</v>
      </c>
      <c r="WK14" s="252">
        <v>-60194.076366382891</v>
      </c>
      <c r="WL14" s="252">
        <v>-49151.739299576431</v>
      </c>
      <c r="WM14" s="714">
        <v>-52274.098083168195</v>
      </c>
      <c r="WN14" s="252">
        <v>-22598.721695482189</v>
      </c>
      <c r="WO14" s="252">
        <v>-24696.402663694553</v>
      </c>
      <c r="WP14" s="252">
        <v>-18012.738988994315</v>
      </c>
      <c r="WQ14" s="252">
        <v>-13709.310356655469</v>
      </c>
      <c r="WR14" s="252">
        <v>-14318.003736491011</v>
      </c>
      <c r="WS14" s="252">
        <v>-386987.14588569658</v>
      </c>
      <c r="WT14" s="252">
        <v>-37949.882749319084</v>
      </c>
      <c r="WU14" s="725"/>
      <c r="WV14" s="252">
        <v>4131.0036603086992</v>
      </c>
      <c r="WW14" s="252">
        <v>4556.7751165501977</v>
      </c>
      <c r="WX14" s="252">
        <v>21849.914586044113</v>
      </c>
      <c r="WY14" s="252">
        <v>41286.963689947246</v>
      </c>
      <c r="WZ14" s="252">
        <v>46137.361942139964</v>
      </c>
      <c r="XA14" s="252">
        <v>84452.271167350627</v>
      </c>
      <c r="XB14" s="252">
        <v>91712.787519380596</v>
      </c>
      <c r="XC14" s="252">
        <v>108528.79112109066</v>
      </c>
      <c r="XD14" s="252">
        <v>119918.68801222161</v>
      </c>
      <c r="XE14" s="252">
        <v>124413.97615885719</v>
      </c>
      <c r="XF14" s="252">
        <v>106941.79705338259</v>
      </c>
      <c r="XG14" s="390"/>
      <c r="XH14" s="386">
        <v>9.3569027090413176E-2</v>
      </c>
      <c r="XI14" s="386">
        <v>9.2282550303420391E-2</v>
      </c>
      <c r="XJ14" s="386">
        <v>9.099607351642762E-2</v>
      </c>
      <c r="XK14" s="386">
        <v>8.9709596729434835E-2</v>
      </c>
      <c r="XL14" s="386">
        <v>8.8423119942442036E-2</v>
      </c>
      <c r="XM14" s="386">
        <v>8.7136643155449264E-2</v>
      </c>
      <c r="XN14" s="386">
        <v>8.5850166368456479E-2</v>
      </c>
      <c r="XO14" s="386">
        <v>8.456368958146368E-2</v>
      </c>
      <c r="XP14" s="386">
        <v>8.4375277293258902E-2</v>
      </c>
      <c r="XQ14" s="386">
        <v>8.4759031084956138E-2</v>
      </c>
      <c r="XR14" s="386">
        <v>8.4759031084956138E-2</v>
      </c>
      <c r="XS14" s="390"/>
      <c r="XT14" s="252">
        <v>1138339.6119828394</v>
      </c>
      <c r="XU14" s="252">
        <v>1244852.9419745523</v>
      </c>
      <c r="XV14" s="252">
        <v>1359731.1462126798</v>
      </c>
      <c r="XW14" s="252">
        <v>1483461.3415560252</v>
      </c>
      <c r="XX14" s="252">
        <v>1616542.0602707225</v>
      </c>
      <c r="XY14" s="252">
        <v>1759481.7527580431</v>
      </c>
      <c r="XZ14" s="252">
        <v>1912797.086386645</v>
      </c>
      <c r="YA14" s="252">
        <v>2077011.0344820374</v>
      </c>
      <c r="YB14" s="252">
        <v>2252650.7508592512</v>
      </c>
      <c r="YC14" s="252">
        <v>2442718.7826078683</v>
      </c>
      <c r="YD14" s="252">
        <v>2649761.2598347347</v>
      </c>
      <c r="YE14" s="390"/>
      <c r="YF14" s="252">
        <v>356275.77938096836</v>
      </c>
      <c r="YG14" s="252">
        <v>3777.5426680653045</v>
      </c>
      <c r="YH14" s="252">
        <v>3819.3336985664955</v>
      </c>
      <c r="YI14" s="252">
        <v>16825.972736795589</v>
      </c>
      <c r="YJ14" s="252">
        <v>29279.917108245194</v>
      </c>
      <c r="YK14" s="252">
        <v>30203.965594730558</v>
      </c>
      <c r="YL14" s="252">
        <v>51157.171868174752</v>
      </c>
      <c r="YM14" s="252">
        <v>51527.678688765125</v>
      </c>
      <c r="YN14" s="252">
        <v>56689.742163626557</v>
      </c>
      <c r="YO14" s="252">
        <v>57845.609394318039</v>
      </c>
      <c r="YP14" s="252">
        <v>55148.845459680764</v>
      </c>
      <c r="YQ14" s="390"/>
      <c r="YR14" s="252">
        <v>1494615.3913638077</v>
      </c>
      <c r="YS14" s="252">
        <v>13078.361277695119</v>
      </c>
      <c r="YT14" s="252">
        <v>1507693.7526415028</v>
      </c>
      <c r="YU14" s="390"/>
      <c r="YV14" s="382">
        <v>596.03111158571028</v>
      </c>
      <c r="YW14" s="111">
        <v>0.88203449414133583</v>
      </c>
      <c r="YX14" s="386">
        <v>0.61272727272727279</v>
      </c>
      <c r="YY14" s="385"/>
      <c r="YZ14" s="1006" t="e">
        <v>#N/A</v>
      </c>
      <c r="ZA14" s="367" t="e">
        <v>#N/A</v>
      </c>
      <c r="ZC14" s="385"/>
      <c r="ZE14" s="111">
        <v>0.22167038498246217</v>
      </c>
      <c r="ZF14" s="111">
        <v>0.22167038498246211</v>
      </c>
      <c r="ZG14" s="111">
        <v>0.21941112807816043</v>
      </c>
      <c r="ZH14" s="111">
        <v>0.15687468377226457</v>
      </c>
      <c r="ZI14" s="111"/>
      <c r="ZJ14" s="381"/>
      <c r="ZK14" s="386">
        <v>0.44963456111151312</v>
      </c>
      <c r="ZL14" s="386">
        <v>0.49696209381841439</v>
      </c>
      <c r="ZM14" s="386">
        <v>0.44616569361366809</v>
      </c>
      <c r="ZN14" s="386">
        <v>0.41000325332050863</v>
      </c>
      <c r="ZO14" s="386">
        <v>0.3800500203571221</v>
      </c>
      <c r="ZP14" s="386">
        <v>0.39668088426086884</v>
      </c>
      <c r="ZQ14" s="386">
        <v>0.28914903377955387</v>
      </c>
      <c r="ZR14" s="386">
        <v>0.34876886777067795</v>
      </c>
      <c r="ZS14" s="386">
        <v>0.42572792201871118</v>
      </c>
      <c r="ZT14" s="386">
        <v>0.41835892519132589</v>
      </c>
      <c r="ZU14" s="387">
        <v>0.3439128211407293</v>
      </c>
      <c r="ZV14" s="386">
        <v>0.21234572517075925</v>
      </c>
      <c r="ZW14" s="388">
        <v>0.33326716743071916</v>
      </c>
      <c r="ZX14" s="386">
        <v>0.21385703132067158</v>
      </c>
      <c r="ZY14" s="386">
        <v>7.6239835252127491E-2</v>
      </c>
      <c r="ZZ14" s="386">
        <v>0</v>
      </c>
      <c r="AAA14" s="386">
        <v>0</v>
      </c>
      <c r="AAB14" s="386">
        <v>0</v>
      </c>
      <c r="AAC14" s="386">
        <v>0</v>
      </c>
      <c r="AAD14" s="386">
        <v>0</v>
      </c>
      <c r="AAE14" s="386">
        <v>0</v>
      </c>
      <c r="AAF14" s="386">
        <v>0</v>
      </c>
      <c r="AAG14" s="386">
        <v>0</v>
      </c>
      <c r="AAH14" s="389">
        <f t="shared" si="13"/>
        <v>13</v>
      </c>
      <c r="AAI14" s="112">
        <v>10</v>
      </c>
      <c r="AAJ14" s="386">
        <v>5.7772439741048585E-2</v>
      </c>
      <c r="AAK14" s="109">
        <v>0.19999999999999996</v>
      </c>
      <c r="AAL14" s="111">
        <v>2.3412985370655164E-2</v>
      </c>
      <c r="AAM14" s="387">
        <v>0.38273714015358123</v>
      </c>
      <c r="AAN14" s="386">
        <v>5.7646135995735467E-2</v>
      </c>
      <c r="AAO14" s="388">
        <v>0.42956311089489158</v>
      </c>
      <c r="AAP14" s="111">
        <v>0.28914903377955387</v>
      </c>
      <c r="AAQ14" s="111">
        <v>0.49696209381841439</v>
      </c>
      <c r="AAR14" s="389"/>
      <c r="AAS14" s="378"/>
      <c r="AAT14" s="120">
        <v>9641</v>
      </c>
      <c r="AAU14" s="120">
        <v>13775</v>
      </c>
      <c r="AAV14" s="120">
        <v>17319</v>
      </c>
      <c r="AAW14" s="120">
        <v>30244</v>
      </c>
      <c r="AAX14" s="120">
        <v>48200</v>
      </c>
      <c r="AAY14" s="120">
        <v>71220</v>
      </c>
      <c r="AAZ14" s="120">
        <v>86053</v>
      </c>
      <c r="ABA14" s="120">
        <v>109020</v>
      </c>
      <c r="ABB14" s="120">
        <v>125713</v>
      </c>
      <c r="ABC14" s="120">
        <v>158852</v>
      </c>
      <c r="ABD14" s="120">
        <v>227758</v>
      </c>
      <c r="ABE14" s="389"/>
      <c r="ABF14" s="120">
        <v>888154</v>
      </c>
      <c r="ABG14" s="120">
        <v>227758</v>
      </c>
      <c r="ABH14" s="120">
        <v>0</v>
      </c>
      <c r="ABI14" s="389"/>
      <c r="ABJ14" s="391"/>
      <c r="ABK14" s="164">
        <v>2.3606081311923472</v>
      </c>
      <c r="ABL14" s="164">
        <v>2.6148453077764198</v>
      </c>
      <c r="ABM14" s="164">
        <v>2.3479595483884532</v>
      </c>
      <c r="ABN14" s="164">
        <v>1.8024833001886695</v>
      </c>
      <c r="ABO14" s="164">
        <v>1.4397085915257075</v>
      </c>
      <c r="ABP14" s="164">
        <v>1.4996725439204441</v>
      </c>
      <c r="ABQ14" s="164">
        <v>1.1955421816448202</v>
      </c>
      <c r="ABR14" s="164">
        <v>1.1494080508492628</v>
      </c>
      <c r="ABS14" s="164">
        <v>1.1561576441234866</v>
      </c>
      <c r="ABT14" s="164">
        <v>1.0396316701585577</v>
      </c>
      <c r="ABU14" s="390"/>
      <c r="ABV14" s="164">
        <v>1.1561576441234866</v>
      </c>
      <c r="ABW14" s="164">
        <v>1.4696905677230758</v>
      </c>
      <c r="ABX14" s="164">
        <v>1.1436057260339987</v>
      </c>
      <c r="ABY14" s="164">
        <v>2.6703324971858202</v>
      </c>
      <c r="ABZ14" s="164">
        <v>0.98324860726962859</v>
      </c>
      <c r="ACA14" s="390"/>
      <c r="ACB14" s="112">
        <v>10</v>
      </c>
      <c r="ACC14" s="392">
        <v>0.58552349906057366</v>
      </c>
      <c r="ACD14" s="109">
        <v>0.19999999999999996</v>
      </c>
      <c r="ACE14" s="393">
        <v>0.23729053471043901</v>
      </c>
      <c r="ACF14" s="394">
        <v>0.90631519132355964</v>
      </c>
      <c r="ACG14" s="386">
        <v>0.20749330762216253</v>
      </c>
      <c r="ACH14" s="395">
        <v>1.3808962607444377</v>
      </c>
      <c r="ACI14" s="121">
        <v>1.0396316701585577</v>
      </c>
      <c r="ACJ14" s="121">
        <v>2.6148453077764198</v>
      </c>
      <c r="ACL14" s="252">
        <v>-19234.979274656642</v>
      </c>
      <c r="ACM14" s="252">
        <v>-18998.046198350519</v>
      </c>
      <c r="ACN14" s="252">
        <v>-19655.446497867979</v>
      </c>
      <c r="ACO14" s="252">
        <v>-18922.748901229043</v>
      </c>
      <c r="ACP14" s="252">
        <v>-20679.215075344771</v>
      </c>
      <c r="ACQ14" s="252">
        <v>-22598.721695482189</v>
      </c>
      <c r="ACR14" s="252">
        <v>-24696.402663694553</v>
      </c>
      <c r="ACS14" s="252">
        <v>-18012.738988994315</v>
      </c>
      <c r="ACT14" s="252">
        <v>-13709.310356655469</v>
      </c>
      <c r="ACU14" s="252">
        <v>-14318.003736491011</v>
      </c>
      <c r="ACV14" s="252">
        <v>-190825.61338876651</v>
      </c>
      <c r="ACW14" s="386">
        <v>0.18492999851058531</v>
      </c>
      <c r="ACX14" s="235"/>
      <c r="ACY14" s="378"/>
      <c r="ACZ14" s="378"/>
      <c r="ADA14" s="111">
        <v>0.86487871540826788</v>
      </c>
      <c r="ADB14" s="111">
        <v>0.99974271563645711</v>
      </c>
      <c r="ADC14" s="111">
        <v>0.91096020015558321</v>
      </c>
      <c r="ADD14" s="111">
        <v>0.57771148845035947</v>
      </c>
      <c r="ADE14" s="111">
        <v>0.479601406799531</v>
      </c>
      <c r="ADF14" s="111">
        <v>0.49425114291709321</v>
      </c>
      <c r="ADG14" s="111">
        <v>0.28808066395657012</v>
      </c>
      <c r="ADH14" s="111">
        <v>0.32990348864454511</v>
      </c>
      <c r="ADI14" s="111">
        <v>0.4338528554108903</v>
      </c>
      <c r="ADJ14" s="111">
        <v>0.30315780636817469</v>
      </c>
      <c r="ADK14" s="111">
        <v>0.25729906198684571</v>
      </c>
      <c r="ADL14" s="111">
        <v>0.32990348864454511</v>
      </c>
      <c r="ADM14" s="111">
        <v>0.48692627485831208</v>
      </c>
      <c r="ADN14" s="111">
        <v>0.56821404837474732</v>
      </c>
      <c r="ADO14" s="111">
        <v>0.24949618830393022</v>
      </c>
      <c r="ADP14" s="111">
        <v>0.43944025754743576</v>
      </c>
      <c r="ADQ14" s="235"/>
      <c r="ADR14" s="112">
        <v>10</v>
      </c>
      <c r="ADS14" s="397">
        <v>0.26429973103779064</v>
      </c>
      <c r="ADT14" s="109">
        <v>0.3</v>
      </c>
      <c r="ADU14" s="393">
        <v>8.6623976614124604E-2</v>
      </c>
      <c r="ADV14" s="396">
        <v>0.48159007176062274</v>
      </c>
      <c r="ADW14" s="397">
        <v>0.15244955111879696</v>
      </c>
      <c r="ADX14" s="398">
        <v>0.65483802498887189</v>
      </c>
      <c r="ADY14" s="111">
        <v>0.28808066395657012</v>
      </c>
      <c r="ADZ14" s="111">
        <v>0.99974271563645711</v>
      </c>
      <c r="AEA14" s="235"/>
      <c r="AEB14" s="386">
        <v>0.27294051556500964</v>
      </c>
      <c r="AEC14" s="386">
        <v>0.28289901574862036</v>
      </c>
      <c r="AED14" s="386">
        <v>0.29510378179268487</v>
      </c>
      <c r="AEE14" s="386">
        <v>0.30736217489175888</v>
      </c>
      <c r="AEF14" s="386">
        <v>0.3154407452390931</v>
      </c>
      <c r="AEG14" s="386">
        <v>0.32305842529934642</v>
      </c>
      <c r="AEH14" s="386">
        <v>0.33018853864745185</v>
      </c>
      <c r="AEI14" s="386">
        <v>0.34386490048165391</v>
      </c>
      <c r="AEJ14" s="386">
        <v>0.35187059182281916</v>
      </c>
      <c r="AEK14" s="386">
        <v>0.43944025754743576</v>
      </c>
      <c r="AEM14" s="252">
        <v>244248.00618096307</v>
      </c>
      <c r="AEN14" s="252">
        <v>260534.89137921159</v>
      </c>
      <c r="AEO14" s="252">
        <v>277385.36101639387</v>
      </c>
      <c r="AEP14" s="252">
        <v>293607.69439593679</v>
      </c>
      <c r="AEQ14" s="252">
        <v>311335.83330062439</v>
      </c>
      <c r="AER14" s="252">
        <v>330709.55110500805</v>
      </c>
      <c r="AES14" s="252">
        <v>351881.59536649822</v>
      </c>
      <c r="AET14" s="252">
        <v>367323.783945092</v>
      </c>
      <c r="AEU14" s="252">
        <v>379076.67482633394</v>
      </c>
      <c r="AEV14" s="252">
        <v>391351.39406270307</v>
      </c>
      <c r="AEW14" s="252">
        <v>3207454.785578765</v>
      </c>
      <c r="AEY14" s="252">
        <v>-16490.006180963075</v>
      </c>
      <c r="AEZ14" s="252">
        <v>-16286.885198248508</v>
      </c>
      <c r="AFA14" s="252">
        <v>-16850.469637182272</v>
      </c>
      <c r="AFB14" s="252">
        <v>-16222.333379542948</v>
      </c>
      <c r="AFC14" s="252">
        <v>-17728.138904687599</v>
      </c>
      <c r="AFD14" s="252">
        <v>-19373.717804383639</v>
      </c>
      <c r="AFE14" s="252">
        <v>-21172.044261490151</v>
      </c>
      <c r="AFF14" s="252">
        <v>-15442.188578593781</v>
      </c>
      <c r="AFG14" s="252">
        <v>-11752.890881241945</v>
      </c>
      <c r="AFH14" s="252">
        <v>-12274.719236369119</v>
      </c>
      <c r="AFI14" s="252">
        <v>-163593.39406270304</v>
      </c>
      <c r="AFK14" s="252">
        <v>-16490.006180963075</v>
      </c>
      <c r="AFL14" s="252">
        <v>-16286.885198248508</v>
      </c>
      <c r="AFM14" s="252">
        <v>-16850.469637182272</v>
      </c>
      <c r="AFN14" s="252">
        <v>-16222.333379542948</v>
      </c>
      <c r="AFO14" s="252">
        <v>-17728.138904687599</v>
      </c>
      <c r="AFP14" s="252">
        <v>-19373.717804383639</v>
      </c>
      <c r="AFQ14" s="252">
        <v>-21172.044261490151</v>
      </c>
      <c r="AFR14" s="252">
        <v>-15442.188578593781</v>
      </c>
      <c r="AFS14" s="252">
        <v>-11752.890881241945</v>
      </c>
      <c r="AFT14" s="252">
        <v>-12274.719236369119</v>
      </c>
      <c r="AFU14" s="252">
        <v>-163593.39406270307</v>
      </c>
      <c r="AFV14" s="386">
        <v>0.15853912681377091</v>
      </c>
      <c r="AFX14" s="399">
        <v>0</v>
      </c>
      <c r="AFZ14" s="121">
        <v>-69466.5</v>
      </c>
      <c r="AGA14" s="121">
        <v>-69466.5</v>
      </c>
      <c r="AGB14" s="121">
        <v>-64074.222189999986</v>
      </c>
      <c r="AGC14" s="121">
        <v>-54524.055759999988</v>
      </c>
      <c r="AGD14" s="121">
        <v>-56968</v>
      </c>
      <c r="AGF14" s="392">
        <v>-62705.173072449026</v>
      </c>
      <c r="AGG14" s="392">
        <v>-69326.881622802466</v>
      </c>
      <c r="AGH14" s="392">
        <v>-60194.076366382891</v>
      </c>
      <c r="AGI14" s="392">
        <v>-49151.739299576431</v>
      </c>
      <c r="AGJ14" s="392">
        <v>-52274.098083168195</v>
      </c>
      <c r="AGL14" s="400"/>
      <c r="AGM14" s="386">
        <v>2.9428001561031696E-2</v>
      </c>
      <c r="AGN14" s="386">
        <v>0.12322933427375157</v>
      </c>
      <c r="AGO14" s="386">
        <v>6.0494031304250274E-2</v>
      </c>
      <c r="AGP14" s="386">
        <v>4.8096426311248712E-2</v>
      </c>
      <c r="AGQ14" s="386">
        <v>6.5513338439403865E-2</v>
      </c>
      <c r="AGR14" s="386">
        <v>6.7353451415101517E-2</v>
      </c>
      <c r="AGS14" s="386">
        <v>9.0618106273591362E-2</v>
      </c>
      <c r="AGT14" s="386">
        <v>0.11388276113208121</v>
      </c>
      <c r="AGU14" s="386">
        <v>0.13714741599057106</v>
      </c>
      <c r="AGV14" s="386">
        <v>0.16041207084906092</v>
      </c>
      <c r="AGW14" s="386">
        <v>0.18367672570755078</v>
      </c>
      <c r="AGX14" s="386">
        <v>0.20694138056604064</v>
      </c>
      <c r="AGY14" s="386">
        <v>0.2302060354245305</v>
      </c>
      <c r="AGZ14" s="386">
        <v>0.25347069028302033</v>
      </c>
      <c r="AHA14" s="386">
        <v>0.27673534514151016</v>
      </c>
      <c r="AHB14" s="386">
        <v>0.3</v>
      </c>
      <c r="AHC14" s="386">
        <v>0.3</v>
      </c>
      <c r="AHE14" s="401">
        <v>0.8</v>
      </c>
      <c r="AHF14" s="401">
        <v>0.8</v>
      </c>
      <c r="AHG14" s="401">
        <v>0.8</v>
      </c>
      <c r="AHH14" s="401">
        <v>0.8</v>
      </c>
      <c r="AHI14" s="401">
        <v>0.8</v>
      </c>
      <c r="AHJ14" s="401">
        <v>0.8</v>
      </c>
      <c r="AHK14" s="401">
        <v>0.8</v>
      </c>
      <c r="AHL14" s="401">
        <v>0.8</v>
      </c>
      <c r="AHM14" s="401">
        <v>0.8</v>
      </c>
      <c r="AHN14" s="401">
        <v>0.82241722006010343</v>
      </c>
      <c r="AHO14" s="401">
        <v>0.85839363178443739</v>
      </c>
      <c r="AHP14" s="401">
        <v>0.85839363178443739</v>
      </c>
      <c r="AHR14" s="386">
        <v>9.8579980010683049E-2</v>
      </c>
      <c r="AHS14" s="386">
        <v>9.8579980010683049E-2</v>
      </c>
      <c r="AHT14" s="386">
        <v>9.8579980010683049E-2</v>
      </c>
      <c r="AHU14" s="386">
        <v>9.8579980010683049E-2</v>
      </c>
      <c r="AHV14" s="386">
        <v>9.8579980010683049E-2</v>
      </c>
      <c r="AHW14" s="386">
        <v>9.8579980010683049E-2</v>
      </c>
      <c r="AHX14" s="386">
        <v>9.8579980010683049E-2</v>
      </c>
      <c r="AHY14" s="386">
        <v>9.8579980010683049E-2</v>
      </c>
      <c r="AHZ14" s="386">
        <v>0.1000981856791224</v>
      </c>
      <c r="AIA14" s="386">
        <v>0.10253468726422306</v>
      </c>
      <c r="AIB14" s="386">
        <v>0.10253468726422306</v>
      </c>
    </row>
    <row r="15" spans="1:944" s="374" customFormat="1" ht="15" customHeight="1" x14ac:dyDescent="0.35">
      <c r="A15" s="125" t="s">
        <v>230</v>
      </c>
      <c r="B15" s="110" t="str">
        <f>IFERROR(IF(OR(RIGHT(LEFT(SUBSTITUTE(C15," ","^",2),FIND("^",SUBSTITUTE(C15," ","^",2))-1),1)=",",RIGHT(LEFT(SUBSTITUTE(C15," ","^",2),FIND("^",SUBSTITUTE(C15," ","^",2))-1),1)="."), LEFT(LEFT(SUBSTITUTE(C15," ","^",2),FIND("^",SUBSTITUTE(C15," ","^",2))-1),LEN(LEFT(SUBSTITUTE(C15," ","^",2),FIND("^",SUBSTITUTE(C15," ","^",2))-1))-1), LEFT(SUBSTITUTE(C15," ","^",2),FIND("^",SUBSTITUTE(C15," ","^",2))-1)),LEFT(C15,FIND("^",SUBSTITUTE(TRIM(C15)&amp;" "," ","^",2))-0))</f>
        <v>Meta Platforms</v>
      </c>
      <c r="C15" s="721" t="s">
        <v>618</v>
      </c>
      <c r="D15" s="110" t="str">
        <f>D13</f>
        <v>NasdaqGS:META</v>
      </c>
      <c r="E15" s="110" t="s">
        <v>368</v>
      </c>
      <c r="F15" s="110" t="s">
        <v>576</v>
      </c>
      <c r="G15" s="110" t="s">
        <v>577</v>
      </c>
      <c r="H15" s="110" t="s">
        <v>454</v>
      </c>
      <c r="I15" s="110" t="s">
        <v>455</v>
      </c>
      <c r="J15" s="110" t="s">
        <v>444</v>
      </c>
      <c r="K15" s="110" t="s">
        <v>358</v>
      </c>
      <c r="L15" s="110" t="s">
        <v>358</v>
      </c>
      <c r="M15" s="364" t="s">
        <v>364</v>
      </c>
      <c r="N15" s="365">
        <v>8.7862799999999996</v>
      </c>
      <c r="O15" s="110" t="s">
        <v>363</v>
      </c>
      <c r="P15" s="110"/>
      <c r="Q15" s="213"/>
      <c r="R15" s="366">
        <v>676.87</v>
      </c>
      <c r="S15" s="366">
        <v>479.8</v>
      </c>
      <c r="T15" s="366">
        <v>796.25</v>
      </c>
      <c r="U15" s="366">
        <v>614</v>
      </c>
      <c r="V15" s="366">
        <v>857.5</v>
      </c>
      <c r="W15" s="366">
        <v>1015</v>
      </c>
      <c r="X15" s="213"/>
      <c r="Y15" s="367">
        <v>46022</v>
      </c>
      <c r="Z15" s="368">
        <v>2025</v>
      </c>
      <c r="AA15" s="367">
        <v>46022</v>
      </c>
      <c r="AB15" s="213"/>
      <c r="AC15" s="120">
        <v>2538.4232999999999</v>
      </c>
      <c r="AD15" s="369">
        <v>0.86334169999999999</v>
      </c>
      <c r="AE15" s="120">
        <v>1718182.5817799999</v>
      </c>
      <c r="AF15" s="120">
        <v>3489</v>
      </c>
      <c r="AG15" s="213"/>
      <c r="AH15" s="120">
        <v>81592</v>
      </c>
      <c r="AI15" s="120">
        <v>0</v>
      </c>
      <c r="AJ15" s="120">
        <v>85081</v>
      </c>
      <c r="AK15" s="120">
        <v>0</v>
      </c>
      <c r="AL15" s="120">
        <v>0</v>
      </c>
      <c r="AM15" s="120">
        <v>0</v>
      </c>
      <c r="AN15" s="120">
        <v>27524</v>
      </c>
      <c r="AO15" s="213"/>
      <c r="AP15" s="371">
        <v>2.1043478260869599</v>
      </c>
      <c r="AQ15" s="371">
        <v>2.2446199999999998</v>
      </c>
      <c r="AR15" s="213"/>
      <c r="AS15" s="372">
        <v>1.30951</v>
      </c>
      <c r="AT15" s="372">
        <v>0.23222999999999999</v>
      </c>
      <c r="AU15" s="213"/>
      <c r="AV15" s="120">
        <v>101892</v>
      </c>
      <c r="AW15" s="164">
        <f t="shared" ref="AW15" si="16">IFERROR(AF15/AV15,"")</f>
        <v>3.4242138735131315E-2</v>
      </c>
      <c r="AX15" s="405">
        <v>71.481549999999999</v>
      </c>
      <c r="AY15" s="164">
        <v>16.267199999999999</v>
      </c>
      <c r="AZ15" s="164">
        <v>16.267199999999999</v>
      </c>
      <c r="BA15" s="405">
        <v>12.187889999999999</v>
      </c>
      <c r="BB15" s="406">
        <v>20.67428</v>
      </c>
      <c r="BC15" s="164">
        <v>20.67428</v>
      </c>
      <c r="BD15" s="405">
        <v>19.702860000000001</v>
      </c>
      <c r="BE15" s="406">
        <v>28.815239999999999</v>
      </c>
      <c r="BF15" s="164">
        <v>28.815239999999999</v>
      </c>
      <c r="BG15" s="405">
        <v>22.470949999999998</v>
      </c>
      <c r="BH15" s="164">
        <v>32.43985</v>
      </c>
      <c r="BI15" s="164">
        <v>32.43985</v>
      </c>
      <c r="BJ15" s="405">
        <v>1.02684</v>
      </c>
      <c r="BK15" s="164">
        <v>7.88279</v>
      </c>
      <c r="BL15" s="164">
        <v>7.88279</v>
      </c>
      <c r="BM15" s="164">
        <v>5.7888700000000002</v>
      </c>
      <c r="BN15" s="370"/>
      <c r="BO15" s="386">
        <v>0.19492599999999999</v>
      </c>
      <c r="BP15" s="407">
        <v>0.19492599999999999</v>
      </c>
      <c r="BQ15" s="111">
        <v>0.30237999999999998</v>
      </c>
      <c r="BR15" s="111">
        <v>0.30237999999999998</v>
      </c>
      <c r="BS15" s="370"/>
      <c r="BT15" s="410"/>
      <c r="BU15" s="408">
        <v>17928</v>
      </c>
      <c r="BV15" s="408">
        <v>27638</v>
      </c>
      <c r="BW15" s="408">
        <v>40653</v>
      </c>
      <c r="BX15" s="408">
        <v>55838</v>
      </c>
      <c r="BY15" s="408">
        <v>70697</v>
      </c>
      <c r="BZ15" s="408">
        <v>85965</v>
      </c>
      <c r="CA15" s="408">
        <v>117929</v>
      </c>
      <c r="CB15" s="408">
        <v>116609</v>
      </c>
      <c r="CC15" s="408">
        <v>134902</v>
      </c>
      <c r="CD15" s="408">
        <v>164501</v>
      </c>
      <c r="CE15" s="408">
        <v>200966</v>
      </c>
      <c r="CF15" s="370"/>
      <c r="CG15" s="408">
        <v>170360</v>
      </c>
      <c r="CH15" s="408">
        <v>200966</v>
      </c>
      <c r="CI15" s="408">
        <v>250863.95</v>
      </c>
      <c r="CJ15" s="370"/>
      <c r="CK15" s="375" t="s">
        <v>444</v>
      </c>
      <c r="CL15" s="375" t="s">
        <v>445</v>
      </c>
      <c r="CM15" s="375" t="s">
        <v>446</v>
      </c>
      <c r="CN15" s="375" t="s">
        <v>447</v>
      </c>
      <c r="CO15" s="375" t="s">
        <v>448</v>
      </c>
      <c r="CP15" s="375" t="s">
        <v>449</v>
      </c>
      <c r="CQ15" s="375" t="s">
        <v>450</v>
      </c>
      <c r="CR15" s="375" t="s">
        <v>451</v>
      </c>
      <c r="CS15" s="375" t="s">
        <v>452</v>
      </c>
      <c r="CT15" s="375" t="s">
        <v>453</v>
      </c>
      <c r="CU15" s="370" t="s">
        <v>24</v>
      </c>
      <c r="CV15" s="112">
        <v>74780</v>
      </c>
      <c r="CW15" s="112">
        <v>4086</v>
      </c>
      <c r="CX15" s="112">
        <v>46569</v>
      </c>
      <c r="CY15" s="112">
        <v>53817</v>
      </c>
      <c r="CZ15" s="112">
        <v>21714</v>
      </c>
      <c r="DA15" s="112">
        <v>0</v>
      </c>
      <c r="DB15" s="112">
        <v>0</v>
      </c>
      <c r="DC15" s="112">
        <v>0</v>
      </c>
      <c r="DD15" s="112">
        <v>0</v>
      </c>
      <c r="DE15" s="112">
        <v>0</v>
      </c>
      <c r="DF15" s="112">
        <f>MAX(0,$CE15-SUM(CV15:DE15))</f>
        <v>0</v>
      </c>
      <c r="DG15" s="370"/>
      <c r="DH15" s="375" t="s">
        <v>454</v>
      </c>
      <c r="DI15" s="375" t="s">
        <v>455</v>
      </c>
      <c r="DJ15" s="375" t="s">
        <v>456</v>
      </c>
      <c r="DK15" s="375" t="s">
        <v>457</v>
      </c>
      <c r="DL15" s="375" t="s">
        <v>457</v>
      </c>
      <c r="DM15" s="375" t="s">
        <v>457</v>
      </c>
      <c r="DN15" s="375" t="s">
        <v>457</v>
      </c>
      <c r="DO15" s="375" t="s">
        <v>457</v>
      </c>
      <c r="DP15" s="375" t="s">
        <v>457</v>
      </c>
      <c r="DQ15" s="375" t="s">
        <v>457</v>
      </c>
      <c r="DR15" s="370" t="s">
        <v>24</v>
      </c>
      <c r="DS15" s="112">
        <v>198759</v>
      </c>
      <c r="DT15" s="112">
        <v>2207</v>
      </c>
      <c r="DU15" s="112">
        <v>0</v>
      </c>
      <c r="DV15" s="112">
        <v>0</v>
      </c>
      <c r="DW15" s="112">
        <v>0</v>
      </c>
      <c r="DX15" s="112">
        <v>0</v>
      </c>
      <c r="DY15" s="112">
        <v>0</v>
      </c>
      <c r="DZ15" s="112">
        <v>0</v>
      </c>
      <c r="EA15" s="112">
        <v>0</v>
      </c>
      <c r="EB15" s="112">
        <v>0</v>
      </c>
      <c r="EC15" s="112">
        <f>MAX(0,$CE15-SUM(DS15:EB15))</f>
        <v>0</v>
      </c>
      <c r="ED15" s="370"/>
      <c r="EE15" s="377">
        <v>2025</v>
      </c>
      <c r="EF15" s="120" t="str">
        <f t="shared" ref="EF15" si="17">"FY" &amp;EE15+1</f>
        <v>FY2026</v>
      </c>
      <c r="EG15" s="120" t="str">
        <f t="shared" ref="EG15" si="18">"FY" &amp;EE15+2</f>
        <v>FY2027</v>
      </c>
      <c r="EH15" s="120" t="str">
        <f t="shared" ref="EH15" si="19">"FY" &amp;EE15+3</f>
        <v>FY2028</v>
      </c>
      <c r="EI15" s="120" t="str">
        <f t="shared" ref="EI15" si="20">"FY" &amp;EE15+4</f>
        <v>FY2029</v>
      </c>
      <c r="EJ15" s="120" t="str">
        <f t="shared" ref="EJ15" si="21">"FY" &amp;EE15+5</f>
        <v>FY2030</v>
      </c>
      <c r="EK15" s="120" t="str">
        <f t="shared" ref="EK15" si="22">"FY" &amp;EE15+6</f>
        <v>FY2031</v>
      </c>
      <c r="EL15" s="370"/>
      <c r="EM15" s="120">
        <v>250863.95</v>
      </c>
      <c r="EN15" s="120">
        <v>298236</v>
      </c>
      <c r="EO15" s="120">
        <v>347061</v>
      </c>
      <c r="EP15" s="120">
        <v>399215</v>
      </c>
      <c r="EQ15" s="120">
        <v>453057</v>
      </c>
      <c r="ER15" s="120">
        <v>505247</v>
      </c>
      <c r="ES15" s="370"/>
      <c r="ET15" s="410"/>
      <c r="EU15" s="120">
        <v>6225</v>
      </c>
      <c r="EV15" s="120">
        <v>12427</v>
      </c>
      <c r="EW15" s="120">
        <v>20203</v>
      </c>
      <c r="EX15" s="120">
        <v>24913</v>
      </c>
      <c r="EY15" s="120">
        <v>28986</v>
      </c>
      <c r="EZ15" s="120">
        <v>32671</v>
      </c>
      <c r="FA15" s="120">
        <v>46753</v>
      </c>
      <c r="FB15" s="120">
        <v>33555</v>
      </c>
      <c r="FC15" s="120">
        <v>46751</v>
      </c>
      <c r="FD15" s="120">
        <v>69380</v>
      </c>
      <c r="FE15" s="120">
        <v>83276</v>
      </c>
      <c r="FF15" s="390"/>
      <c r="FG15" s="120">
        <v>73506</v>
      </c>
      <c r="FH15" s="120">
        <v>83276</v>
      </c>
      <c r="FI15" s="120">
        <v>86128</v>
      </c>
      <c r="FJ15" s="390"/>
      <c r="FK15" s="120">
        <v>86128</v>
      </c>
      <c r="FL15" s="120">
        <v>101254.1</v>
      </c>
      <c r="FM15" s="120">
        <v>118644</v>
      </c>
      <c r="FN15" s="120">
        <v>138640</v>
      </c>
      <c r="FO15" s="120">
        <v>168655</v>
      </c>
      <c r="FP15" s="390"/>
      <c r="FQ15" s="410"/>
      <c r="FR15" s="120">
        <v>2506</v>
      </c>
      <c r="FS15" s="120">
        <v>2301</v>
      </c>
      <c r="FT15" s="120">
        <v>4660</v>
      </c>
      <c r="FU15" s="120">
        <v>3249</v>
      </c>
      <c r="FV15" s="120">
        <v>6327</v>
      </c>
      <c r="FW15" s="120">
        <v>4034</v>
      </c>
      <c r="FX15" s="120">
        <v>7914</v>
      </c>
      <c r="FY15" s="120">
        <v>5619</v>
      </c>
      <c r="FZ15" s="120">
        <v>8330</v>
      </c>
      <c r="GA15" s="120">
        <v>8303</v>
      </c>
      <c r="GB15" s="120">
        <v>25474</v>
      </c>
      <c r="GC15" s="390"/>
      <c r="GD15" s="120">
        <v>8227</v>
      </c>
      <c r="GE15" s="120">
        <v>25474</v>
      </c>
      <c r="GF15" s="120">
        <v>12083</v>
      </c>
      <c r="GG15" s="390"/>
      <c r="GH15" s="390"/>
      <c r="GI15" s="390"/>
      <c r="GJ15" s="120">
        <f t="shared" ref="GJ15:GN15" si="23">IF(OR(AAT15="",AAU15=""),"",AAT15-AAU15)</f>
        <v>-4134</v>
      </c>
      <c r="GK15" s="120">
        <f t="shared" si="23"/>
        <v>-3544</v>
      </c>
      <c r="GL15" s="120">
        <f t="shared" si="23"/>
        <v>-12925</v>
      </c>
      <c r="GM15" s="120">
        <f t="shared" si="23"/>
        <v>-17956</v>
      </c>
      <c r="GN15" s="120">
        <f t="shared" si="23"/>
        <v>-23020</v>
      </c>
      <c r="GO15" s="120">
        <f>IF(OR(AAY15="",AAZ15=""),"",AAY15-AAZ15)</f>
        <v>-14833</v>
      </c>
      <c r="GP15" s="120">
        <f t="shared" ref="GP15:GS15" si="24">IF(OR(AAZ15="",ABA15=""),"",AAZ15-ABA15)</f>
        <v>-22967</v>
      </c>
      <c r="GQ15" s="120">
        <f t="shared" si="24"/>
        <v>-16693</v>
      </c>
      <c r="GR15" s="120">
        <f t="shared" si="24"/>
        <v>-33139</v>
      </c>
      <c r="GS15" s="120">
        <f t="shared" si="24"/>
        <v>-68906</v>
      </c>
      <c r="GT15" s="390"/>
      <c r="GU15" s="120">
        <f t="shared" ref="GU15" si="25">SUM(GJ15:GS15)</f>
        <v>-218117</v>
      </c>
      <c r="GV15" s="120"/>
      <c r="GW15" s="376"/>
      <c r="GX15" s="379"/>
      <c r="GY15" s="376"/>
      <c r="GZ15" s="376"/>
      <c r="HA15" s="120">
        <f t="shared" ref="HA15:HK15" si="26">EU15-FR15</f>
        <v>3719</v>
      </c>
      <c r="HB15" s="120">
        <f t="shared" si="26"/>
        <v>10126</v>
      </c>
      <c r="HC15" s="120">
        <f t="shared" si="26"/>
        <v>15543</v>
      </c>
      <c r="HD15" s="120">
        <f t="shared" si="26"/>
        <v>21664</v>
      </c>
      <c r="HE15" s="120">
        <f t="shared" si="26"/>
        <v>22659</v>
      </c>
      <c r="HF15" s="120">
        <f t="shared" si="26"/>
        <v>28637</v>
      </c>
      <c r="HG15" s="120">
        <f t="shared" si="26"/>
        <v>38839</v>
      </c>
      <c r="HH15" s="120">
        <f t="shared" si="26"/>
        <v>27936</v>
      </c>
      <c r="HI15" s="120">
        <f t="shared" si="26"/>
        <v>38421</v>
      </c>
      <c r="HJ15" s="120">
        <f t="shared" si="26"/>
        <v>61077</v>
      </c>
      <c r="HK15" s="120">
        <f t="shared" si="26"/>
        <v>57802</v>
      </c>
      <c r="HL15" s="707"/>
      <c r="HM15" s="120">
        <f t="shared" ref="HM15:HO15" si="27">FG15-GD15</f>
        <v>65279</v>
      </c>
      <c r="HN15" s="120">
        <f t="shared" si="27"/>
        <v>57802</v>
      </c>
      <c r="HO15" s="120">
        <f t="shared" si="27"/>
        <v>74045</v>
      </c>
      <c r="HP15" s="390"/>
      <c r="HQ15" s="379"/>
      <c r="HR15" s="390"/>
      <c r="HS15" s="111">
        <f t="shared" ref="HS15:HW15" si="28">IFERROR(IF(EN15=0,0,EN15/EM15-1),"")</f>
        <v>0.18883562185798319</v>
      </c>
      <c r="HT15" s="111">
        <f t="shared" si="28"/>
        <v>0.16371263026596394</v>
      </c>
      <c r="HU15" s="111">
        <f t="shared" si="28"/>
        <v>0.15027329489628616</v>
      </c>
      <c r="HV15" s="111">
        <f t="shared" si="28"/>
        <v>0.13486968175043512</v>
      </c>
      <c r="HW15" s="111">
        <f t="shared" si="28"/>
        <v>0.11519521826171975</v>
      </c>
      <c r="HX15" s="709"/>
      <c r="HY15" s="112">
        <f t="shared" ref="HY15" si="29">ROUND((AA15-Y15)/30,0)</f>
        <v>0</v>
      </c>
      <c r="HZ15" s="111">
        <f>IF(OR(CI15=0,CH15=0),EM15/CE15-1,CI15/CH15-1)</f>
        <v>0.24829050685190546</v>
      </c>
      <c r="IA15" s="111">
        <f>IFERROR(MIN(IF(HS15=0,HZ15+($NU15-$HZ15)/9,IF(HT15=0,HS15,(HS15*(12-$HY15)+HT15*$HY15)/12)),IF(EO15/EM15-1&lt;=-100%,HZ15+($NU15-$HZ15)/9,IF(CI15=0,EM15/CH15-1,EO15/CI15-1))),HZ15+($NU15-$HZ15)/9)</f>
        <v>0.18883562185798319</v>
      </c>
      <c r="IB15" s="111">
        <f>IFERROR(MIN(IF(HT15=0,IA15+($NU15-$HZ15)/9,IF(HU15=0,HT15,(HT15*(12-$HY15)+HU15*$HY15)/12)),IF(EP15/EN15-1&lt;=-100%,IA15+($NU15-$HZ15)/9,IF(EM15=0,EN15/CI15-1,EP15/EM15-1))),IA15+($NU15-$HZ15)/9)</f>
        <v>0.16371263026596394</v>
      </c>
      <c r="IC15" s="111">
        <f>IFERROR(MIN(IF(HU15=0,IB15+($NU15-$HZ15)/9,IF(HV15=0,HU15,(HU15*(12-$HY15)+HV15*$HY15)/12)),IF(EQ15/EO15-1&lt;=-100%,IB15+($NU15-$HZ15)/9,IF(EN15=0,EO15/EM15-1,EQ15/EN15-1))),IB15+($NU15-$HZ15)/9)</f>
        <v>0.15027329489628616</v>
      </c>
      <c r="ID15" s="111">
        <f>IFERROR(MIN(IF(HV15=0,IC15+($NU15-$HZ15)/9,IF(HW15=0,HV15,(HV15*(12-$HY15)+HW15*$HY15)/12)),IF(ER15/EP15-1&lt;=-100%,IC15+($NU15-$HZ15)/9,IF(EO15=0,EP15/EN15-1,ER15/EO15-1))),IC15+($NU15-$HZ15)/9)</f>
        <v>0.13486968175043512</v>
      </c>
      <c r="IE15" s="709"/>
      <c r="IF15" s="111">
        <f>IF(CI15=0,HS15,HZ15)</f>
        <v>0.24829050685190546</v>
      </c>
      <c r="IG15" s="111">
        <f>IF(IA15=0,IF15,IA15)</f>
        <v>0.18883562185798319</v>
      </c>
      <c r="IH15" s="111">
        <f>IF(IB15=0,IG15,IB15)</f>
        <v>0.16371263026596394</v>
      </c>
      <c r="II15" s="111">
        <f>IF(IC15=0,IH15,IC15)</f>
        <v>0.15027329489628616</v>
      </c>
      <c r="IJ15" s="111">
        <f>IF(ID15=0,II15,ID15)</f>
        <v>0.13486968175043512</v>
      </c>
      <c r="IK15" s="390"/>
      <c r="IL15" s="111">
        <v>4.3200000000000002E-2</v>
      </c>
      <c r="IM15" s="390"/>
      <c r="IN15" s="111">
        <f t="shared" ref="IN15:IR15" si="30">IFERROR(IF(EM15=0,0,IF(FK15=0,0,FK15/EM15)),"")</f>
        <v>0.34332553561402501</v>
      </c>
      <c r="IO15" s="111">
        <f t="shared" si="30"/>
        <v>0.33950998538070526</v>
      </c>
      <c r="IP15" s="111">
        <f t="shared" si="30"/>
        <v>0.34185344939362244</v>
      </c>
      <c r="IQ15" s="111">
        <f t="shared" si="30"/>
        <v>0.34728154002229378</v>
      </c>
      <c r="IR15" s="111">
        <f t="shared" si="30"/>
        <v>0.37226000260452879</v>
      </c>
      <c r="IS15" s="709"/>
      <c r="IT15" s="111">
        <f>IFERROR(IF(OR(FI15=0,CI15=0),IN15,FI15/CI15),IN15)</f>
        <v>0.34332553561402501</v>
      </c>
      <c r="IU15" s="111">
        <f>IFERROR(IF($HY15=0,IO15,IF(IP15=0,IO15,IF(IQ15=0,IP15,IP15*(12-$HY15)/12+IQ15*$HY15/12))),"")</f>
        <v>0.33950998538070526</v>
      </c>
      <c r="IV15" s="111">
        <f>IF(IF($HY15=0,IP15,IF(IQ15=0,IP15,IF(IR15=0,IQ15,IQ15*(12-$HY15)/12+IR15*$HY15/12)))=0,IU15,IF($HY15=0,IP15,IF(IQ15=0,IP15,IF(IR15=0,IQ15,IQ15*(12-$HY15)/12+IR15*$HY15/12))))</f>
        <v>0.34185344939362244</v>
      </c>
      <c r="IW15" s="390"/>
      <c r="IX15" s="375" t="str">
        <f>IF(_xlfn.XLOOKUP(IY15,DS15:EB15,DH15:DQ15,FALSE)=$IX$9,H15,_xlfn.XLOOKUP(IY15,DS15:EB15,DH15:DQ15,FALSE))</f>
        <v>Interactive Media and Services</v>
      </c>
      <c r="IY15" s="252">
        <f t="shared" ref="IY15" si="31">MAX(DS15:EB15)</f>
        <v>198759</v>
      </c>
      <c r="IZ15" s="386">
        <f>IF(COUNT(ZK15:ZT15)=10,MEDIAN(ZK15:ZT15),"")</f>
        <v>0.41418108925591751</v>
      </c>
      <c r="JA15" s="386">
        <f t="shared" ref="JA15" si="32">MEDIAN(ZP15:ZT15)</f>
        <v>0.396680884260869</v>
      </c>
      <c r="JB15" s="386">
        <v>0.21385703132067158</v>
      </c>
      <c r="JC15" s="386">
        <f>TL15</f>
        <v>0.30952153902665636</v>
      </c>
      <c r="JD15" s="386">
        <f t="shared" ref="JD15" si="33">ZW15</f>
        <v>0.33326716743071916</v>
      </c>
      <c r="JE15" s="270"/>
      <c r="JF15" s="390"/>
      <c r="JG15" s="111">
        <v>0.25</v>
      </c>
      <c r="JH15" s="709"/>
      <c r="JI15" s="111">
        <f t="shared" ref="JI15" si="34">IFERROR(-SUM(GJ15:GS15)/SUM(HB15:HK15),"")</f>
        <v>0.6759042342208339</v>
      </c>
      <c r="JJ15" s="111">
        <v>0.35358588984580186</v>
      </c>
      <c r="JK15" s="111">
        <f t="shared" ref="JK15" si="35">MEDIAN(VW15:WF15)</f>
        <v>0.37241813054346035</v>
      </c>
      <c r="JL15" s="111">
        <f>-WS15/SUM(VJ15:VS15)</f>
        <v>0.37427103344686014</v>
      </c>
      <c r="JM15" s="710"/>
      <c r="JN15" s="709"/>
      <c r="JO15" s="111">
        <f t="shared" ref="JO15:JX15" si="36">IF(KB15="",0,IFERROR(CV15/SUM($CV15:$DF15),0))</f>
        <v>0.37210274374769864</v>
      </c>
      <c r="JP15" s="111">
        <f t="shared" si="36"/>
        <v>2.0331797418468796E-2</v>
      </c>
      <c r="JQ15" s="111">
        <f t="shared" si="36"/>
        <v>0.23172576455718877</v>
      </c>
      <c r="JR15" s="111">
        <f t="shared" si="36"/>
        <v>0.26779156673268117</v>
      </c>
      <c r="JS15" s="111">
        <f t="shared" si="36"/>
        <v>0.10804812754396266</v>
      </c>
      <c r="JT15" s="111">
        <f t="shared" si="36"/>
        <v>0</v>
      </c>
      <c r="JU15" s="111">
        <f t="shared" si="36"/>
        <v>0</v>
      </c>
      <c r="JV15" s="111">
        <f t="shared" si="36"/>
        <v>0</v>
      </c>
      <c r="JW15" s="111">
        <f t="shared" si="36"/>
        <v>0</v>
      </c>
      <c r="JX15" s="111">
        <f t="shared" si="36"/>
        <v>0</v>
      </c>
      <c r="JY15" s="111">
        <f t="shared" ref="JY15" si="37">100%-SUM(JO15:JX15)</f>
        <v>0</v>
      </c>
      <c r="JZ15" s="111">
        <f t="shared" ref="JZ15" si="38">SUM(JO15:JY15)</f>
        <v>1</v>
      </c>
      <c r="KA15" s="390"/>
      <c r="KB15" s="371">
        <v>48.621299999999998</v>
      </c>
      <c r="KC15" s="371">
        <v>23.055399999999999</v>
      </c>
      <c r="KD15" s="371">
        <v>45.324573763307427</v>
      </c>
      <c r="KE15" s="371">
        <v>164.73654006483679</v>
      </c>
      <c r="KF15" s="371">
        <v>107.12521755483326</v>
      </c>
      <c r="KG15" s="371">
        <v>0</v>
      </c>
      <c r="KH15" s="371">
        <v>0</v>
      </c>
      <c r="KI15" s="371">
        <v>0</v>
      </c>
      <c r="KJ15" s="371">
        <v>0</v>
      </c>
      <c r="KK15" s="371">
        <v>0</v>
      </c>
      <c r="KL15" s="371">
        <f t="shared" ref="KL15" si="39">IFERROR(MAX(KB15:KC15),"")</f>
        <v>48.621299999999998</v>
      </c>
      <c r="KM15" s="390"/>
      <c r="KN15" s="111">
        <f>IFERROR(IF(JO15&gt;0,KB15/10000+$KO$10-$KR$10,0),0)</f>
        <v>6.3271833999999999E-2</v>
      </c>
      <c r="KO15" s="111">
        <f t="shared" ref="KO15:KW15" si="40">IFERROR(IF(JP15&gt;0,KC15/10000+$KO$10-$KR$10,0),0)</f>
        <v>6.0715244000000002E-2</v>
      </c>
      <c r="KP15" s="111">
        <f t="shared" si="40"/>
        <v>6.2942161376330741E-2</v>
      </c>
      <c r="KQ15" s="111">
        <f t="shared" si="40"/>
        <v>7.4883358006483672E-2</v>
      </c>
      <c r="KR15" s="111">
        <f t="shared" si="40"/>
        <v>6.9122225755483324E-2</v>
      </c>
      <c r="KS15" s="111">
        <f t="shared" si="40"/>
        <v>0</v>
      </c>
      <c r="KT15" s="111">
        <f t="shared" si="40"/>
        <v>0</v>
      </c>
      <c r="KU15" s="111">
        <f t="shared" si="40"/>
        <v>0</v>
      </c>
      <c r="KV15" s="111">
        <f t="shared" si="40"/>
        <v>0</v>
      </c>
      <c r="KW15" s="111">
        <f t="shared" si="40"/>
        <v>0</v>
      </c>
      <c r="KX15" s="111">
        <v>0</v>
      </c>
      <c r="KY15" s="390"/>
      <c r="KZ15" s="111">
        <v>6.7724975013353797E-2</v>
      </c>
      <c r="LA15" s="111">
        <v>6.3622205000000001E-2</v>
      </c>
      <c r="LB15" s="111">
        <v>6.7724975013353797E-2</v>
      </c>
      <c r="LC15" s="390"/>
      <c r="LD15" s="111">
        <f t="shared" ref="LD15:LN15" si="41">IFERROR(DS15/SUM($DS15:$EC15),"")</f>
        <v>0.98901804285301986</v>
      </c>
      <c r="LE15" s="111">
        <f t="shared" si="41"/>
        <v>1.0981957146980087E-2</v>
      </c>
      <c r="LF15" s="111">
        <f t="shared" si="41"/>
        <v>0</v>
      </c>
      <c r="LG15" s="111">
        <f t="shared" si="41"/>
        <v>0</v>
      </c>
      <c r="LH15" s="111">
        <f t="shared" si="41"/>
        <v>0</v>
      </c>
      <c r="LI15" s="111">
        <f t="shared" si="41"/>
        <v>0</v>
      </c>
      <c r="LJ15" s="111">
        <f t="shared" si="41"/>
        <v>0</v>
      </c>
      <c r="LK15" s="111">
        <f t="shared" si="41"/>
        <v>0</v>
      </c>
      <c r="LL15" s="111">
        <f t="shared" si="41"/>
        <v>0</v>
      </c>
      <c r="LM15" s="111">
        <f t="shared" si="41"/>
        <v>0</v>
      </c>
      <c r="LN15" s="111">
        <f t="shared" si="41"/>
        <v>0</v>
      </c>
      <c r="LO15" s="111">
        <f t="shared" ref="LO15" si="42">IFERROR(SUM(LD15:LN15),"")</f>
        <v>1</v>
      </c>
      <c r="LP15" s="390"/>
      <c r="LQ15" s="121">
        <v>1.0443053557297128</v>
      </c>
      <c r="LR15" s="121">
        <v>0.97335644339722627</v>
      </c>
      <c r="LS15" s="121">
        <v>0</v>
      </c>
      <c r="LT15" s="121">
        <v>0</v>
      </c>
      <c r="LU15" s="121">
        <v>0</v>
      </c>
      <c r="LV15" s="121">
        <v>0</v>
      </c>
      <c r="LW15" s="121">
        <v>0</v>
      </c>
      <c r="LX15" s="121">
        <v>0</v>
      </c>
      <c r="LY15" s="121">
        <v>0</v>
      </c>
      <c r="LZ15" s="121">
        <v>0</v>
      </c>
      <c r="MA15" s="121">
        <v>1.0443053557297128</v>
      </c>
      <c r="MB15" s="390"/>
      <c r="MC15" s="371">
        <v>1.6543521324687198</v>
      </c>
      <c r="MD15" s="371">
        <v>0.87474165718133134</v>
      </c>
      <c r="ME15" s="371">
        <v>0</v>
      </c>
      <c r="MF15" s="371">
        <v>0</v>
      </c>
      <c r="MG15" s="371">
        <v>0</v>
      </c>
      <c r="MH15" s="371">
        <v>0</v>
      </c>
      <c r="MI15" s="371">
        <v>0</v>
      </c>
      <c r="MJ15" s="371">
        <v>0</v>
      </c>
      <c r="MK15" s="371">
        <v>0</v>
      </c>
      <c r="ML15" s="371">
        <v>0</v>
      </c>
      <c r="MM15" s="371">
        <v>0</v>
      </c>
      <c r="MN15" s="390"/>
      <c r="MO15" s="112">
        <f t="shared" ref="MO15:MX15" si="43">IFERROR(DS15*MC15,0)</f>
        <v>328817.37549735029</v>
      </c>
      <c r="MP15" s="112">
        <f t="shared" si="43"/>
        <v>1930.5548373991983</v>
      </c>
      <c r="MQ15" s="112">
        <f t="shared" si="43"/>
        <v>0</v>
      </c>
      <c r="MR15" s="112">
        <f t="shared" si="43"/>
        <v>0</v>
      </c>
      <c r="MS15" s="112">
        <f t="shared" si="43"/>
        <v>0</v>
      </c>
      <c r="MT15" s="112">
        <f t="shared" si="43"/>
        <v>0</v>
      </c>
      <c r="MU15" s="112">
        <f t="shared" si="43"/>
        <v>0</v>
      </c>
      <c r="MV15" s="112">
        <f t="shared" si="43"/>
        <v>0</v>
      </c>
      <c r="MW15" s="112">
        <f t="shared" si="43"/>
        <v>0</v>
      </c>
      <c r="MX15" s="112">
        <f t="shared" si="43"/>
        <v>0</v>
      </c>
      <c r="MY15" s="112">
        <f t="shared" ref="MY15" si="44">IF(SUM(MO15:MX15)=0,CE15,IFERROR(EC15*MM15,0))</f>
        <v>0</v>
      </c>
      <c r="MZ15" s="112">
        <f t="shared" ref="MZ15" si="45">SUM(MO15:MY15)</f>
        <v>330747.93033474952</v>
      </c>
      <c r="NA15" s="390"/>
      <c r="NB15" s="111">
        <f t="shared" ref="NB15:NL15" si="46">IFERROR(MO15/$MZ15,"")</f>
        <v>0.99416306298441437</v>
      </c>
      <c r="NC15" s="111">
        <f t="shared" si="46"/>
        <v>5.8369370155855142E-3</v>
      </c>
      <c r="ND15" s="111">
        <f t="shared" si="46"/>
        <v>0</v>
      </c>
      <c r="NE15" s="111">
        <f t="shared" si="46"/>
        <v>0</v>
      </c>
      <c r="NF15" s="111">
        <f t="shared" si="46"/>
        <v>0</v>
      </c>
      <c r="NG15" s="111">
        <f t="shared" si="46"/>
        <v>0</v>
      </c>
      <c r="NH15" s="111">
        <f t="shared" si="46"/>
        <v>0</v>
      </c>
      <c r="NI15" s="111">
        <f t="shared" si="46"/>
        <v>0</v>
      </c>
      <c r="NJ15" s="111">
        <f t="shared" si="46"/>
        <v>0</v>
      </c>
      <c r="NK15" s="111">
        <f t="shared" si="46"/>
        <v>0</v>
      </c>
      <c r="NL15" s="111">
        <f t="shared" si="46"/>
        <v>0</v>
      </c>
      <c r="NM15" s="111">
        <f t="shared" ref="NM15" si="47">SUM(NB15:NL15)</f>
        <v>0.99999999999999989</v>
      </c>
      <c r="NN15" s="390"/>
      <c r="NO15" s="366">
        <f>LQ15*NB15+LR15*NC15+LS15*ND15+LT15*NE15+LU15*NF15+LV15*NG15+LW15*NH15+LX15*NI15+LY15*NJ15+LZ15*NK15+MA15*NL15</f>
        <v>1.0438912313971038</v>
      </c>
      <c r="NP15" s="111">
        <f t="shared" ref="NP15" si="48">IFERROR(AJ15/AE15,"")</f>
        <v>4.9518020321133699E-2</v>
      </c>
      <c r="NQ15" s="366">
        <v>0.8</v>
      </c>
      <c r="NR15" s="711">
        <f t="shared" ref="NR15" si="49">AS15</f>
        <v>1.30951</v>
      </c>
      <c r="NS15" s="382">
        <v>0.85839363178443739</v>
      </c>
      <c r="NT15" s="373">
        <v>-0.52103406684745002</v>
      </c>
      <c r="NU15" s="111">
        <v>4.3200000000000002E-2</v>
      </c>
      <c r="NV15" s="111">
        <v>9.7379980010683043E-2</v>
      </c>
      <c r="NW15" s="111">
        <f>AIB15</f>
        <v>0.10133468726422304</v>
      </c>
      <c r="NX15" s="390"/>
      <c r="NY15" s="380">
        <v>2E-3</v>
      </c>
      <c r="NZ15" s="364" t="str">
        <f t="shared" ref="NZ15" si="50">M15</f>
        <v>AA-</v>
      </c>
      <c r="OA15" s="111">
        <v>5.3810000000000004E-2</v>
      </c>
      <c r="OB15" s="712" t="s">
        <v>592</v>
      </c>
      <c r="OC15" s="111">
        <v>0</v>
      </c>
      <c r="OD15" s="111">
        <f t="shared" ref="OD15" si="51">MAX(OA15+NY15,OC15+NY15)</f>
        <v>5.5810000000000005E-2</v>
      </c>
      <c r="OE15" s="111">
        <v>5.7710000000000004E-2</v>
      </c>
      <c r="OF15" s="111">
        <f t="shared" ref="OF15" si="52">IFERROR(OE15*(1-JG15),"")</f>
        <v>4.3282500000000002E-2</v>
      </c>
      <c r="OG15" s="390"/>
      <c r="OH15" s="111">
        <f>IFERROR(NV15*AE15/(AE15+AJ15)+IF(UJ15&lt;0,OE15,OF15)*AJ15/(AE15+AJ15),"")</f>
        <v>9.4827570178147289E-2</v>
      </c>
      <c r="OI15" s="111">
        <f t="shared" ref="OI15" si="53">XR15</f>
        <v>8.3919031084956131E-2</v>
      </c>
      <c r="OJ15" s="390"/>
      <c r="OK15" s="383"/>
      <c r="OL15" s="390"/>
      <c r="SH15" s="384" t="s">
        <v>576</v>
      </c>
      <c r="SI15" s="111">
        <f t="shared" ref="SI15" si="54">IFERROR(IFERROR(CH15/CG15-1,CE15/CD15-1),"")</f>
        <v>0.179654848555999</v>
      </c>
      <c r="SJ15" s="111">
        <v>0.24844724978354549</v>
      </c>
      <c r="SK15" s="111">
        <v>0.1317735534861233</v>
      </c>
      <c r="SL15" s="111">
        <v>0.11499684697074392</v>
      </c>
      <c r="SM15" s="111">
        <v>0.1067053680108902</v>
      </c>
      <c r="SN15" s="407">
        <v>9.2822992224012468E-2</v>
      </c>
      <c r="SO15" s="111">
        <v>9.2822992224012468E-2</v>
      </c>
      <c r="SP15" s="111">
        <v>9.2822992224012468E-2</v>
      </c>
      <c r="SQ15" s="111">
        <v>9.2822992224012468E-2</v>
      </c>
      <c r="SR15" s="111">
        <v>6.1951496112006225E-2</v>
      </c>
      <c r="SS15" s="111">
        <v>4.4400000000000002E-2</v>
      </c>
      <c r="ST15" s="111">
        <v>4.3200000000000002E-2</v>
      </c>
      <c r="SU15" s="390"/>
      <c r="SV15" s="112">
        <f t="shared" ref="SV15" si="55">CH15</f>
        <v>200966</v>
      </c>
      <c r="SW15" s="112">
        <f t="shared" ref="SW15:TG15" si="56">SV15*(1+SJ15)</f>
        <v>250895.45</v>
      </c>
      <c r="SX15" s="112">
        <f t="shared" si="56"/>
        <v>283956.83499999996</v>
      </c>
      <c r="SY15" s="112">
        <f t="shared" si="56"/>
        <v>316610.97570079175</v>
      </c>
      <c r="SZ15" s="112">
        <f t="shared" si="56"/>
        <v>350395.06637923175</v>
      </c>
      <c r="TA15" s="112">
        <f t="shared" si="56"/>
        <v>382919.78490108351</v>
      </c>
      <c r="TB15" s="112">
        <f t="shared" si="56"/>
        <v>418463.5451173773</v>
      </c>
      <c r="TC15" s="112">
        <f t="shared" si="56"/>
        <v>457306.58351184032</v>
      </c>
      <c r="TD15" s="112">
        <f t="shared" si="56"/>
        <v>499755.14895714959</v>
      </c>
      <c r="TE15" s="112">
        <f t="shared" si="56"/>
        <v>530715.72812472354</v>
      </c>
      <c r="TF15" s="112">
        <f t="shared" si="56"/>
        <v>554279.50645346125</v>
      </c>
      <c r="TG15" s="112">
        <f t="shared" si="56"/>
        <v>578224.38113225077</v>
      </c>
      <c r="TH15" s="390"/>
      <c r="TI15" s="111">
        <v>0.41835892519132589</v>
      </c>
      <c r="TJ15" s="111">
        <v>0.30904924740564244</v>
      </c>
      <c r="TK15" s="111">
        <v>0.3062602557307984</v>
      </c>
      <c r="TL15" s="111">
        <v>0.30952153902665636</v>
      </c>
      <c r="TM15" s="713">
        <v>0.31291377165580819</v>
      </c>
      <c r="TN15" s="386">
        <v>0.31630600428496003</v>
      </c>
      <c r="TO15" s="386">
        <v>0.31969823691411187</v>
      </c>
      <c r="TP15" s="386">
        <v>0.3230904695432637</v>
      </c>
      <c r="TQ15" s="386">
        <v>0.32648270217241554</v>
      </c>
      <c r="TR15" s="386">
        <v>0.32987493480156738</v>
      </c>
      <c r="TS15" s="111">
        <v>0.33326716743071916</v>
      </c>
      <c r="TT15" s="111">
        <v>0.33326716743071916</v>
      </c>
      <c r="TU15" s="390"/>
      <c r="TV15" s="252">
        <v>21773</v>
      </c>
      <c r="TW15" s="252">
        <v>171</v>
      </c>
      <c r="TX15" s="252">
        <v>178.5924</v>
      </c>
      <c r="TY15" s="252">
        <v>186.52190256</v>
      </c>
      <c r="TZ15" s="252">
        <v>194.803475033664</v>
      </c>
      <c r="UA15" s="252">
        <v>203.45274932515869</v>
      </c>
      <c r="UB15" s="252">
        <v>212.48605139519574</v>
      </c>
      <c r="UC15" s="252">
        <v>221.92043207714244</v>
      </c>
      <c r="UD15" s="252">
        <v>231.77369926136757</v>
      </c>
      <c r="UE15" s="252">
        <v>242.06445150857229</v>
      </c>
      <c r="UF15" s="252">
        <v>252.81211315555291</v>
      </c>
      <c r="UG15" s="252">
        <v>264.03697097965943</v>
      </c>
      <c r="UH15" s="390"/>
      <c r="UI15" s="252">
        <f t="shared" ref="UI15:US15" si="57">SV15*TI15+TV15</f>
        <v>105848.91976</v>
      </c>
      <c r="UJ15" s="252">
        <f t="shared" si="57"/>
        <v>77710.049999999988</v>
      </c>
      <c r="UK15" s="252">
        <f t="shared" si="57"/>
        <v>87143.285303608107</v>
      </c>
      <c r="UL15" s="252">
        <f t="shared" si="57"/>
        <v>98184.438374200356</v>
      </c>
      <c r="UM15" s="252">
        <f t="shared" si="57"/>
        <v>109838.24526534634</v>
      </c>
      <c r="UN15" s="252">
        <f t="shared" si="57"/>
        <v>121323.27987304324</v>
      </c>
      <c r="UO15" s="252">
        <f t="shared" si="57"/>
        <v>133994.54363824963</v>
      </c>
      <c r="UP15" s="252">
        <f t="shared" si="57"/>
        <v>147973.31922414337</v>
      </c>
      <c r="UQ15" s="252">
        <f t="shared" si="57"/>
        <v>163393.1851553696</v>
      </c>
      <c r="UR15" s="252">
        <f t="shared" si="57"/>
        <v>175311.88066481811</v>
      </c>
      <c r="US15" s="252">
        <f t="shared" si="57"/>
        <v>184975.9731937976</v>
      </c>
      <c r="UT15" s="252">
        <f>TG15*(US15/TF15)</f>
        <v>192966.93523576966</v>
      </c>
      <c r="UU15" s="390"/>
      <c r="UV15" s="111">
        <v>0.29644300000000001</v>
      </c>
      <c r="UW15" s="111">
        <v>0.13992878999874869</v>
      </c>
      <c r="UX15" s="713">
        <v>0.15215892444333218</v>
      </c>
      <c r="UY15" s="386">
        <v>0.16438905888791566</v>
      </c>
      <c r="UZ15" s="386">
        <v>0.17661919333249915</v>
      </c>
      <c r="VA15" s="386">
        <v>0.18884932777708263</v>
      </c>
      <c r="VB15" s="386">
        <v>0.20107946222166612</v>
      </c>
      <c r="VC15" s="386">
        <v>0.2133095966662496</v>
      </c>
      <c r="VD15" s="386">
        <v>0.22553973111083311</v>
      </c>
      <c r="VE15" s="386">
        <v>0.23776986555541654</v>
      </c>
      <c r="VF15" s="111">
        <v>0.25</v>
      </c>
      <c r="VG15" s="111">
        <v>0.25</v>
      </c>
      <c r="VH15" s="390"/>
      <c r="VI15" s="252">
        <v>80374.919760000004</v>
      </c>
      <c r="VJ15" s="252">
        <f t="shared" ref="VJ15:VT15" si="58">UJ15*(1-UW15)</f>
        <v>66836.176732757725</v>
      </c>
      <c r="VK15" s="252">
        <f t="shared" si="58"/>
        <v>73883.656739352664</v>
      </c>
      <c r="VL15" s="252">
        <f t="shared" si="58"/>
        <v>82043.990952427004</v>
      </c>
      <c r="VM15" s="252">
        <f t="shared" si="58"/>
        <v>90438.702989523663</v>
      </c>
      <c r="VN15" s="252">
        <f t="shared" si="58"/>
        <v>98411.460025308159</v>
      </c>
      <c r="VO15" s="252">
        <f t="shared" si="58"/>
        <v>107050.99286283282</v>
      </c>
      <c r="VP15" s="252">
        <f t="shared" si="58"/>
        <v>116409.19018307514</v>
      </c>
      <c r="VQ15" s="252">
        <f t="shared" si="58"/>
        <v>126541.53011008498</v>
      </c>
      <c r="VR15" s="252">
        <f t="shared" si="58"/>
        <v>133627.99836887707</v>
      </c>
      <c r="VS15" s="252">
        <f t="shared" si="58"/>
        <v>138731.97989534819</v>
      </c>
      <c r="VT15" s="252">
        <f t="shared" si="58"/>
        <v>144725.20142682723</v>
      </c>
      <c r="VU15" s="390"/>
      <c r="VV15" s="386"/>
      <c r="VW15" s="386">
        <f t="shared" ref="VW15:WF15" si="59">IFERROR(-WI15/(VJ15-TW15),"")</f>
        <v>0.94059861753335994</v>
      </c>
      <c r="VX15" s="386">
        <f t="shared" si="59"/>
        <v>0.94059861753335994</v>
      </c>
      <c r="VY15" s="386">
        <f t="shared" si="59"/>
        <v>0.73535227835731243</v>
      </c>
      <c r="VZ15" s="386">
        <f t="shared" si="59"/>
        <v>0.54465442610538339</v>
      </c>
      <c r="WA15" s="386">
        <f t="shared" si="59"/>
        <v>0.53227938874951541</v>
      </c>
      <c r="WB15" s="386">
        <f t="shared" si="59"/>
        <v>0.21152225325806293</v>
      </c>
      <c r="WC15" s="386">
        <f t="shared" si="59"/>
        <v>0.21255687233740528</v>
      </c>
      <c r="WD15" s="386">
        <f t="shared" si="59"/>
        <v>0.14260766152068033</v>
      </c>
      <c r="WE15" s="386">
        <f t="shared" si="59"/>
        <v>0.10277928079844068</v>
      </c>
      <c r="WF15" s="386">
        <f t="shared" si="59"/>
        <v>0.10339464026106168</v>
      </c>
      <c r="WG15" s="386">
        <f t="shared" ref="WG15" si="60">IFERROR(-WT15/(VT15-UG15),"")</f>
        <v>0.25786140322164142</v>
      </c>
      <c r="WH15" s="390"/>
      <c r="WI15" s="252">
        <v>-62705.173072449026</v>
      </c>
      <c r="WJ15" s="252">
        <v>-69326.881622802466</v>
      </c>
      <c r="WK15" s="252">
        <v>-60194.076366382891</v>
      </c>
      <c r="WL15" s="252">
        <v>-49151.739299576431</v>
      </c>
      <c r="WM15" s="714">
        <v>-52274.098083168195</v>
      </c>
      <c r="WN15" s="252">
        <v>-22598.721695482189</v>
      </c>
      <c r="WO15" s="252">
        <v>-24696.402663694553</v>
      </c>
      <c r="WP15" s="252">
        <v>-18012.738988994315</v>
      </c>
      <c r="WQ15" s="252">
        <v>-13709.310356655469</v>
      </c>
      <c r="WR15" s="252">
        <v>-14318.003736491011</v>
      </c>
      <c r="WS15" s="252">
        <f t="shared" ref="WS15" si="61">SUM(WI15:WR15)</f>
        <v>-386987.14588569658</v>
      </c>
      <c r="WT15" s="252">
        <v>-37250.958577617166</v>
      </c>
      <c r="WU15" s="725">
        <f t="shared" ref="WU15" si="62">IF(WS15=SUM(WI15:WR15),0,"!")</f>
        <v>0</v>
      </c>
      <c r="WV15" s="252">
        <f t="shared" ref="WV15:XE15" si="63">VJ15+WI15</f>
        <v>4131.0036603086992</v>
      </c>
      <c r="WW15" s="252">
        <f t="shared" si="63"/>
        <v>4556.7751165501977</v>
      </c>
      <c r="WX15" s="252">
        <f t="shared" si="63"/>
        <v>21849.914586044113</v>
      </c>
      <c r="WY15" s="252">
        <f t="shared" si="63"/>
        <v>41286.963689947232</v>
      </c>
      <c r="WZ15" s="252">
        <f t="shared" si="63"/>
        <v>46137.361942139964</v>
      </c>
      <c r="XA15" s="252">
        <f t="shared" si="63"/>
        <v>84452.271167350627</v>
      </c>
      <c r="XB15" s="252">
        <f t="shared" si="63"/>
        <v>91712.787519380596</v>
      </c>
      <c r="XC15" s="252">
        <f t="shared" si="63"/>
        <v>108528.79112109066</v>
      </c>
      <c r="XD15" s="252">
        <f t="shared" si="63"/>
        <v>119918.68801222161</v>
      </c>
      <c r="XE15" s="252">
        <f t="shared" si="63"/>
        <v>124413.97615885719</v>
      </c>
      <c r="XF15" s="252">
        <f t="shared" ref="XF15" si="64">VT15+WT15</f>
        <v>107474.24284921007</v>
      </c>
      <c r="XG15" s="390"/>
      <c r="XH15" s="386">
        <f t="shared" ref="XH15:XQ15" si="65">AHR15*(1-AGS15)+IF(UJ15&lt;0,$OE15,$OF15)*AGS15</f>
        <v>9.247776881794148E-2</v>
      </c>
      <c r="XI15" s="386">
        <f t="shared" si="65"/>
        <v>9.1219209616778887E-2</v>
      </c>
      <c r="XJ15" s="386">
        <f t="shared" si="65"/>
        <v>8.9960650415616294E-2</v>
      </c>
      <c r="XK15" s="386">
        <f t="shared" si="65"/>
        <v>8.8702091214453702E-2</v>
      </c>
      <c r="XL15" s="386">
        <f t="shared" si="65"/>
        <v>8.7443532013291095E-2</v>
      </c>
      <c r="XM15" s="386">
        <f t="shared" si="65"/>
        <v>8.6184972812128502E-2</v>
      </c>
      <c r="XN15" s="386">
        <f t="shared" si="65"/>
        <v>8.4926413610965909E-2</v>
      </c>
      <c r="XO15" s="386">
        <f t="shared" si="65"/>
        <v>8.3667854409803316E-2</v>
      </c>
      <c r="XP15" s="386">
        <f t="shared" si="65"/>
        <v>8.3507359707428716E-2</v>
      </c>
      <c r="XQ15" s="386">
        <f t="shared" si="65"/>
        <v>8.3919031084956131E-2</v>
      </c>
      <c r="XR15" s="386">
        <f>AIB15*(1-AHC15)+$OF15*AHC15</f>
        <v>8.3919031084956131E-2</v>
      </c>
      <c r="XS15" s="390"/>
      <c r="XT15" s="252">
        <f t="shared" ref="XT15:YC15" si="66">XU15/(1+XH15)</f>
        <v>1144002.0071014571</v>
      </c>
      <c r="XU15" s="252">
        <f t="shared" si="66"/>
        <v>1249796.7602414466</v>
      </c>
      <c r="XV15" s="252">
        <f t="shared" si="66"/>
        <v>1363802.2328922823</v>
      </c>
      <c r="XW15" s="252">
        <f t="shared" si="66"/>
        <v>1486490.7688015418</v>
      </c>
      <c r="XX15" s="252">
        <f t="shared" si="66"/>
        <v>1618345.6085652194</v>
      </c>
      <c r="XY15" s="252">
        <f t="shared" si="66"/>
        <v>1759859.4645963614</v>
      </c>
      <c r="XZ15" s="252">
        <f t="shared" si="66"/>
        <v>1911532.9047057657</v>
      </c>
      <c r="YA15" s="252">
        <f t="shared" si="66"/>
        <v>2073872.5388017788</v>
      </c>
      <c r="YB15" s="252">
        <f t="shared" si="66"/>
        <v>2247389.0044427351</v>
      </c>
      <c r="YC15" s="252">
        <f t="shared" si="66"/>
        <v>2435062.5264392546</v>
      </c>
      <c r="YD15" s="252">
        <f t="shared" ref="YD15" si="67">XF15/(XR15-NU15)</f>
        <v>2639410.6142893224</v>
      </c>
      <c r="YE15" s="390"/>
      <c r="YF15" s="252">
        <f t="shared" ref="YF15" si="68">SUM(YG15:YP15)</f>
        <v>358380.47103858122</v>
      </c>
      <c r="YG15" s="252">
        <f t="shared" ref="YG15:YP15" si="69">WV15/(1+XH15)^YG$9</f>
        <v>3781.3159939890002</v>
      </c>
      <c r="YH15" s="252">
        <f t="shared" si="69"/>
        <v>3826.7808395802349</v>
      </c>
      <c r="YI15" s="252">
        <f t="shared" si="69"/>
        <v>16873.970496261165</v>
      </c>
      <c r="YJ15" s="252">
        <f t="shared" si="69"/>
        <v>29388.45241028145</v>
      </c>
      <c r="YK15" s="252">
        <f t="shared" si="69"/>
        <v>30340.252183559107</v>
      </c>
      <c r="YL15" s="252">
        <f t="shared" si="69"/>
        <v>51426.692409157542</v>
      </c>
      <c r="YM15" s="252">
        <f t="shared" si="69"/>
        <v>51835.574351445532</v>
      </c>
      <c r="YN15" s="252">
        <f t="shared" si="69"/>
        <v>57065.738150608639</v>
      </c>
      <c r="YO15" s="252">
        <f t="shared" si="69"/>
        <v>58263.970621730863</v>
      </c>
      <c r="YP15" s="252">
        <f t="shared" si="69"/>
        <v>55577.723581967715</v>
      </c>
      <c r="YQ15" s="390"/>
      <c r="YR15" s="252">
        <f t="shared" ref="YR15" si="70">XT15+YF15</f>
        <v>1502382.4781400384</v>
      </c>
      <c r="YS15" s="252">
        <v>13078.361277695119</v>
      </c>
      <c r="YT15" s="252">
        <f t="shared" ref="YT15" si="71">YR15+YS15</f>
        <v>1515460.8394177335</v>
      </c>
      <c r="YU15" s="390"/>
      <c r="YV15" s="382">
        <f t="shared" ref="YV15" si="72">YT15/AC15</f>
        <v>597.00871774133714</v>
      </c>
      <c r="YW15" s="111">
        <f t="shared" ref="YW15" si="73">IFERROR(R15/YV15,"")</f>
        <v>1.1337690386847314</v>
      </c>
      <c r="YX15" s="386">
        <f t="shared" ref="YX15" si="74">IFERROR(R15/V15,"")</f>
        <v>0.78935276967930035</v>
      </c>
      <c r="YY15" s="385"/>
      <c r="YZ15" s="1006" t="str">
        <f t="shared" ref="YZ15" si="75">IF(SH15=F15,"YCV","")</f>
        <v>YCV</v>
      </c>
      <c r="ZA15" s="367">
        <v>46022</v>
      </c>
      <c r="ZC15" s="385"/>
      <c r="ZE15" s="111">
        <f t="shared" ref="ZE15" si="76">IFERROR(CH15/CG15-1,"")</f>
        <v>0.179654848555999</v>
      </c>
      <c r="ZF15" s="111">
        <f t="shared" ref="ZF15" si="77">IFERROR(CE15/CD15-1,"")</f>
        <v>0.22167038498246217</v>
      </c>
      <c r="ZG15" s="111">
        <f t="shared" ref="ZG15" si="78">IFERROR(CD15/CC15-1,"")</f>
        <v>0.21941112807816054</v>
      </c>
      <c r="ZH15" s="111">
        <f t="shared" ref="ZH15" si="79">IFERROR(CC15/CB15-1,"")</f>
        <v>0.15687468377226454</v>
      </c>
      <c r="ZI15" s="111" t="s">
        <v>815</v>
      </c>
      <c r="ZJ15" s="381"/>
      <c r="ZK15" s="386">
        <v>0.44963456111151301</v>
      </c>
      <c r="ZL15" s="386">
        <v>0.496962093818414</v>
      </c>
      <c r="ZM15" s="386">
        <v>0.44616569361366798</v>
      </c>
      <c r="ZN15" s="386">
        <v>0.41000325332050902</v>
      </c>
      <c r="ZO15" s="386">
        <v>0.38005002035712199</v>
      </c>
      <c r="ZP15" s="386">
        <v>0.396680884260869</v>
      </c>
      <c r="ZQ15" s="386">
        <v>0.28914903377955398</v>
      </c>
      <c r="ZR15" s="386">
        <v>0.348768867770678</v>
      </c>
      <c r="ZS15" s="386">
        <v>0.42572792201871101</v>
      </c>
      <c r="ZT15" s="386">
        <v>0.418358925191326</v>
      </c>
      <c r="ZU15" s="387">
        <f t="shared" ref="ZU15" si="80">IV15</f>
        <v>0.34185344939362244</v>
      </c>
      <c r="ZV15" s="386">
        <f t="shared" ref="ZV15" si="81">ZX15*IF(LD15="",0,LD15)+ZY15*IF(LE15="",0,LE15)+ZZ15*IF(LF15="",0,LF15)+AAA15*IF(LG15="",0,LG15)+AAB15*IF(LH15="",0,LH15)+AAC15*IF(LI15="",0,LI15)+AAD15*IF(LJ15="",0,LJ15)+AAE15*IF(LK15="",0,LK15)+AAF15*IF(LL15="",0,LL15)+AAG15*IF(LM15="",0,LM15)+ZX15*IF(LN15="",0,LN15)</f>
        <v>0.21234572517075925</v>
      </c>
      <c r="ZW15" s="388">
        <v>0.33326716743071916</v>
      </c>
      <c r="ZX15" s="386">
        <v>0.21385703132067158</v>
      </c>
      <c r="ZY15" s="386">
        <v>7.6239835252127491E-2</v>
      </c>
      <c r="ZZ15" s="386">
        <v>0</v>
      </c>
      <c r="AAA15" s="386">
        <v>0</v>
      </c>
      <c r="AAB15" s="386">
        <v>0</v>
      </c>
      <c r="AAC15" s="386">
        <v>0</v>
      </c>
      <c r="AAD15" s="386">
        <v>0</v>
      </c>
      <c r="AAE15" s="386">
        <v>0</v>
      </c>
      <c r="AAF15" s="386">
        <v>0</v>
      </c>
      <c r="AAG15" s="386">
        <v>0</v>
      </c>
      <c r="AAH15" s="389">
        <f t="shared" ref="AAH15" si="82">COUNTIF((EV15:FE15),"&gt;0")+COUNTIF((EV15:FE15),"&lt;0")+COUNTIF((FK15:FM15),"&gt;0")+COUNTIF((FK15:FM15),"&lt;0")</f>
        <v>13</v>
      </c>
      <c r="AAI15" s="112">
        <f>COUNTIF(ZK15:ZT15,"&gt;0")+COUNTIF(ZK15:ZT15,"&lt;0")</f>
        <v>10</v>
      </c>
      <c r="AAJ15" s="386">
        <f t="shared" ref="AAJ15" si="83">IFERROR(_xlfn.STDEV.S(ZK15:ZT15),0)</f>
        <v>5.777243974104837E-2</v>
      </c>
      <c r="AAK15" s="109">
        <v>0.19999999999999996</v>
      </c>
      <c r="AAL15" s="111">
        <f t="shared" ref="AAL15" si="84">IFERROR(_xlfn.CONFIDENCE.NORM(AAK15,AAJ15,AAI15),0)</f>
        <v>2.341298537065508E-2</v>
      </c>
      <c r="AAM15" s="387">
        <f t="shared" ref="AAM15" si="85">IFERROR(AVERAGE(ZK15:ZT15)-AAL15,0)</f>
        <v>0.38273714015358135</v>
      </c>
      <c r="AAN15" s="386">
        <f t="shared" ref="AAN15" si="86">IFERROR(ABS(AAL15/AVERAGE(ZK15:ZT15)),"")</f>
        <v>5.7646135995735266E-2</v>
      </c>
      <c r="AAO15" s="388">
        <f t="shared" ref="AAO15" si="87">IFERROR(AVERAGE(ZK15:ZT15)+AAL15,0)</f>
        <v>0.42956311089489146</v>
      </c>
      <c r="AAP15" s="111">
        <f t="shared" ref="AAP15" si="88">IFERROR(MIN(ZK15:ZT15),0)</f>
        <v>0.28914903377955398</v>
      </c>
      <c r="AAQ15" s="111">
        <f t="shared" ref="AAQ15" si="89">IFERROR(MAX(ZK15:ZT15),0)</f>
        <v>0.496962093818414</v>
      </c>
      <c r="AAR15" s="389"/>
      <c r="AAS15" s="378"/>
      <c r="AAT15" s="120">
        <v>9641</v>
      </c>
      <c r="AAU15" s="120">
        <v>13775</v>
      </c>
      <c r="AAV15" s="120">
        <v>17319</v>
      </c>
      <c r="AAW15" s="120">
        <v>30244</v>
      </c>
      <c r="AAX15" s="120">
        <v>48200</v>
      </c>
      <c r="AAY15" s="120">
        <v>71220</v>
      </c>
      <c r="AAZ15" s="120">
        <v>86053</v>
      </c>
      <c r="ABA15" s="120">
        <v>109020</v>
      </c>
      <c r="ABB15" s="120">
        <v>125713</v>
      </c>
      <c r="ABC15" s="120">
        <v>158852</v>
      </c>
      <c r="ABD15" s="120">
        <v>227758</v>
      </c>
      <c r="ABE15" s="389"/>
      <c r="ABF15" s="120">
        <f t="shared" ref="ABF15" si="90">SUM(AAU15:ABD15)</f>
        <v>888154</v>
      </c>
      <c r="ABG15" s="120">
        <v>227758</v>
      </c>
      <c r="ABH15" s="120">
        <f>IF(TF15&lt;SV15,TF15/ABZ15,0)</f>
        <v>0</v>
      </c>
      <c r="ABI15" s="389"/>
      <c r="ABJ15" s="391"/>
      <c r="ABK15" s="164">
        <f t="shared" ref="ABK15:ABO15" si="91">IF(OR(BV15="",AAT15="",AAU15="",BV15=0,AAT15=0,AAU15=0),"",BV15/((AAT15+AAU15)/2))</f>
        <v>2.3606081311923472</v>
      </c>
      <c r="ABL15" s="164">
        <f t="shared" si="91"/>
        <v>2.6148453077764198</v>
      </c>
      <c r="ABM15" s="164">
        <f t="shared" si="91"/>
        <v>2.3479595483884532</v>
      </c>
      <c r="ABN15" s="164">
        <f t="shared" si="91"/>
        <v>1.8024833001886695</v>
      </c>
      <c r="ABO15" s="164">
        <f t="shared" si="91"/>
        <v>1.4397085915257075</v>
      </c>
      <c r="ABP15" s="164">
        <f>IF(OR(CA15="",AAY15="",AAZ15="",CA15=0,AAY15=0,AAZ15=0),"",CA15/((AAY15+AAZ15)/2))</f>
        <v>1.4996725439204441</v>
      </c>
      <c r="ABQ15" s="164">
        <f>IF(OR(CB15="",AAZ15="",ABA15="",CB15=0,AAZ15=0,ABA15=0),"",CB15/((AAZ15+ABA15)/2))</f>
        <v>1.1955421816448202</v>
      </c>
      <c r="ABR15" s="164">
        <f t="shared" ref="ABR15:ABT15" si="92">IF(OR(CC15="",ABA15="",ABB15="",CC15=0,ABA15=0,ABB15=0),"",CC15/((ABA15+ABB15)/2))</f>
        <v>1.1494080508492628</v>
      </c>
      <c r="ABS15" s="164">
        <f t="shared" si="92"/>
        <v>1.1561576441234866</v>
      </c>
      <c r="ABT15" s="164">
        <f t="shared" si="92"/>
        <v>1.0396316701585577</v>
      </c>
      <c r="ABU15" s="390"/>
      <c r="ABV15" s="164">
        <f t="shared" ref="ABV15" si="93">MEDIAN(ABP15:ABT15)</f>
        <v>1.1561576441234866</v>
      </c>
      <c r="ABW15" s="164">
        <f t="shared" ref="ABW15" si="94">IF(ACB15=10,MEDIAN(ABK15:ABT15),"")</f>
        <v>1.4696905677230758</v>
      </c>
      <c r="ABX15" s="164">
        <f t="shared" ref="ABX15" si="95">SUM(BV15:CE15)/ABF15</f>
        <v>1.1436057260339987</v>
      </c>
      <c r="ABY15" s="164">
        <v>2.6703324971858202</v>
      </c>
      <c r="ABZ15" s="164">
        <v>0.98324860726962859</v>
      </c>
      <c r="ACA15" s="390"/>
      <c r="ACB15" s="112">
        <f>COUNTIF(ABK15:ABT15,"&gt;0")+COUNTIF(ABK15:ABT15,"&lt;0")</f>
        <v>10</v>
      </c>
      <c r="ACC15" s="392">
        <f t="shared" ref="ACC15" si="96">IFERROR(_xlfn.STDEV.S(ABK15:ABT15),0)</f>
        <v>0.58552349906057366</v>
      </c>
      <c r="ACD15" s="109">
        <v>0.19999999999999996</v>
      </c>
      <c r="ACE15" s="393">
        <f t="shared" ref="ACE15" si="97">IFERROR(_xlfn.CONFIDENCE.NORM(ACD15,ACC15,ACB15),0)</f>
        <v>0.23729053471043901</v>
      </c>
      <c r="ACF15" s="394">
        <f t="shared" ref="ACF15" si="98">IFERROR(ABX15-ACE15,0)</f>
        <v>0.90631519132355964</v>
      </c>
      <c r="ACG15" s="386">
        <f>IFERROR(ABS(ACE15/ABX15),"")</f>
        <v>0.20749330762216253</v>
      </c>
      <c r="ACH15" s="395">
        <f t="shared" ref="ACH15" si="99">IFERROR(ABX15+ACE15,0)</f>
        <v>1.3808962607444377</v>
      </c>
      <c r="ACI15" s="121">
        <f t="shared" ref="ACI15" si="100">MIN(ABK15:ABT15)</f>
        <v>1.0396316701585577</v>
      </c>
      <c r="ACJ15" s="121">
        <f t="shared" ref="ACJ15" si="101">MAX(ABK15:ABT15)</f>
        <v>2.6148453077764198</v>
      </c>
      <c r="ACL15" s="252">
        <f t="shared" ref="ACL15:ACU15" si="102">IF($ABH15&gt;0,($ABG15-$ABH15)*(SW15/SUM($SW15:$TF15)),(SX15-SW15)/$ABZ15*-1)</f>
        <v>-33624.644627575646</v>
      </c>
      <c r="ACM15" s="252">
        <f t="shared" si="102"/>
        <v>-33210.462195790627</v>
      </c>
      <c r="ACN15" s="252">
        <f t="shared" si="102"/>
        <v>-34359.662885518483</v>
      </c>
      <c r="ACO15" s="252">
        <f t="shared" si="102"/>
        <v>-33078.835079328775</v>
      </c>
      <c r="ACP15" s="252">
        <f t="shared" si="102"/>
        <v>-36149.311530676707</v>
      </c>
      <c r="ACQ15" s="252">
        <f t="shared" si="102"/>
        <v>-39504.798793792128</v>
      </c>
      <c r="ACR15" s="252">
        <f t="shared" si="102"/>
        <v>-43171.752425039471</v>
      </c>
      <c r="ACS15" s="252">
        <f t="shared" si="102"/>
        <v>-31488.04782296922</v>
      </c>
      <c r="ACT15" s="252">
        <f t="shared" si="102"/>
        <v>-23965.229296557751</v>
      </c>
      <c r="ACU15" s="252">
        <f t="shared" si="102"/>
        <v>-24352.818302262091</v>
      </c>
      <c r="ACV15" s="252">
        <f t="shared" ref="ACV15" si="103">SUM(ACL15:ACU15)</f>
        <v>-332905.56295951095</v>
      </c>
      <c r="ACW15" s="386">
        <f>-ACV15/SUM($VJ15:$VS15)</f>
        <v>0.32196653148233201</v>
      </c>
      <c r="ACX15" s="235"/>
      <c r="ACY15" s="378"/>
      <c r="ACZ15" s="378"/>
      <c r="ADA15" s="111">
        <v>0.864878715408268</v>
      </c>
      <c r="ADB15" s="111">
        <v>0.999742715636457</v>
      </c>
      <c r="ADC15" s="111">
        <v>0.91096020015558299</v>
      </c>
      <c r="ADD15" s="111">
        <v>0.57771148845035902</v>
      </c>
      <c r="ADE15" s="111">
        <v>0.479601406799531</v>
      </c>
      <c r="ADF15" s="111">
        <v>0.49425114291709299</v>
      </c>
      <c r="ADG15" s="111">
        <v>0.28808066395657</v>
      </c>
      <c r="ADH15" s="111">
        <v>0.329903488644545</v>
      </c>
      <c r="ADI15" s="111">
        <v>0.43385285541089003</v>
      </c>
      <c r="ADJ15" s="111">
        <v>0.30315780636817502</v>
      </c>
      <c r="ADK15" s="111">
        <v>0.25729906198684599</v>
      </c>
      <c r="ADL15" s="111">
        <f t="shared" ref="ADL15" si="104">MEDIAN(ADF15:ADJ15)</f>
        <v>0.329903488644545</v>
      </c>
      <c r="ADM15" s="111">
        <f>IF(COUNT(ADA15:ADJ15)&lt;10,"",MEDIAN(ADA15:ADJ15))</f>
        <v>0.48692627485831197</v>
      </c>
      <c r="ADN15" s="111">
        <f>IF(COUNT(ADA15:ADJ15)&lt;10,"",AVERAGE(ADA15:ADJ15))</f>
        <v>0.56821404837474709</v>
      </c>
      <c r="ADO15" s="111">
        <v>0.24949618830393022</v>
      </c>
      <c r="ADP15" s="111">
        <v>0.43944025754743576</v>
      </c>
      <c r="ADQ15" s="235"/>
      <c r="ADR15" s="112">
        <f>COUNTIF(ADA15:ADJ15,"&gt;0")+COUNTIF(ADA15:ADJ15,"&lt;0")</f>
        <v>10</v>
      </c>
      <c r="ADS15" s="397">
        <f t="shared" ref="ADS15" si="105">IFERROR(_xlfn.STDEV.S(ADA15:ADJ15),0)</f>
        <v>0.26429973103779064</v>
      </c>
      <c r="ADT15" s="109">
        <v>0.19999999999999996</v>
      </c>
      <c r="ADU15" s="393">
        <f t="shared" ref="ADU15" si="106">IFERROR(_xlfn.CONFIDENCE.NORM(ADT15,ADS15,ADR15),0)</f>
        <v>0.10711068744876193</v>
      </c>
      <c r="ADV15" s="396">
        <f t="shared" ref="ADV15" si="107">IFERROR(ADN15-ADU15,0)</f>
        <v>0.46110336092598514</v>
      </c>
      <c r="ADW15" s="397">
        <f>IFERROR(ABS(ADU15/ADN15),"")</f>
        <v>0.18850411698747821</v>
      </c>
      <c r="ADX15" s="398">
        <f t="shared" ref="ADX15" si="108">IFERROR(ADN15+ADU15,0)</f>
        <v>0.67532473582350905</v>
      </c>
      <c r="ADY15" s="111">
        <f t="shared" ref="ADY15" si="109">MIN(ADA15:ADJ15)</f>
        <v>0.28808066395657</v>
      </c>
      <c r="ADZ15" s="111">
        <f t="shared" ref="ADZ15" si="110">MAX(ADA15:ADJ15)</f>
        <v>0.999742715636457</v>
      </c>
      <c r="AEA15" s="235"/>
      <c r="AEB15" s="386">
        <f>VJ15/AEM15</f>
        <v>0.25570242748131783</v>
      </c>
      <c r="AEC15" s="386">
        <f>VK15/AEN15</f>
        <v>0.25079900047916676</v>
      </c>
      <c r="AED15" s="386">
        <f t="shared" ref="AED15:AEK15" si="111">VL15/AEO15</f>
        <v>0.24940963721033249</v>
      </c>
      <c r="AEE15" s="386">
        <f t="shared" si="111"/>
        <v>0.24980886141813446</v>
      </c>
      <c r="AEF15" s="386">
        <f t="shared" si="111"/>
        <v>0.24715262834568794</v>
      </c>
      <c r="AEG15" s="386">
        <f t="shared" si="111"/>
        <v>0.24458415974410425</v>
      </c>
      <c r="AEH15" s="386">
        <f t="shared" si="111"/>
        <v>0.24208668481153028</v>
      </c>
      <c r="AEI15" s="386">
        <f t="shared" si="111"/>
        <v>0.24698475211791357</v>
      </c>
      <c r="AEJ15" s="386">
        <f t="shared" si="111"/>
        <v>0.24916151634119782</v>
      </c>
      <c r="AEK15" s="386">
        <f t="shared" si="111"/>
        <v>0.24744247541794848</v>
      </c>
      <c r="AEM15" s="252">
        <f t="shared" ref="AEM15" si="112">ABG15-ACL15</f>
        <v>261382.64462757565</v>
      </c>
      <c r="AEN15" s="252">
        <f t="shared" ref="AEN15:AEV15" si="113">AEM15-ACM15</f>
        <v>294593.10682336625</v>
      </c>
      <c r="AEO15" s="252">
        <f t="shared" si="113"/>
        <v>328952.76970888476</v>
      </c>
      <c r="AEP15" s="252">
        <f t="shared" si="113"/>
        <v>362031.60478821356</v>
      </c>
      <c r="AEQ15" s="252">
        <f t="shared" si="113"/>
        <v>398180.91631889029</v>
      </c>
      <c r="AER15" s="252">
        <f t="shared" si="113"/>
        <v>437685.71511268243</v>
      </c>
      <c r="AES15" s="252">
        <f t="shared" si="113"/>
        <v>480857.46753772191</v>
      </c>
      <c r="AET15" s="252">
        <f t="shared" si="113"/>
        <v>512345.51536069112</v>
      </c>
      <c r="AEU15" s="252">
        <f t="shared" si="113"/>
        <v>536310.74465724884</v>
      </c>
      <c r="AEV15" s="252">
        <f t="shared" si="113"/>
        <v>560663.56295951095</v>
      </c>
      <c r="AEW15" s="252">
        <f t="shared" ref="AEW15" si="114">SUM(AEM15:AEV15)</f>
        <v>4173004.0478947856</v>
      </c>
      <c r="AEY15" s="252">
        <f>$AFI15*(SX15-SW15)/($TG15-$SW15)</f>
        <v>-16741.283544527836</v>
      </c>
      <c r="AEZ15" s="252">
        <f t="shared" ref="AEZ15:AFH15" si="115">$AFI15*(SY15-SX15)/($TG15-$SW15)</f>
        <v>-16535.06737164408</v>
      </c>
      <c r="AFA15" s="252">
        <f t="shared" si="115"/>
        <v>-17107.239800807034</v>
      </c>
      <c r="AFB15" s="252">
        <f t="shared" si="115"/>
        <v>-16469.531901953815</v>
      </c>
      <c r="AFC15" s="252">
        <f t="shared" si="115"/>
        <v>-17998.283133622001</v>
      </c>
      <c r="AFD15" s="252">
        <f t="shared" si="115"/>
        <v>-19668.937628979776</v>
      </c>
      <c r="AFE15" s="252">
        <f t="shared" si="115"/>
        <v>-21494.66727356915</v>
      </c>
      <c r="AFF15" s="252">
        <f t="shared" si="115"/>
        <v>-15677.499129185233</v>
      </c>
      <c r="AFG15" s="252">
        <f t="shared" si="115"/>
        <v>-11931.983320777359</v>
      </c>
      <c r="AFH15" s="252">
        <f t="shared" si="115"/>
        <v>-12124.958964538262</v>
      </c>
      <c r="AFI15" s="252">
        <v>-165749.45206960454</v>
      </c>
      <c r="AFK15" s="252">
        <f t="shared" ref="AFK15:AFT15" si="116">IF($TF15&lt;$SV15,$AFI15*SW15/SUM($SW15:$TF15),AEY15)</f>
        <v>-16741.283544527836</v>
      </c>
      <c r="AFL15" s="252">
        <f t="shared" si="116"/>
        <v>-16535.06737164408</v>
      </c>
      <c r="AFM15" s="252">
        <f t="shared" si="116"/>
        <v>-17107.239800807034</v>
      </c>
      <c r="AFN15" s="252">
        <f t="shared" si="116"/>
        <v>-16469.531901953815</v>
      </c>
      <c r="AFO15" s="252">
        <f t="shared" si="116"/>
        <v>-17998.283133622001</v>
      </c>
      <c r="AFP15" s="252">
        <f t="shared" si="116"/>
        <v>-19668.937628979776</v>
      </c>
      <c r="AFQ15" s="252">
        <f t="shared" si="116"/>
        <v>-21494.66727356915</v>
      </c>
      <c r="AFR15" s="252">
        <f t="shared" si="116"/>
        <v>-15677.499129185233</v>
      </c>
      <c r="AFS15" s="252">
        <f t="shared" si="116"/>
        <v>-11931.983320777359</v>
      </c>
      <c r="AFT15" s="252">
        <f t="shared" si="116"/>
        <v>-12124.958964538262</v>
      </c>
      <c r="AFU15" s="252">
        <f t="shared" ref="AFU15" si="117">SUM(AFK15:AFT15)</f>
        <v>-165749.45206960454</v>
      </c>
      <c r="AFV15" s="386">
        <f>-AFU15/SUM($VJ15:$VS15)</f>
        <v>0.16030304721714164</v>
      </c>
      <c r="AFX15" s="399">
        <v>0</v>
      </c>
      <c r="AFZ15" s="121">
        <v>-69783</v>
      </c>
      <c r="AGA15" s="121">
        <v>-69783</v>
      </c>
      <c r="AGB15" s="121">
        <v>-67148.100000000006</v>
      </c>
      <c r="AGC15" s="121">
        <v>-55704.5</v>
      </c>
      <c r="AGD15" s="121">
        <v>-54686.7</v>
      </c>
      <c r="AGF15" s="392">
        <v>0</v>
      </c>
      <c r="AGG15" s="392">
        <v>-69462.630897333307</v>
      </c>
      <c r="AGH15" s="392">
        <v>-63720.768159002997</v>
      </c>
      <c r="AGI15" s="392">
        <v>-51126.418250427101</v>
      </c>
      <c r="AGJ15" s="392">
        <v>-50355.792127847402</v>
      </c>
      <c r="AGL15" s="400"/>
      <c r="AGM15" s="386">
        <v>2.9428001561031699E-2</v>
      </c>
      <c r="AGN15" s="386">
        <v>0.123229334273752</v>
      </c>
      <c r="AGO15" s="386">
        <v>6.0494031304250302E-2</v>
      </c>
      <c r="AGP15" s="386">
        <v>4.8096426311248698E-2</v>
      </c>
      <c r="AGQ15" s="386">
        <v>6.5513338439403906E-2</v>
      </c>
      <c r="AGR15" s="386">
        <f t="shared" ref="AGR15" si="118">AJ15/(AE15+AJ15)</f>
        <v>4.7181677076856741E-2</v>
      </c>
      <c r="AGS15" s="386">
        <v>9.0618106273591362E-2</v>
      </c>
      <c r="AGT15" s="386">
        <v>0.11388276113208121</v>
      </c>
      <c r="AGU15" s="386">
        <v>0.13714741599057106</v>
      </c>
      <c r="AGV15" s="386">
        <v>0.16041207084906092</v>
      </c>
      <c r="AGW15" s="386">
        <v>0.18367672570755078</v>
      </c>
      <c r="AGX15" s="386">
        <v>0.20694138056604064</v>
      </c>
      <c r="AGY15" s="386">
        <v>0.2302060354245305</v>
      </c>
      <c r="AGZ15" s="386">
        <v>0.25347069028302033</v>
      </c>
      <c r="AHA15" s="386">
        <v>0.27673534514151016</v>
      </c>
      <c r="AHB15" s="386">
        <v>0.3</v>
      </c>
      <c r="AHC15" s="386">
        <v>0.3</v>
      </c>
      <c r="AHE15" s="401">
        <v>0.8</v>
      </c>
      <c r="AHF15" s="401">
        <v>0.8</v>
      </c>
      <c r="AHG15" s="401">
        <v>0.8</v>
      </c>
      <c r="AHH15" s="401">
        <v>0.8</v>
      </c>
      <c r="AHI15" s="401">
        <v>0.8</v>
      </c>
      <c r="AHJ15" s="401">
        <v>0.8</v>
      </c>
      <c r="AHK15" s="401">
        <v>0.8</v>
      </c>
      <c r="AHL15" s="401">
        <v>0.8</v>
      </c>
      <c r="AHM15" s="401">
        <v>0.8</v>
      </c>
      <c r="AHN15" s="401">
        <v>0.82241722006010343</v>
      </c>
      <c r="AHO15" s="401">
        <v>0.85839363178443739</v>
      </c>
      <c r="AHP15" s="401">
        <v>0.85839363178443739</v>
      </c>
      <c r="AHR15" s="386">
        <v>9.7379980010683043E-2</v>
      </c>
      <c r="AHS15" s="386">
        <v>9.7379980010683043E-2</v>
      </c>
      <c r="AHT15" s="386">
        <v>9.7379980010683043E-2</v>
      </c>
      <c r="AHU15" s="386">
        <v>9.7379980010683043E-2</v>
      </c>
      <c r="AHV15" s="386">
        <v>9.7379980010683043E-2</v>
      </c>
      <c r="AHW15" s="386">
        <v>9.7379980010683043E-2</v>
      </c>
      <c r="AHX15" s="386">
        <v>9.7379980010683043E-2</v>
      </c>
      <c r="AHY15" s="386">
        <v>9.7379980010683043E-2</v>
      </c>
      <c r="AHZ15" s="386">
        <v>9.8898185679122397E-2</v>
      </c>
      <c r="AIA15" s="386">
        <v>0.10133468726422304</v>
      </c>
      <c r="AIB15" s="386">
        <v>0.10133468726422304</v>
      </c>
    </row>
    <row r="16" spans="1:944" s="1005" customFormat="1" ht="15" customHeight="1" x14ac:dyDescent="0.45">
      <c r="A16" s="993" t="s">
        <v>335</v>
      </c>
      <c r="B16" s="994" t="str">
        <f>IFERROR(IF(B13=B12,0,"Delta"),"Nicht in Watchlist enthalten!")</f>
        <v>Delta</v>
      </c>
      <c r="C16" s="994">
        <f>IFERROR(IF(OR(C12="",C12=0,C12="n/a",C13="",C13=0,C12="n/a",C13=C12),0,"Delta"),0)</f>
        <v>0</v>
      </c>
      <c r="D16" s="994">
        <f t="shared" ref="D16:P17" si="119">IFERROR(IF(OR(D12="",D12=0,D12="n/a",D13="",D13=0,D12="n/a",D13=D12),0,"Delta"),0)</f>
        <v>0</v>
      </c>
      <c r="E16" s="994">
        <f t="shared" si="119"/>
        <v>0</v>
      </c>
      <c r="F16" s="994">
        <f t="shared" si="119"/>
        <v>0</v>
      </c>
      <c r="G16" s="994"/>
      <c r="H16" s="994" t="str">
        <f t="shared" si="119"/>
        <v>Delta</v>
      </c>
      <c r="I16" s="994" t="str">
        <f t="shared" si="119"/>
        <v>Delta</v>
      </c>
      <c r="J16" s="994">
        <f t="shared" si="119"/>
        <v>0</v>
      </c>
      <c r="K16" s="994">
        <f t="shared" si="119"/>
        <v>0</v>
      </c>
      <c r="L16" s="994">
        <f t="shared" si="119"/>
        <v>0</v>
      </c>
      <c r="M16" s="994">
        <f t="shared" si="119"/>
        <v>0</v>
      </c>
      <c r="N16" s="994">
        <f t="shared" si="119"/>
        <v>0</v>
      </c>
      <c r="O16" s="994">
        <f t="shared" si="119"/>
        <v>0</v>
      </c>
      <c r="P16" s="994">
        <f t="shared" si="119"/>
        <v>0</v>
      </c>
      <c r="Q16" s="995"/>
      <c r="R16" s="992">
        <f t="shared" ref="R16:W16" si="120">IFERROR(IF(OR(R12="",R12=0,R12="n/a",R13="",R13=0,R12="n/a",R13=R12),0,R13/R12-1),0)</f>
        <v>-6.9452036580140875E-2</v>
      </c>
      <c r="S16" s="992">
        <f t="shared" si="120"/>
        <v>0</v>
      </c>
      <c r="T16" s="992">
        <f t="shared" si="120"/>
        <v>0</v>
      </c>
      <c r="U16" s="992">
        <f t="shared" si="120"/>
        <v>0</v>
      </c>
      <c r="V16" s="992">
        <f t="shared" si="120"/>
        <v>0</v>
      </c>
      <c r="W16" s="992">
        <f t="shared" si="120"/>
        <v>0</v>
      </c>
      <c r="X16" s="995"/>
      <c r="Y16" s="996">
        <f t="shared" ref="Y16:CD16" si="121">IFERROR(IF(OR(Y12="",Y12=0,Y12="n/a",Y13="",Y13=0,Y12="n/a",Y13=Y12),0,Y12-Y13),0)</f>
        <v>0</v>
      </c>
      <c r="Z16" s="996">
        <f t="shared" si="121"/>
        <v>0</v>
      </c>
      <c r="AA16" s="996">
        <f t="shared" si="121"/>
        <v>0</v>
      </c>
      <c r="AB16" s="995"/>
      <c r="AC16" s="996">
        <f t="shared" si="121"/>
        <v>0</v>
      </c>
      <c r="AD16" s="996">
        <f t="shared" si="121"/>
        <v>-1.6600000000033255E-5</v>
      </c>
      <c r="AE16" s="992">
        <f t="shared" ref="AE16" si="122">IFERROR(IF(OR(AE12="",AE12=0,AE12="n/a",AE13="",AE13=0,AE12="n/a",AE13=AE12),0,AE13/AE12-1),0)</f>
        <v>-6.9452036578504961E-2</v>
      </c>
      <c r="AF16" s="996">
        <f t="shared" si="121"/>
        <v>0</v>
      </c>
      <c r="AG16" s="995"/>
      <c r="AH16" s="992">
        <f t="shared" ref="AH16:AN16" si="123">IFERROR(IF(OR(AH12="",AH12=0,AH12="n/a",AH13="",AH13=0,AH12="n/a",AH13=AH12),0,AH13/AH12-1),0)</f>
        <v>0</v>
      </c>
      <c r="AI16" s="992">
        <f t="shared" si="123"/>
        <v>0</v>
      </c>
      <c r="AJ16" s="992">
        <f t="shared" si="123"/>
        <v>-8.5159520075342998E-3</v>
      </c>
      <c r="AK16" s="992">
        <f t="shared" si="123"/>
        <v>0</v>
      </c>
      <c r="AL16" s="992">
        <f t="shared" si="123"/>
        <v>0</v>
      </c>
      <c r="AM16" s="992">
        <f t="shared" si="123"/>
        <v>0</v>
      </c>
      <c r="AN16" s="992">
        <f t="shared" si="123"/>
        <v>0</v>
      </c>
      <c r="AO16" s="995"/>
      <c r="AP16" s="996">
        <f t="shared" si="121"/>
        <v>0</v>
      </c>
      <c r="AQ16" s="996">
        <f t="shared" si="121"/>
        <v>0</v>
      </c>
      <c r="AR16" s="995"/>
      <c r="AS16" s="996">
        <f t="shared" si="121"/>
        <v>0</v>
      </c>
      <c r="AT16" s="996">
        <f t="shared" si="121"/>
        <v>0</v>
      </c>
      <c r="AU16" s="995"/>
      <c r="AV16" s="992">
        <f t="shared" ref="AV16:BM16" si="124">IFERROR(IF(OR(AV12="",AV12=0,AV12="n/a",AV13="",AV13=0,AV12="n/a",AV13=AV12),0,AV13/AV12-1),0)</f>
        <v>0</v>
      </c>
      <c r="AW16" s="992">
        <f t="shared" si="124"/>
        <v>0</v>
      </c>
      <c r="AX16" s="992">
        <f t="shared" si="124"/>
        <v>0</v>
      </c>
      <c r="AY16" s="992">
        <f t="shared" si="124"/>
        <v>-0.10400183995860468</v>
      </c>
      <c r="AZ16" s="992">
        <f t="shared" si="124"/>
        <v>-0.10400183995860468</v>
      </c>
      <c r="BA16" s="992">
        <f t="shared" si="124"/>
        <v>-6.8445411633756503E-2</v>
      </c>
      <c r="BB16" s="992">
        <f t="shared" si="124"/>
        <v>-6.9310775900371269E-2</v>
      </c>
      <c r="BC16" s="992">
        <f t="shared" si="124"/>
        <v>-6.9310775900371269E-2</v>
      </c>
      <c r="BD16" s="992">
        <f t="shared" si="124"/>
        <v>-0.1715664269235353</v>
      </c>
      <c r="BE16" s="992">
        <f t="shared" si="124"/>
        <v>0</v>
      </c>
      <c r="BF16" s="992">
        <f t="shared" si="124"/>
        <v>0</v>
      </c>
      <c r="BG16" s="992">
        <f t="shared" si="124"/>
        <v>0</v>
      </c>
      <c r="BH16" s="992">
        <f t="shared" si="124"/>
        <v>0</v>
      </c>
      <c r="BI16" s="992">
        <f t="shared" si="124"/>
        <v>0</v>
      </c>
      <c r="BJ16" s="992">
        <f t="shared" si="124"/>
        <v>0</v>
      </c>
      <c r="BK16" s="992">
        <f t="shared" si="124"/>
        <v>0</v>
      </c>
      <c r="BL16" s="992">
        <f t="shared" si="124"/>
        <v>0</v>
      </c>
      <c r="BM16" s="992">
        <f t="shared" si="124"/>
        <v>0</v>
      </c>
      <c r="BN16" s="995"/>
      <c r="BO16" s="997">
        <f t="shared" si="121"/>
        <v>0.1082318063681747</v>
      </c>
      <c r="BP16" s="997">
        <f t="shared" si="121"/>
        <v>0.15374344577653759</v>
      </c>
      <c r="BQ16" s="997">
        <f t="shared" si="121"/>
        <v>0</v>
      </c>
      <c r="BR16" s="997">
        <f t="shared" si="121"/>
        <v>0</v>
      </c>
      <c r="BS16" s="995"/>
      <c r="BT16" s="997">
        <f t="shared" si="121"/>
        <v>0</v>
      </c>
      <c r="BU16" s="996">
        <f t="shared" si="121"/>
        <v>0</v>
      </c>
      <c r="BV16" s="996">
        <f t="shared" si="121"/>
        <v>0</v>
      </c>
      <c r="BW16" s="996">
        <f t="shared" si="121"/>
        <v>0</v>
      </c>
      <c r="BX16" s="996">
        <f t="shared" si="121"/>
        <v>0</v>
      </c>
      <c r="BY16" s="996">
        <f t="shared" si="121"/>
        <v>0</v>
      </c>
      <c r="BZ16" s="996">
        <f t="shared" si="121"/>
        <v>0</v>
      </c>
      <c r="CA16" s="996">
        <f t="shared" si="121"/>
        <v>0</v>
      </c>
      <c r="CB16" s="996">
        <f t="shared" si="121"/>
        <v>0</v>
      </c>
      <c r="CC16" s="996">
        <f t="shared" si="121"/>
        <v>0</v>
      </c>
      <c r="CD16" s="996">
        <f t="shared" si="121"/>
        <v>0</v>
      </c>
      <c r="CE16" s="996">
        <f t="shared" ref="CE16:EK16" si="125">IFERROR(IF(OR(CE12="",CE12=0,CE12="n/a",CE13="",CE13=0,CE12="n/a",CE13=CE12),0,CE12-CE13),0)</f>
        <v>0</v>
      </c>
      <c r="CF16" s="995"/>
      <c r="CG16" s="996">
        <f t="shared" si="125"/>
        <v>0</v>
      </c>
      <c r="CH16" s="996">
        <f t="shared" si="125"/>
        <v>0</v>
      </c>
      <c r="CI16" s="996">
        <f t="shared" si="125"/>
        <v>-8</v>
      </c>
      <c r="CJ16" s="995"/>
      <c r="CK16" s="996">
        <f t="shared" si="125"/>
        <v>0</v>
      </c>
      <c r="CL16" s="996">
        <f t="shared" si="125"/>
        <v>0</v>
      </c>
      <c r="CM16" s="996">
        <f t="shared" si="125"/>
        <v>0</v>
      </c>
      <c r="CN16" s="996">
        <f t="shared" si="125"/>
        <v>0</v>
      </c>
      <c r="CO16" s="996">
        <f t="shared" si="125"/>
        <v>0</v>
      </c>
      <c r="CP16" s="996">
        <f t="shared" si="125"/>
        <v>0</v>
      </c>
      <c r="CQ16" s="996">
        <f t="shared" si="125"/>
        <v>0</v>
      </c>
      <c r="CR16" s="996">
        <f t="shared" si="125"/>
        <v>0</v>
      </c>
      <c r="CS16" s="996">
        <f t="shared" si="125"/>
        <v>0</v>
      </c>
      <c r="CT16" s="996">
        <f t="shared" si="125"/>
        <v>0</v>
      </c>
      <c r="CU16" s="998" t="s">
        <v>24</v>
      </c>
      <c r="CV16" s="992">
        <f t="shared" ref="CV16:DF16" si="126">IFERROR(IF(OR(CV12="",CV12=0,CV12="n/a",CV13="",CV13=0,CV12="n/a",CV13=CV12),0,CV13/CV12-1),0)</f>
        <v>0</v>
      </c>
      <c r="CW16" s="992">
        <f t="shared" si="126"/>
        <v>0</v>
      </c>
      <c r="CX16" s="992">
        <f t="shared" si="126"/>
        <v>0</v>
      </c>
      <c r="CY16" s="992">
        <f t="shared" si="126"/>
        <v>0</v>
      </c>
      <c r="CZ16" s="992">
        <f t="shared" si="126"/>
        <v>0</v>
      </c>
      <c r="DA16" s="992">
        <f t="shared" si="126"/>
        <v>0</v>
      </c>
      <c r="DB16" s="992">
        <f t="shared" si="126"/>
        <v>0</v>
      </c>
      <c r="DC16" s="992">
        <f t="shared" si="126"/>
        <v>0</v>
      </c>
      <c r="DD16" s="992">
        <f t="shared" si="126"/>
        <v>0</v>
      </c>
      <c r="DE16" s="992">
        <f t="shared" si="126"/>
        <v>0</v>
      </c>
      <c r="DF16" s="992">
        <f t="shared" si="126"/>
        <v>0</v>
      </c>
      <c r="DG16" s="998" t="s">
        <v>24</v>
      </c>
      <c r="DH16" s="996">
        <f t="shared" si="125"/>
        <v>0</v>
      </c>
      <c r="DI16" s="996">
        <f t="shared" si="125"/>
        <v>0</v>
      </c>
      <c r="DJ16" s="996">
        <f t="shared" si="125"/>
        <v>0</v>
      </c>
      <c r="DK16" s="996">
        <f t="shared" si="125"/>
        <v>0</v>
      </c>
      <c r="DL16" s="996">
        <f t="shared" si="125"/>
        <v>0</v>
      </c>
      <c r="DM16" s="996">
        <f t="shared" si="125"/>
        <v>0</v>
      </c>
      <c r="DN16" s="996">
        <f t="shared" si="125"/>
        <v>0</v>
      </c>
      <c r="DO16" s="996">
        <f t="shared" si="125"/>
        <v>0</v>
      </c>
      <c r="DP16" s="996">
        <f t="shared" si="125"/>
        <v>0</v>
      </c>
      <c r="DQ16" s="996">
        <f t="shared" si="125"/>
        <v>0</v>
      </c>
      <c r="DR16" s="998" t="s">
        <v>24</v>
      </c>
      <c r="DS16" s="992">
        <f t="shared" ref="DS16:EC16" si="127">IFERROR(IF(OR(DS12="",DS12=0,DS12="n/a",DS13="",DS13=0,DS12="n/a",DS13=DS12),0,DS13/DS12-1),0)</f>
        <v>0</v>
      </c>
      <c r="DT16" s="992">
        <f t="shared" si="127"/>
        <v>0</v>
      </c>
      <c r="DU16" s="992">
        <f t="shared" si="127"/>
        <v>0</v>
      </c>
      <c r="DV16" s="992">
        <f t="shared" si="127"/>
        <v>0</v>
      </c>
      <c r="DW16" s="992">
        <f t="shared" si="127"/>
        <v>0</v>
      </c>
      <c r="DX16" s="992">
        <f t="shared" si="127"/>
        <v>0</v>
      </c>
      <c r="DY16" s="992">
        <f t="shared" si="127"/>
        <v>0</v>
      </c>
      <c r="DZ16" s="992">
        <f t="shared" si="127"/>
        <v>0</v>
      </c>
      <c r="EA16" s="992">
        <f t="shared" si="127"/>
        <v>0</v>
      </c>
      <c r="EB16" s="992">
        <f t="shared" si="127"/>
        <v>0</v>
      </c>
      <c r="EC16" s="992">
        <f t="shared" si="127"/>
        <v>0</v>
      </c>
      <c r="ED16" s="998" t="s">
        <v>24</v>
      </c>
      <c r="EE16" s="996">
        <f t="shared" si="125"/>
        <v>0</v>
      </c>
      <c r="EF16" s="996">
        <f t="shared" si="125"/>
        <v>0</v>
      </c>
      <c r="EG16" s="996">
        <f t="shared" si="125"/>
        <v>0</v>
      </c>
      <c r="EH16" s="996">
        <f t="shared" si="125"/>
        <v>0</v>
      </c>
      <c r="EI16" s="996">
        <f t="shared" si="125"/>
        <v>0</v>
      </c>
      <c r="EJ16" s="996">
        <f t="shared" si="125"/>
        <v>0</v>
      </c>
      <c r="EK16" s="996">
        <f t="shared" si="125"/>
        <v>0</v>
      </c>
      <c r="EL16" s="998" t="s">
        <v>24</v>
      </c>
      <c r="EM16" s="992">
        <f t="shared" ref="EM16:ER16" si="128">IFERROR(IF(OR(EM12="",EM12=0,EM12="n/a",EM13="",EM13=0,EM12="n/a",EM13=EM12),0,EM13/EM12-1),0)</f>
        <v>3.1889795245598762E-5</v>
      </c>
      <c r="EN16" s="992">
        <f t="shared" si="128"/>
        <v>-3.6883541892995808E-4</v>
      </c>
      <c r="EO16" s="992">
        <f t="shared" si="128"/>
        <v>-9.1626544036926827E-4</v>
      </c>
      <c r="EP16" s="992">
        <f t="shared" si="128"/>
        <v>0</v>
      </c>
      <c r="EQ16" s="992">
        <f t="shared" si="128"/>
        <v>0</v>
      </c>
      <c r="ER16" s="992">
        <f t="shared" si="128"/>
        <v>0</v>
      </c>
      <c r="ES16" s="998" t="s">
        <v>24</v>
      </c>
      <c r="ET16" s="996">
        <f t="shared" ref="ET16:HB16" si="129">IFERROR(IF(OR(ET12="",ET12=0,ET12="n/a",ET13="",ET13=0,ET12="n/a",ET13=ET12),0,ET12-ET13),0)</f>
        <v>0</v>
      </c>
      <c r="EU16" s="992">
        <f t="shared" ref="EU16:FE16" si="130">IFERROR(IF(OR(EU12="",EU12=0,EU12="n/a",EU13="",EU13=0,EU12="n/a",EU13=EU12),0,EU13/EU12-1),0)</f>
        <v>0</v>
      </c>
      <c r="EV16" s="992">
        <f t="shared" si="130"/>
        <v>0</v>
      </c>
      <c r="EW16" s="992">
        <f t="shared" si="130"/>
        <v>0</v>
      </c>
      <c r="EX16" s="992">
        <f t="shared" si="130"/>
        <v>0</v>
      </c>
      <c r="EY16" s="992">
        <f t="shared" si="130"/>
        <v>0</v>
      </c>
      <c r="EZ16" s="992">
        <f t="shared" si="130"/>
        <v>0</v>
      </c>
      <c r="FA16" s="992">
        <f t="shared" si="130"/>
        <v>0</v>
      </c>
      <c r="FB16" s="992">
        <f t="shared" si="130"/>
        <v>0</v>
      </c>
      <c r="FC16" s="992">
        <f t="shared" si="130"/>
        <v>0</v>
      </c>
      <c r="FD16" s="992">
        <f t="shared" si="130"/>
        <v>0</v>
      </c>
      <c r="FE16" s="992">
        <f t="shared" si="130"/>
        <v>0</v>
      </c>
      <c r="FF16" s="998" t="s">
        <v>24</v>
      </c>
      <c r="FG16" s="992">
        <f t="shared" ref="FG16:FI16" si="131">IFERROR(IF(OR(FG12="",FG12=0,FG12="n/a",FG13="",FG13=0,FG12="n/a",FG13=FG12),0,FG13/FG12-1),0)</f>
        <v>0</v>
      </c>
      <c r="FH16" s="992">
        <f t="shared" si="131"/>
        <v>0</v>
      </c>
      <c r="FI16" s="992">
        <f t="shared" si="131"/>
        <v>-6.9663756269733312E-4</v>
      </c>
      <c r="FJ16" s="998" t="s">
        <v>24</v>
      </c>
      <c r="FK16" s="992">
        <f t="shared" ref="FK16:FO16" si="132">IFERROR(IF(OR(FK12="",FK12=0,FK12="n/a",FK13="",FK13=0,FK12="n/a",FK13=FK12),0,FK13/FK12-1),0)</f>
        <v>-6.9663756269733312E-4</v>
      </c>
      <c r="FL16" s="992">
        <f t="shared" si="132"/>
        <v>-1.1614344505556096E-3</v>
      </c>
      <c r="FM16" s="992">
        <f t="shared" si="132"/>
        <v>6.1444320825325693E-3</v>
      </c>
      <c r="FN16" s="992">
        <f t="shared" si="132"/>
        <v>0</v>
      </c>
      <c r="FO16" s="992">
        <f t="shared" si="132"/>
        <v>0</v>
      </c>
      <c r="FP16" s="998" t="s">
        <v>24</v>
      </c>
      <c r="FQ16" s="996">
        <f t="shared" si="129"/>
        <v>0</v>
      </c>
      <c r="FR16" s="996">
        <f t="shared" si="129"/>
        <v>0</v>
      </c>
      <c r="FS16" s="996">
        <f t="shared" si="129"/>
        <v>0</v>
      </c>
      <c r="FT16" s="996">
        <f t="shared" si="129"/>
        <v>0</v>
      </c>
      <c r="FU16" s="996">
        <f t="shared" si="129"/>
        <v>0</v>
      </c>
      <c r="FV16" s="996">
        <f t="shared" si="129"/>
        <v>0</v>
      </c>
      <c r="FW16" s="996">
        <f t="shared" si="129"/>
        <v>0</v>
      </c>
      <c r="FX16" s="996">
        <f t="shared" si="129"/>
        <v>0</v>
      </c>
      <c r="FY16" s="996">
        <f t="shared" si="129"/>
        <v>0</v>
      </c>
      <c r="FZ16" s="996">
        <f t="shared" si="129"/>
        <v>0</v>
      </c>
      <c r="GA16" s="996">
        <f t="shared" si="129"/>
        <v>0</v>
      </c>
      <c r="GB16" s="996">
        <f t="shared" si="129"/>
        <v>0</v>
      </c>
      <c r="GC16" s="998" t="s">
        <v>24</v>
      </c>
      <c r="GD16" s="996">
        <f t="shared" si="129"/>
        <v>0</v>
      </c>
      <c r="GE16" s="996">
        <f t="shared" si="129"/>
        <v>0</v>
      </c>
      <c r="GF16" s="992">
        <f t="shared" ref="GF16" si="133">IFERROR(IF(OR(GF12="",GF12=0,GF12="n/a",GF13="",GF13=0,GF12="n/a",GF13=GF12),0,GF13/GF12-1),0)</f>
        <v>1.589009351982118E-2</v>
      </c>
      <c r="GG16" s="998" t="s">
        <v>24</v>
      </c>
      <c r="GH16" s="998" t="s">
        <v>24</v>
      </c>
      <c r="GI16" s="998" t="s">
        <v>24</v>
      </c>
      <c r="GJ16" s="996">
        <f t="shared" si="129"/>
        <v>0</v>
      </c>
      <c r="GK16" s="996">
        <f t="shared" si="129"/>
        <v>0</v>
      </c>
      <c r="GL16" s="996">
        <f t="shared" si="129"/>
        <v>0</v>
      </c>
      <c r="GM16" s="996">
        <f t="shared" si="129"/>
        <v>0</v>
      </c>
      <c r="GN16" s="996">
        <f t="shared" si="129"/>
        <v>0</v>
      </c>
      <c r="GO16" s="996">
        <f t="shared" si="129"/>
        <v>0</v>
      </c>
      <c r="GP16" s="996">
        <f t="shared" si="129"/>
        <v>0</v>
      </c>
      <c r="GQ16" s="996">
        <f t="shared" si="129"/>
        <v>0</v>
      </c>
      <c r="GR16" s="996">
        <f t="shared" si="129"/>
        <v>0</v>
      </c>
      <c r="GS16" s="996">
        <f t="shared" si="129"/>
        <v>0</v>
      </c>
      <c r="GT16" s="998" t="s">
        <v>24</v>
      </c>
      <c r="GU16" s="996">
        <f t="shared" si="129"/>
        <v>0</v>
      </c>
      <c r="GV16" s="996">
        <f t="shared" si="129"/>
        <v>0</v>
      </c>
      <c r="GW16" s="998" t="s">
        <v>24</v>
      </c>
      <c r="GX16" s="996">
        <f t="shared" si="129"/>
        <v>0</v>
      </c>
      <c r="GY16" s="998" t="s">
        <v>24</v>
      </c>
      <c r="GZ16" s="998" t="s">
        <v>24</v>
      </c>
      <c r="HA16" s="996">
        <f t="shared" si="129"/>
        <v>0</v>
      </c>
      <c r="HB16" s="996">
        <f t="shared" si="129"/>
        <v>0</v>
      </c>
      <c r="HC16" s="996">
        <f t="shared" ref="HC16:JM16" si="134">IFERROR(IF(OR(HC12="",HC12=0,HC12="n/a",HC13="",HC13=0,HC12="n/a",HC13=HC12),0,HC12-HC13),0)</f>
        <v>0</v>
      </c>
      <c r="HD16" s="996">
        <f t="shared" si="134"/>
        <v>0</v>
      </c>
      <c r="HE16" s="996">
        <f t="shared" si="134"/>
        <v>0</v>
      </c>
      <c r="HF16" s="996">
        <f t="shared" si="134"/>
        <v>0</v>
      </c>
      <c r="HG16" s="996">
        <f t="shared" si="134"/>
        <v>0</v>
      </c>
      <c r="HH16" s="996">
        <f t="shared" si="134"/>
        <v>0</v>
      </c>
      <c r="HI16" s="996">
        <f t="shared" si="134"/>
        <v>0</v>
      </c>
      <c r="HJ16" s="996">
        <f t="shared" si="134"/>
        <v>0</v>
      </c>
      <c r="HK16" s="996">
        <f t="shared" si="134"/>
        <v>0</v>
      </c>
      <c r="HL16" s="998" t="s">
        <v>24</v>
      </c>
      <c r="HM16" s="996">
        <f t="shared" si="134"/>
        <v>0</v>
      </c>
      <c r="HN16" s="996">
        <f t="shared" si="134"/>
        <v>0</v>
      </c>
      <c r="HO16" s="996">
        <f t="shared" si="134"/>
        <v>252</v>
      </c>
      <c r="HP16" s="998" t="s">
        <v>24</v>
      </c>
      <c r="HQ16" s="996">
        <f t="shared" si="134"/>
        <v>0</v>
      </c>
      <c r="HR16" s="998" t="s">
        <v>24</v>
      </c>
      <c r="HS16" s="997">
        <f t="shared" si="134"/>
        <v>4.7638121748927453E-4</v>
      </c>
      <c r="HT16" s="997">
        <f t="shared" si="134"/>
        <v>6.3728628388926012E-4</v>
      </c>
      <c r="HU16" s="997">
        <f t="shared" si="134"/>
        <v>-1.0549222558986493E-3</v>
      </c>
      <c r="HV16" s="997">
        <f t="shared" si="134"/>
        <v>0</v>
      </c>
      <c r="HW16" s="997">
        <f t="shared" si="134"/>
        <v>0</v>
      </c>
      <c r="HX16" s="998" t="s">
        <v>24</v>
      </c>
      <c r="HY16" s="996">
        <f t="shared" si="134"/>
        <v>0</v>
      </c>
      <c r="HZ16" s="997">
        <f t="shared" si="134"/>
        <v>-3.980772867051563E-5</v>
      </c>
      <c r="IA16" s="997">
        <f t="shared" si="134"/>
        <v>4.7638121748927453E-4</v>
      </c>
      <c r="IB16" s="997">
        <f t="shared" si="134"/>
        <v>6.3728628388926012E-4</v>
      </c>
      <c r="IC16" s="997">
        <f t="shared" si="134"/>
        <v>-1.0549222558986493E-3</v>
      </c>
      <c r="ID16" s="997">
        <f t="shared" si="134"/>
        <v>0</v>
      </c>
      <c r="IE16" s="998" t="s">
        <v>24</v>
      </c>
      <c r="IF16" s="997">
        <f t="shared" si="134"/>
        <v>-3.980772867051563E-5</v>
      </c>
      <c r="IG16" s="997">
        <f t="shared" si="134"/>
        <v>4.7638121748927453E-4</v>
      </c>
      <c r="IH16" s="997">
        <f t="shared" si="134"/>
        <v>6.3728628388926012E-4</v>
      </c>
      <c r="II16" s="997">
        <f t="shared" si="134"/>
        <v>-1.0549222558986493E-3</v>
      </c>
      <c r="IJ16" s="997">
        <f t="shared" si="134"/>
        <v>0</v>
      </c>
      <c r="IK16" s="998" t="s">
        <v>24</v>
      </c>
      <c r="IL16" s="997">
        <f t="shared" si="134"/>
        <v>1.0000000000000286E-4</v>
      </c>
      <c r="IM16" s="998" t="s">
        <v>24</v>
      </c>
      <c r="IN16" s="997">
        <f t="shared" si="134"/>
        <v>2.501140692887649E-4</v>
      </c>
      <c r="IO16" s="997">
        <f t="shared" si="134"/>
        <v>2.6919457413354664E-4</v>
      </c>
      <c r="IP16" s="997">
        <f t="shared" si="134"/>
        <v>-2.4159374433144198E-3</v>
      </c>
      <c r="IQ16" s="997">
        <f t="shared" si="134"/>
        <v>0</v>
      </c>
      <c r="IR16" s="997">
        <f t="shared" si="134"/>
        <v>0</v>
      </c>
      <c r="IS16" s="998" t="s">
        <v>24</v>
      </c>
      <c r="IT16" s="996">
        <f t="shared" si="134"/>
        <v>2.501140692887649E-4</v>
      </c>
      <c r="IU16" s="996">
        <f t="shared" si="134"/>
        <v>2.6919457413354664E-4</v>
      </c>
      <c r="IV16" s="996">
        <f t="shared" si="134"/>
        <v>-2.4159374433144198E-3</v>
      </c>
      <c r="IW16" s="998" t="s">
        <v>24</v>
      </c>
      <c r="IX16" s="996">
        <f t="shared" si="134"/>
        <v>0</v>
      </c>
      <c r="IY16" s="996">
        <f t="shared" si="134"/>
        <v>0</v>
      </c>
      <c r="IZ16" s="996">
        <f t="shared" si="134"/>
        <v>0</v>
      </c>
      <c r="JA16" s="996">
        <f t="shared" si="134"/>
        <v>0</v>
      </c>
      <c r="JB16" s="996">
        <f t="shared" si="134"/>
        <v>0</v>
      </c>
      <c r="JC16" s="996">
        <f t="shared" si="134"/>
        <v>-1.8534345723961732E-3</v>
      </c>
      <c r="JD16" s="996">
        <f t="shared" si="134"/>
        <v>-4.7688601811712861E-4</v>
      </c>
      <c r="JE16" s="996">
        <f t="shared" si="134"/>
        <v>0</v>
      </c>
      <c r="JF16" s="998" t="s">
        <v>24</v>
      </c>
      <c r="JG16" s="996">
        <f t="shared" ref="JG16" si="135">IFERROR(IF(OR(JG12="",JG12=0,JG12="n/a",JG13="",JG13=0,JG12="n/a",JG13=JG12),0,JG12-JG13),0)</f>
        <v>0</v>
      </c>
      <c r="JH16" s="998" t="s">
        <v>24</v>
      </c>
      <c r="JI16" s="996">
        <f t="shared" si="134"/>
        <v>0</v>
      </c>
      <c r="JJ16" s="996">
        <f t="shared" si="134"/>
        <v>0</v>
      </c>
      <c r="JK16" s="996">
        <f t="shared" si="134"/>
        <v>-7.6022199270275315E-3</v>
      </c>
      <c r="JL16" s="996">
        <f t="shared" si="134"/>
        <v>3.8859849915381939E-3</v>
      </c>
      <c r="JM16" s="996">
        <f t="shared" si="134"/>
        <v>0</v>
      </c>
      <c r="JN16" s="998" t="s">
        <v>24</v>
      </c>
      <c r="JO16" s="996">
        <f t="shared" ref="JO16:JZ16" si="136">IFERROR(IF(OR(JO12="",JO12=0,JO12="n/a",JO13="",JO13=0,JO12="n/a",JO13=JO12),0,JO12-JO13),0)</f>
        <v>0</v>
      </c>
      <c r="JP16" s="996">
        <f t="shared" si="136"/>
        <v>0</v>
      </c>
      <c r="JQ16" s="996">
        <f t="shared" si="136"/>
        <v>0</v>
      </c>
      <c r="JR16" s="996">
        <f t="shared" si="136"/>
        <v>0</v>
      </c>
      <c r="JS16" s="996">
        <f t="shared" si="136"/>
        <v>0</v>
      </c>
      <c r="JT16" s="996">
        <f t="shared" si="136"/>
        <v>0</v>
      </c>
      <c r="JU16" s="996">
        <f t="shared" si="136"/>
        <v>0</v>
      </c>
      <c r="JV16" s="996">
        <f t="shared" si="136"/>
        <v>0</v>
      </c>
      <c r="JW16" s="996">
        <f t="shared" si="136"/>
        <v>0</v>
      </c>
      <c r="JX16" s="996">
        <f t="shared" si="136"/>
        <v>0</v>
      </c>
      <c r="JY16" s="996">
        <f t="shared" si="136"/>
        <v>0</v>
      </c>
      <c r="JZ16" s="996">
        <f t="shared" si="136"/>
        <v>0</v>
      </c>
      <c r="KA16" s="998" t="s">
        <v>24</v>
      </c>
      <c r="KB16" s="996">
        <f t="shared" ref="KB16:MM16" si="137">IFERROR(IF(OR(KB12="",KB12=0,KB12="n/a",KB13="",KB13=0,KB12="n/a",KB13=KB12),0,KB12-KB13),0)</f>
        <v>-0.49540000000000362</v>
      </c>
      <c r="KC16" s="996">
        <f t="shared" si="137"/>
        <v>-0.6460000000000008</v>
      </c>
      <c r="KD16" s="996">
        <f t="shared" si="137"/>
        <v>-1.6101632937725654</v>
      </c>
      <c r="KE16" s="996">
        <f t="shared" si="137"/>
        <v>-7.5630889229647948</v>
      </c>
      <c r="KF16" s="996">
        <f t="shared" si="137"/>
        <v>-3.220941939230201</v>
      </c>
      <c r="KG16" s="996">
        <f t="shared" si="137"/>
        <v>0</v>
      </c>
      <c r="KH16" s="996">
        <f t="shared" si="137"/>
        <v>0</v>
      </c>
      <c r="KI16" s="996">
        <f t="shared" si="137"/>
        <v>0</v>
      </c>
      <c r="KJ16" s="996">
        <f t="shared" si="137"/>
        <v>0</v>
      </c>
      <c r="KK16" s="996">
        <f t="shared" si="137"/>
        <v>0</v>
      </c>
      <c r="KL16" s="996">
        <f t="shared" si="137"/>
        <v>-0.49540000000000362</v>
      </c>
      <c r="KM16" s="998" t="s">
        <v>24</v>
      </c>
      <c r="KN16" s="996">
        <f t="shared" ref="KN16:KX16" si="138">IFERROR(IF(OR(KN12="",KN12=0,KN12="n/a",KN13="",KN13=0,KN12="n/a",KN13=KN12),0,KN12-KN13),0)</f>
        <v>-2.2169000000002437E-5</v>
      </c>
      <c r="KO16" s="996">
        <f t="shared" si="138"/>
        <v>-3.7228999999999735E-5</v>
      </c>
      <c r="KP16" s="996">
        <f t="shared" si="138"/>
        <v>-1.3364532937724938E-4</v>
      </c>
      <c r="KQ16" s="996">
        <f t="shared" si="138"/>
        <v>-7.2893789229647177E-4</v>
      </c>
      <c r="KR16" s="996">
        <f t="shared" si="138"/>
        <v>-2.9472319392301327E-4</v>
      </c>
      <c r="KS16" s="996">
        <f t="shared" si="138"/>
        <v>0</v>
      </c>
      <c r="KT16" s="996">
        <f t="shared" si="138"/>
        <v>0</v>
      </c>
      <c r="KU16" s="996">
        <f t="shared" si="138"/>
        <v>0</v>
      </c>
      <c r="KV16" s="996">
        <f t="shared" si="138"/>
        <v>0</v>
      </c>
      <c r="KW16" s="996">
        <f t="shared" si="138"/>
        <v>0</v>
      </c>
      <c r="KX16" s="996">
        <f t="shared" si="138"/>
        <v>0</v>
      </c>
      <c r="KY16" s="998" t="s">
        <v>24</v>
      </c>
      <c r="KZ16" s="996">
        <f t="shared" ref="KZ16:LB16" si="139">IFERROR(IF(OR(KZ12="",KZ12=0,KZ12="n/a",KZ13="",KZ13=0,KZ12="n/a",KZ13=KZ12),0,KZ12-KZ13),0)</f>
        <v>-8.1255164366020316E-4</v>
      </c>
      <c r="LA16" s="996">
        <f t="shared" si="139"/>
        <v>-3.2300000000000384E-4</v>
      </c>
      <c r="LB16" s="996">
        <f t="shared" si="139"/>
        <v>-8.1255164366020316E-4</v>
      </c>
      <c r="LC16" s="998" t="s">
        <v>24</v>
      </c>
      <c r="LD16" s="997">
        <f t="shared" ref="LD16:LO16" si="140">IFERROR(IF(OR(LD12="",LD12=0,LD12="n/a",LD13="",LD13=0,LD12="n/a",LD13=LD12),0,LD12-LD13),0)</f>
        <v>0</v>
      </c>
      <c r="LE16" s="997">
        <f t="shared" si="140"/>
        <v>0</v>
      </c>
      <c r="LF16" s="997">
        <f t="shared" si="140"/>
        <v>0</v>
      </c>
      <c r="LG16" s="997">
        <f t="shared" si="140"/>
        <v>0</v>
      </c>
      <c r="LH16" s="997">
        <f t="shared" si="140"/>
        <v>0</v>
      </c>
      <c r="LI16" s="997">
        <f t="shared" si="140"/>
        <v>0</v>
      </c>
      <c r="LJ16" s="997">
        <f t="shared" si="140"/>
        <v>0</v>
      </c>
      <c r="LK16" s="997">
        <f t="shared" si="140"/>
        <v>0</v>
      </c>
      <c r="LL16" s="997">
        <f t="shared" si="140"/>
        <v>0</v>
      </c>
      <c r="LM16" s="997">
        <f t="shared" si="140"/>
        <v>0</v>
      </c>
      <c r="LN16" s="997">
        <f t="shared" si="140"/>
        <v>0</v>
      </c>
      <c r="LO16" s="997">
        <f t="shared" si="140"/>
        <v>0</v>
      </c>
      <c r="LP16" s="998" t="s">
        <v>24</v>
      </c>
      <c r="LQ16" s="996">
        <f t="shared" si="137"/>
        <v>0</v>
      </c>
      <c r="LR16" s="996">
        <f t="shared" si="137"/>
        <v>0</v>
      </c>
      <c r="LS16" s="996">
        <f t="shared" si="137"/>
        <v>0</v>
      </c>
      <c r="LT16" s="996">
        <f t="shared" si="137"/>
        <v>0</v>
      </c>
      <c r="LU16" s="996">
        <f t="shared" si="137"/>
        <v>0</v>
      </c>
      <c r="LV16" s="996">
        <f t="shared" si="137"/>
        <v>0</v>
      </c>
      <c r="LW16" s="996">
        <f t="shared" si="137"/>
        <v>0</v>
      </c>
      <c r="LX16" s="996">
        <f t="shared" si="137"/>
        <v>0</v>
      </c>
      <c r="LY16" s="996">
        <f t="shared" si="137"/>
        <v>0</v>
      </c>
      <c r="LZ16" s="996">
        <f t="shared" si="137"/>
        <v>0</v>
      </c>
      <c r="MA16" s="996">
        <f t="shared" si="137"/>
        <v>0</v>
      </c>
      <c r="MB16" s="998" t="s">
        <v>24</v>
      </c>
      <c r="MC16" s="996">
        <f t="shared" si="137"/>
        <v>0</v>
      </c>
      <c r="MD16" s="996">
        <f t="shared" si="137"/>
        <v>0</v>
      </c>
      <c r="ME16" s="996">
        <f t="shared" si="137"/>
        <v>0</v>
      </c>
      <c r="MF16" s="996">
        <f t="shared" si="137"/>
        <v>0</v>
      </c>
      <c r="MG16" s="996">
        <f t="shared" si="137"/>
        <v>0</v>
      </c>
      <c r="MH16" s="996">
        <f t="shared" si="137"/>
        <v>0</v>
      </c>
      <c r="MI16" s="996">
        <f t="shared" si="137"/>
        <v>0</v>
      </c>
      <c r="MJ16" s="996">
        <f t="shared" si="137"/>
        <v>0</v>
      </c>
      <c r="MK16" s="996">
        <f t="shared" si="137"/>
        <v>0</v>
      </c>
      <c r="ML16" s="996">
        <f t="shared" si="137"/>
        <v>0</v>
      </c>
      <c r="MM16" s="996">
        <f t="shared" si="137"/>
        <v>0</v>
      </c>
      <c r="MN16" s="999"/>
      <c r="MO16" s="996">
        <f t="shared" ref="MO16:OK16" si="141">IFERROR(IF(OR(MO12="",MO12=0,MO12="n/a",MO13="",MO13=0,MO12="n/a",MO13=MO12),0,MO12-MO13),0)</f>
        <v>0</v>
      </c>
      <c r="MP16" s="996">
        <f t="shared" si="141"/>
        <v>0</v>
      </c>
      <c r="MQ16" s="996">
        <f t="shared" si="141"/>
        <v>0</v>
      </c>
      <c r="MR16" s="996">
        <f t="shared" si="141"/>
        <v>0</v>
      </c>
      <c r="MS16" s="996">
        <f t="shared" si="141"/>
        <v>0</v>
      </c>
      <c r="MT16" s="996">
        <f t="shared" si="141"/>
        <v>0</v>
      </c>
      <c r="MU16" s="996">
        <f t="shared" si="141"/>
        <v>0</v>
      </c>
      <c r="MV16" s="996">
        <f t="shared" si="141"/>
        <v>0</v>
      </c>
      <c r="MW16" s="996">
        <f t="shared" si="141"/>
        <v>0</v>
      </c>
      <c r="MX16" s="996">
        <f t="shared" si="141"/>
        <v>0</v>
      </c>
      <c r="MY16" s="996">
        <f t="shared" si="141"/>
        <v>0</v>
      </c>
      <c r="MZ16" s="996">
        <f t="shared" si="141"/>
        <v>0</v>
      </c>
      <c r="NA16" s="999"/>
      <c r="NB16" s="997">
        <f t="shared" ref="NB16:NM16" si="142">IFERROR(IF(OR(NB12="",NB12=0,NB12="n/a",NB13="",NB13=0,NB12="n/a",NB13=NB12),0,NB12-NB13),0)</f>
        <v>0</v>
      </c>
      <c r="NC16" s="997">
        <f t="shared" si="142"/>
        <v>0</v>
      </c>
      <c r="ND16" s="997">
        <f t="shared" si="142"/>
        <v>0</v>
      </c>
      <c r="NE16" s="997">
        <f t="shared" si="142"/>
        <v>0</v>
      </c>
      <c r="NF16" s="997">
        <f t="shared" si="142"/>
        <v>0</v>
      </c>
      <c r="NG16" s="997">
        <f t="shared" si="142"/>
        <v>0</v>
      </c>
      <c r="NH16" s="997">
        <f t="shared" si="142"/>
        <v>0</v>
      </c>
      <c r="NI16" s="997">
        <f t="shared" si="142"/>
        <v>0</v>
      </c>
      <c r="NJ16" s="997">
        <f t="shared" si="142"/>
        <v>0</v>
      </c>
      <c r="NK16" s="997">
        <f t="shared" si="142"/>
        <v>0</v>
      </c>
      <c r="NL16" s="997">
        <f t="shared" si="142"/>
        <v>0</v>
      </c>
      <c r="NM16" s="997">
        <f t="shared" si="142"/>
        <v>0</v>
      </c>
      <c r="NN16" s="999"/>
      <c r="NO16" s="996">
        <f t="shared" si="141"/>
        <v>0</v>
      </c>
      <c r="NP16" s="997">
        <f t="shared" si="141"/>
        <v>-3.7046062272554983E-3</v>
      </c>
      <c r="NQ16" s="996">
        <f t="shared" si="141"/>
        <v>0</v>
      </c>
      <c r="NR16" s="996">
        <f t="shared" si="141"/>
        <v>0</v>
      </c>
      <c r="NS16" s="996">
        <f t="shared" si="141"/>
        <v>0</v>
      </c>
      <c r="NT16" s="996">
        <f t="shared" si="141"/>
        <v>0</v>
      </c>
      <c r="NU16" s="997">
        <f t="shared" si="141"/>
        <v>1.0000000000000286E-4</v>
      </c>
      <c r="NV16" s="997">
        <f t="shared" si="141"/>
        <v>-5.5004131492815411E-4</v>
      </c>
      <c r="NW16" s="997">
        <f t="shared" si="141"/>
        <v>-5.9748915641390232E-4</v>
      </c>
      <c r="NX16" s="999"/>
      <c r="NY16" s="996">
        <f t="shared" si="141"/>
        <v>0</v>
      </c>
      <c r="NZ16" s="996">
        <f t="shared" si="141"/>
        <v>0</v>
      </c>
      <c r="OA16" s="997">
        <f t="shared" si="141"/>
        <v>-2.1233333333333312E-3</v>
      </c>
      <c r="OB16" s="996">
        <f t="shared" si="141"/>
        <v>0</v>
      </c>
      <c r="OC16" s="997">
        <f t="shared" si="141"/>
        <v>0</v>
      </c>
      <c r="OD16" s="997">
        <f t="shared" si="141"/>
        <v>-2.1233333333333312E-3</v>
      </c>
      <c r="OE16" s="997">
        <f t="shared" si="141"/>
        <v>-2.1233333333333312E-3</v>
      </c>
      <c r="OF16" s="997">
        <f t="shared" si="141"/>
        <v>-1.5924999999999967E-3</v>
      </c>
      <c r="OG16" s="999"/>
      <c r="OH16" s="997">
        <f t="shared" ref="OH16:OI16" si="143">IFERROR(IF(OR(OH12="",OH12=0,OH12="n/a",OH13="",OH13=0,OH12="n/a",OH13=OH12),0,OH12-OH13),0)</f>
        <v>-4.2729304826522041E-4</v>
      </c>
      <c r="OI16" s="997">
        <f t="shared" si="143"/>
        <v>-8.9599240948973202E-4</v>
      </c>
      <c r="OJ16" s="999"/>
      <c r="OK16" s="996">
        <f t="shared" si="141"/>
        <v>0</v>
      </c>
      <c r="OL16" s="999"/>
      <c r="OM16" s="996">
        <f t="shared" ref="OM16:QX16" si="144">IFERROR(IF(OR(OM12="",OM12=0,OM12="n/a",OM13="",OM13=0,OM12="n/a",OM13=OM12),0,OM12-OM13),0)</f>
        <v>0</v>
      </c>
      <c r="ON16" s="996">
        <f t="shared" si="144"/>
        <v>0</v>
      </c>
      <c r="OO16" s="996">
        <f t="shared" si="144"/>
        <v>0</v>
      </c>
      <c r="OP16" s="996">
        <f t="shared" si="144"/>
        <v>0</v>
      </c>
      <c r="OQ16" s="996">
        <f t="shared" si="144"/>
        <v>0</v>
      </c>
      <c r="OR16" s="996">
        <f t="shared" si="144"/>
        <v>0</v>
      </c>
      <c r="OS16" s="996">
        <f t="shared" si="144"/>
        <v>0</v>
      </c>
      <c r="OT16" s="996">
        <f t="shared" si="144"/>
        <v>0</v>
      </c>
      <c r="OU16" s="996">
        <f t="shared" si="144"/>
        <v>0</v>
      </c>
      <c r="OV16" s="996">
        <f t="shared" si="144"/>
        <v>0</v>
      </c>
      <c r="OW16" s="996">
        <f t="shared" si="144"/>
        <v>0</v>
      </c>
      <c r="OX16" s="996">
        <f t="shared" si="144"/>
        <v>0</v>
      </c>
      <c r="OY16" s="996">
        <f t="shared" si="144"/>
        <v>0</v>
      </c>
      <c r="OZ16" s="996">
        <f t="shared" si="144"/>
        <v>0</v>
      </c>
      <c r="PA16" s="996">
        <f t="shared" si="144"/>
        <v>0</v>
      </c>
      <c r="PB16" s="996">
        <f t="shared" si="144"/>
        <v>0</v>
      </c>
      <c r="PC16" s="996">
        <f t="shared" si="144"/>
        <v>0</v>
      </c>
      <c r="PD16" s="996">
        <f t="shared" si="144"/>
        <v>0</v>
      </c>
      <c r="PE16" s="996">
        <f t="shared" si="144"/>
        <v>0</v>
      </c>
      <c r="PF16" s="996">
        <f t="shared" si="144"/>
        <v>0</v>
      </c>
      <c r="PG16" s="996">
        <f t="shared" si="144"/>
        <v>0</v>
      </c>
      <c r="PH16" s="996">
        <f t="shared" si="144"/>
        <v>0</v>
      </c>
      <c r="PI16" s="996">
        <f t="shared" si="144"/>
        <v>0</v>
      </c>
      <c r="PJ16" s="996">
        <f t="shared" si="144"/>
        <v>0</v>
      </c>
      <c r="PK16" s="996">
        <f t="shared" si="144"/>
        <v>0</v>
      </c>
      <c r="PL16" s="996">
        <f t="shared" si="144"/>
        <v>0</v>
      </c>
      <c r="PM16" s="996">
        <f t="shared" si="144"/>
        <v>0</v>
      </c>
      <c r="PN16" s="996">
        <f t="shared" si="144"/>
        <v>0</v>
      </c>
      <c r="PO16" s="996">
        <f t="shared" si="144"/>
        <v>0</v>
      </c>
      <c r="PP16" s="996">
        <f t="shared" si="144"/>
        <v>0</v>
      </c>
      <c r="PQ16" s="996">
        <f t="shared" si="144"/>
        <v>0</v>
      </c>
      <c r="PR16" s="996">
        <f t="shared" si="144"/>
        <v>0</v>
      </c>
      <c r="PS16" s="996">
        <f t="shared" si="144"/>
        <v>0</v>
      </c>
      <c r="PT16" s="996">
        <f t="shared" si="144"/>
        <v>0</v>
      </c>
      <c r="PU16" s="996">
        <f t="shared" si="144"/>
        <v>0</v>
      </c>
      <c r="PV16" s="996">
        <f t="shared" si="144"/>
        <v>0</v>
      </c>
      <c r="PW16" s="996">
        <f t="shared" si="144"/>
        <v>0</v>
      </c>
      <c r="PX16" s="996">
        <f t="shared" si="144"/>
        <v>0</v>
      </c>
      <c r="PY16" s="996">
        <f t="shared" si="144"/>
        <v>0</v>
      </c>
      <c r="PZ16" s="996">
        <f t="shared" si="144"/>
        <v>0</v>
      </c>
      <c r="QA16" s="996">
        <f t="shared" si="144"/>
        <v>0</v>
      </c>
      <c r="QB16" s="996">
        <f t="shared" si="144"/>
        <v>0</v>
      </c>
      <c r="QC16" s="996">
        <f t="shared" si="144"/>
        <v>0</v>
      </c>
      <c r="QD16" s="996">
        <f t="shared" si="144"/>
        <v>0</v>
      </c>
      <c r="QE16" s="996">
        <f t="shared" si="144"/>
        <v>0</v>
      </c>
      <c r="QF16" s="996">
        <f t="shared" si="144"/>
        <v>0</v>
      </c>
      <c r="QG16" s="996">
        <f t="shared" si="144"/>
        <v>0</v>
      </c>
      <c r="QH16" s="996">
        <f t="shared" si="144"/>
        <v>0</v>
      </c>
      <c r="QI16" s="996">
        <f t="shared" si="144"/>
        <v>0</v>
      </c>
      <c r="QJ16" s="996">
        <f t="shared" si="144"/>
        <v>0</v>
      </c>
      <c r="QK16" s="996">
        <f t="shared" si="144"/>
        <v>0</v>
      </c>
      <c r="QL16" s="996">
        <f t="shared" si="144"/>
        <v>0</v>
      </c>
      <c r="QM16" s="996">
        <f t="shared" si="144"/>
        <v>0</v>
      </c>
      <c r="QN16" s="996">
        <f t="shared" si="144"/>
        <v>0</v>
      </c>
      <c r="QO16" s="996">
        <f t="shared" si="144"/>
        <v>0</v>
      </c>
      <c r="QP16" s="996">
        <f t="shared" si="144"/>
        <v>0</v>
      </c>
      <c r="QQ16" s="996">
        <f t="shared" si="144"/>
        <v>0</v>
      </c>
      <c r="QR16" s="996">
        <f t="shared" si="144"/>
        <v>0</v>
      </c>
      <c r="QS16" s="996">
        <f t="shared" si="144"/>
        <v>0</v>
      </c>
      <c r="QT16" s="996">
        <f t="shared" si="144"/>
        <v>0</v>
      </c>
      <c r="QU16" s="996">
        <f t="shared" si="144"/>
        <v>0</v>
      </c>
      <c r="QV16" s="996">
        <f t="shared" si="144"/>
        <v>0</v>
      </c>
      <c r="QW16" s="996">
        <f t="shared" si="144"/>
        <v>0</v>
      </c>
      <c r="QX16" s="996">
        <f t="shared" si="144"/>
        <v>0</v>
      </c>
      <c r="QY16" s="996">
        <f t="shared" ref="QY16:ST16" si="145">IFERROR(IF(OR(QY12="",QY12=0,QY12="n/a",QY13="",QY13=0,QY12="n/a",QY13=QY12),0,QY12-QY13),0)</f>
        <v>0</v>
      </c>
      <c r="QZ16" s="996">
        <f t="shared" si="145"/>
        <v>0</v>
      </c>
      <c r="RA16" s="996">
        <f t="shared" si="145"/>
        <v>0</v>
      </c>
      <c r="RB16" s="996">
        <f t="shared" si="145"/>
        <v>0</v>
      </c>
      <c r="RC16" s="996">
        <f t="shared" si="145"/>
        <v>0</v>
      </c>
      <c r="RD16" s="996">
        <f t="shared" si="145"/>
        <v>0</v>
      </c>
      <c r="RE16" s="996">
        <f t="shared" si="145"/>
        <v>0</v>
      </c>
      <c r="RF16" s="996">
        <f t="shared" si="145"/>
        <v>0</v>
      </c>
      <c r="RG16" s="996">
        <f t="shared" si="145"/>
        <v>0</v>
      </c>
      <c r="RH16" s="996">
        <f t="shared" si="145"/>
        <v>0</v>
      </c>
      <c r="RI16" s="996">
        <f t="shared" si="145"/>
        <v>0</v>
      </c>
      <c r="RJ16" s="996">
        <f t="shared" si="145"/>
        <v>0</v>
      </c>
      <c r="RK16" s="996">
        <f t="shared" si="145"/>
        <v>0</v>
      </c>
      <c r="RL16" s="996">
        <f t="shared" si="145"/>
        <v>0</v>
      </c>
      <c r="RM16" s="996">
        <f t="shared" si="145"/>
        <v>0</v>
      </c>
      <c r="RN16" s="996">
        <f t="shared" si="145"/>
        <v>0</v>
      </c>
      <c r="RO16" s="996">
        <f t="shared" si="145"/>
        <v>0</v>
      </c>
      <c r="RP16" s="996">
        <f t="shared" si="145"/>
        <v>0</v>
      </c>
      <c r="RQ16" s="996">
        <f t="shared" si="145"/>
        <v>0</v>
      </c>
      <c r="RR16" s="996">
        <f t="shared" si="145"/>
        <v>0</v>
      </c>
      <c r="RS16" s="996">
        <f t="shared" si="145"/>
        <v>0</v>
      </c>
      <c r="RT16" s="996">
        <f t="shared" si="145"/>
        <v>0</v>
      </c>
      <c r="RU16" s="996">
        <f t="shared" si="145"/>
        <v>0</v>
      </c>
      <c r="RV16" s="996">
        <f t="shared" si="145"/>
        <v>0</v>
      </c>
      <c r="RW16" s="996">
        <f t="shared" si="145"/>
        <v>0</v>
      </c>
      <c r="RX16" s="996">
        <f t="shared" si="145"/>
        <v>0</v>
      </c>
      <c r="RY16" s="996">
        <f t="shared" si="145"/>
        <v>0</v>
      </c>
      <c r="RZ16" s="996">
        <f t="shared" si="145"/>
        <v>0</v>
      </c>
      <c r="SA16" s="996">
        <f t="shared" si="145"/>
        <v>0</v>
      </c>
      <c r="SB16" s="996">
        <f t="shared" si="145"/>
        <v>0</v>
      </c>
      <c r="SC16" s="996">
        <f t="shared" si="145"/>
        <v>0</v>
      </c>
      <c r="SD16" s="996">
        <f t="shared" si="145"/>
        <v>0</v>
      </c>
      <c r="SE16" s="996">
        <f t="shared" si="145"/>
        <v>0</v>
      </c>
      <c r="SF16" s="996">
        <f t="shared" si="145"/>
        <v>0</v>
      </c>
      <c r="SG16" s="996">
        <f t="shared" si="145"/>
        <v>0</v>
      </c>
      <c r="SH16" s="996">
        <f t="shared" si="145"/>
        <v>0</v>
      </c>
      <c r="SI16" s="997">
        <f t="shared" si="145"/>
        <v>0</v>
      </c>
      <c r="SJ16" s="997">
        <f t="shared" si="145"/>
        <v>-1.5674293164003039E-4</v>
      </c>
      <c r="SK16" s="997">
        <f t="shared" si="145"/>
        <v>4.1138181446492839E-4</v>
      </c>
      <c r="SL16" s="997">
        <f t="shared" si="145"/>
        <v>-3.9800578456916647E-4</v>
      </c>
      <c r="SM16" s="997">
        <f t="shared" si="145"/>
        <v>-1.5140615834898924E-3</v>
      </c>
      <c r="SN16" s="997">
        <f t="shared" si="145"/>
        <v>1.5857850012921115E-3</v>
      </c>
      <c r="SO16" s="997">
        <f t="shared" si="145"/>
        <v>1.5857850012921115E-3</v>
      </c>
      <c r="SP16" s="997">
        <f t="shared" si="145"/>
        <v>1.5857850012921115E-3</v>
      </c>
      <c r="SQ16" s="997">
        <f t="shared" si="145"/>
        <v>1.5857850012921115E-3</v>
      </c>
      <c r="SR16" s="997">
        <f t="shared" si="145"/>
        <v>3.7289250064606594E-4</v>
      </c>
      <c r="SS16" s="997">
        <f t="shared" si="145"/>
        <v>-1.1999999999999997E-3</v>
      </c>
      <c r="ST16" s="997">
        <f t="shared" si="145"/>
        <v>1.0000000000000286E-4</v>
      </c>
      <c r="SU16" s="999"/>
      <c r="SV16" s="992">
        <f t="shared" ref="SV16:TG16" si="146">IFERROR(IF(OR(SV12="",SV12=0,SV12="n/a",SV13="",SV13=0,SV12="n/a",SV13=SV12),0,SV13/SV12-1),0)</f>
        <v>0</v>
      </c>
      <c r="SW16" s="992">
        <f t="shared" si="146"/>
        <v>1.2556606877933696E-4</v>
      </c>
      <c r="SX16" s="992">
        <f t="shared" si="146"/>
        <v>-2.3783169181068597E-4</v>
      </c>
      <c r="SY16" s="992">
        <f t="shared" si="146"/>
        <v>1.1916771593734055E-4</v>
      </c>
      <c r="SZ16" s="992">
        <f t="shared" si="146"/>
        <v>1.4892852711010374E-3</v>
      </c>
      <c r="TA16" s="992">
        <f t="shared" si="146"/>
        <v>3.8139482994026253E-5</v>
      </c>
      <c r="TB16" s="992">
        <f t="shared" si="146"/>
        <v>-1.4109036125234953E-3</v>
      </c>
      <c r="TC16" s="992">
        <f t="shared" si="146"/>
        <v>-2.8578470622278029E-3</v>
      </c>
      <c r="TD16" s="992">
        <f t="shared" si="146"/>
        <v>-4.3026939084801485E-3</v>
      </c>
      <c r="TE16" s="992">
        <f t="shared" si="146"/>
        <v>-4.6521992595149886E-3</v>
      </c>
      <c r="TF16" s="992">
        <f t="shared" si="146"/>
        <v>-3.507243967252105E-3</v>
      </c>
      <c r="TG16" s="992">
        <f t="shared" si="146"/>
        <v>-3.602766662423873E-3</v>
      </c>
      <c r="TH16" s="999"/>
      <c r="TI16" s="997">
        <f t="shared" ref="TI16:TT16" si="147">IFERROR(IF(OR(TI12="",TI12=0,TI12="n/a",TI13="",TI13=0,TI12="n/a",TI13=TI12),0,TI12-TI13),0)</f>
        <v>0</v>
      </c>
      <c r="TJ16" s="997">
        <f t="shared" si="147"/>
        <v>-5.6265353019890885E-5</v>
      </c>
      <c r="TK16" s="997">
        <f t="shared" si="147"/>
        <v>-7.0126888816368638E-4</v>
      </c>
      <c r="TL16" s="997">
        <f t="shared" si="147"/>
        <v>-1.8534345723961732E-3</v>
      </c>
      <c r="TM16" s="997">
        <f t="shared" si="147"/>
        <v>-1.7210463886536131E-3</v>
      </c>
      <c r="TN16" s="997">
        <f t="shared" si="147"/>
        <v>-1.5886582049110531E-3</v>
      </c>
      <c r="TO16" s="997">
        <f t="shared" si="147"/>
        <v>-1.4562700211684931E-3</v>
      </c>
      <c r="TP16" s="997">
        <f t="shared" si="147"/>
        <v>-1.3238818374259331E-3</v>
      </c>
      <c r="TQ16" s="997">
        <f t="shared" si="147"/>
        <v>-1.1914936536833731E-3</v>
      </c>
      <c r="TR16" s="997">
        <f t="shared" si="147"/>
        <v>-1.0591054699408131E-3</v>
      </c>
      <c r="TS16" s="997">
        <f t="shared" si="147"/>
        <v>-9.2671728619808658E-4</v>
      </c>
      <c r="TT16" s="997">
        <f t="shared" si="147"/>
        <v>-9.2671728619808658E-4</v>
      </c>
      <c r="TU16" s="999"/>
      <c r="TV16" s="992">
        <f t="shared" ref="TV16:UG16" si="148">IFERROR(IF(OR(TV12="",TV12=0,TV12="n/a",TV13="",TV13=0,TV12="n/a",TV13=TV12),0,TV13/TV12-1),0)</f>
        <v>0</v>
      </c>
      <c r="TW16" s="992">
        <f t="shared" si="148"/>
        <v>0</v>
      </c>
      <c r="TX16" s="992">
        <f t="shared" si="148"/>
        <v>1.1503067484663898E-3</v>
      </c>
      <c r="TY16" s="992">
        <f t="shared" si="148"/>
        <v>2.3019367025483017E-3</v>
      </c>
      <c r="TZ16" s="992">
        <f t="shared" si="148"/>
        <v>3.4548913843379658E-3</v>
      </c>
      <c r="UA16" s="992">
        <f t="shared" si="148"/>
        <v>4.6091723176791E-3</v>
      </c>
      <c r="UB16" s="992">
        <f t="shared" si="148"/>
        <v>5.7647810281673539E-3</v>
      </c>
      <c r="UC16" s="992">
        <f t="shared" si="148"/>
        <v>6.9217190431538622E-3</v>
      </c>
      <c r="UD16" s="992">
        <f t="shared" si="148"/>
        <v>8.0799878917465762E-3</v>
      </c>
      <c r="UE16" s="992">
        <f t="shared" si="148"/>
        <v>9.2395891048122625E-3</v>
      </c>
      <c r="UF16" s="992">
        <f t="shared" si="148"/>
        <v>1.0400524214978946E-2</v>
      </c>
      <c r="UG16" s="992">
        <f t="shared" si="148"/>
        <v>-2.0115627947565744</v>
      </c>
      <c r="UH16" s="999"/>
      <c r="UI16" s="992">
        <f t="shared" ref="UI16:UT16" si="149">IFERROR(IF(OR(UI12="",UI12=0,UI12="n/a",UI13="",UI13=0,UI12="n/a",UI13=UI12),0,UI13/UI12-1),0)</f>
        <v>0</v>
      </c>
      <c r="UJ16" s="992">
        <f t="shared" si="149"/>
        <v>3.0700433281549699E-4</v>
      </c>
      <c r="UK16" s="992">
        <f t="shared" si="149"/>
        <v>2.0547993538384546E-3</v>
      </c>
      <c r="UL16" s="992">
        <f t="shared" si="149"/>
        <v>6.1366950501684503E-3</v>
      </c>
      <c r="UM16" s="992">
        <f t="shared" si="149"/>
        <v>7.021646124258929E-3</v>
      </c>
      <c r="UN16" s="992">
        <f t="shared" si="149"/>
        <v>5.0854205644623729E-3</v>
      </c>
      <c r="UO16" s="992">
        <f t="shared" si="149"/>
        <v>3.1627458188452362E-3</v>
      </c>
      <c r="UP16" s="992">
        <f t="shared" si="149"/>
        <v>1.2532772279501003E-3</v>
      </c>
      <c r="UQ16" s="992">
        <f t="shared" si="149"/>
        <v>-6.433175027151794E-4</v>
      </c>
      <c r="UR16" s="992">
        <f t="shared" si="149"/>
        <v>-1.4316166481906922E-3</v>
      </c>
      <c r="US16" s="992">
        <f t="shared" si="149"/>
        <v>-7.1352292576654097E-4</v>
      </c>
      <c r="UT16" s="992">
        <f t="shared" si="149"/>
        <v>-8.0931342395240691E-4</v>
      </c>
      <c r="UU16" s="999"/>
      <c r="UV16" s="997">
        <f t="shared" ref="UV16:VG16" si="150">IFERROR(IF(OR(UV12="",UV12=0,UV12="n/a",UV13="",UV13=0,UV12="n/a",UV13=UV12),0,UV12-UV13),0)</f>
        <v>0</v>
      </c>
      <c r="UW16" s="997">
        <f t="shared" si="150"/>
        <v>-2.0815479703418793E-3</v>
      </c>
      <c r="UX16" s="997">
        <f t="shared" si="150"/>
        <v>-1.8502648625261242E-3</v>
      </c>
      <c r="UY16" s="997">
        <f t="shared" si="150"/>
        <v>-1.6189817547103691E-3</v>
      </c>
      <c r="UZ16" s="997">
        <f t="shared" si="150"/>
        <v>-1.387698646894614E-3</v>
      </c>
      <c r="VA16" s="997">
        <f t="shared" si="150"/>
        <v>-1.1564155390788866E-3</v>
      </c>
      <c r="VB16" s="997">
        <f t="shared" si="150"/>
        <v>-9.2513243126310374E-4</v>
      </c>
      <c r="VC16" s="997">
        <f t="shared" si="150"/>
        <v>-6.9384932344734862E-4</v>
      </c>
      <c r="VD16" s="997">
        <f t="shared" si="150"/>
        <v>-4.6256621563164901E-4</v>
      </c>
      <c r="VE16" s="997">
        <f t="shared" si="150"/>
        <v>-2.3128310781578287E-4</v>
      </c>
      <c r="VF16" s="997">
        <f t="shared" si="150"/>
        <v>0</v>
      </c>
      <c r="VG16" s="997">
        <f t="shared" si="150"/>
        <v>0</v>
      </c>
      <c r="VH16" s="999"/>
      <c r="VI16" s="992">
        <f t="shared" ref="VI16:VT16" si="151">IFERROR(IF(OR(VI12="",VI12=0,VI12="n/a",VI13="",VI13=0,VI12="n/a",VI13=VI12),0,VI13/VI12-1),0)</f>
        <v>0</v>
      </c>
      <c r="VJ16" s="992">
        <f t="shared" si="151"/>
        <v>-2.1080978579918197E-3</v>
      </c>
      <c r="VK16" s="992">
        <f t="shared" si="151"/>
        <v>-1.2724805252350979E-4</v>
      </c>
      <c r="VL16" s="992">
        <f t="shared" si="151"/>
        <v>4.1910921667296375E-3</v>
      </c>
      <c r="VM16" s="992">
        <f t="shared" si="151"/>
        <v>5.3273009028838025E-3</v>
      </c>
      <c r="VN16" s="992">
        <f t="shared" si="151"/>
        <v>3.6545621908825598E-3</v>
      </c>
      <c r="VO16" s="992">
        <f t="shared" si="151"/>
        <v>2.0024489958982983E-3</v>
      </c>
      <c r="VP16" s="992">
        <f t="shared" si="151"/>
        <v>3.7096480341314297E-4</v>
      </c>
      <c r="VQ16" s="992">
        <f t="shared" si="151"/>
        <v>-1.2398525611077016E-3</v>
      </c>
      <c r="VR16" s="992">
        <f t="shared" si="151"/>
        <v>-1.7345198427020092E-3</v>
      </c>
      <c r="VS16" s="992">
        <f t="shared" si="151"/>
        <v>-7.1352292576665199E-4</v>
      </c>
      <c r="VT16" s="992">
        <f t="shared" si="151"/>
        <v>-8.0931342395240691E-4</v>
      </c>
      <c r="VU16" s="999"/>
      <c r="VV16" s="996">
        <f t="shared" ref="VV16:WG16" si="152">IFERROR(IF(OR(VV12="",VV12=0,VV12="n/a",VV13="",VV13=0,VV12="n/a",VV13=VV12),0,VV12-VV13),0)</f>
        <v>0</v>
      </c>
      <c r="VW16" s="997">
        <f t="shared" si="152"/>
        <v>1.8417903267251567E-3</v>
      </c>
      <c r="VX16" s="997">
        <f t="shared" si="152"/>
        <v>1.8417903267252678E-3</v>
      </c>
      <c r="VY16" s="997">
        <f t="shared" si="152"/>
        <v>4.3083323165924559E-2</v>
      </c>
      <c r="VZ16" s="997">
        <f t="shared" si="152"/>
        <v>2.188157827259718E-2</v>
      </c>
      <c r="WA16" s="997">
        <f t="shared" si="152"/>
        <v>-1.9533091124942503E-2</v>
      </c>
      <c r="WB16" s="997">
        <f t="shared" si="152"/>
        <v>4.3474055080131579E-3</v>
      </c>
      <c r="WC16" s="997">
        <f t="shared" si="152"/>
        <v>4.3286512708874403E-3</v>
      </c>
      <c r="WD16" s="997">
        <f t="shared" si="152"/>
        <v>1.2972416060386405E-3</v>
      </c>
      <c r="WE16" s="997">
        <f t="shared" si="152"/>
        <v>-2.4866615519521656E-3</v>
      </c>
      <c r="WF16" s="997">
        <f t="shared" si="152"/>
        <v>-2.514437498435565E-3</v>
      </c>
      <c r="WG16" s="997">
        <f t="shared" si="152"/>
        <v>-2.3364882153634192E-3</v>
      </c>
      <c r="WH16" s="999"/>
      <c r="WI16" s="992">
        <f t="shared" ref="WI16:WT16" si="153">IFERROR(IF(OR(WI12="",WI12=0,WI12="n/a",WI13="",WI13=0,WI12="n/a",WI13=WI12),0,WI13/WI12-1),0)</f>
        <v>-4.0636412247601061E-3</v>
      </c>
      <c r="WJ16" s="992">
        <f t="shared" si="153"/>
        <v>-2.0843627325605185E-3</v>
      </c>
      <c r="WK16" s="992">
        <f t="shared" si="153"/>
        <v>-5.1382827930687713E-2</v>
      </c>
      <c r="WL16" s="992">
        <f t="shared" si="153"/>
        <v>-3.3498020574916354E-2</v>
      </c>
      <c r="WM16" s="992">
        <f t="shared" si="153"/>
        <v>4.1886772678540796E-2</v>
      </c>
      <c r="WN16" s="992">
        <f t="shared" si="153"/>
        <v>-1.8184212811581668E-2</v>
      </c>
      <c r="WO16" s="992">
        <f t="shared" si="153"/>
        <v>-1.9606851940357495E-2</v>
      </c>
      <c r="WP16" s="992">
        <f t="shared" si="153"/>
        <v>-1.0260041691905752E-2</v>
      </c>
      <c r="WQ16" s="992">
        <f t="shared" si="153"/>
        <v>2.2996350761055329E-2</v>
      </c>
      <c r="WR16" s="992">
        <f t="shared" si="153"/>
        <v>2.4173110366993544E-2</v>
      </c>
      <c r="WS16" s="992">
        <f t="shared" si="153"/>
        <v>-9.5115077287689642E-3</v>
      </c>
      <c r="WT16" s="992">
        <f t="shared" si="153"/>
        <v>6.317057737200038E-3</v>
      </c>
      <c r="WU16" s="999"/>
      <c r="WV16" s="992">
        <f t="shared" ref="WV16:XF16" si="154">IFERROR(IF(OR(WV12="",WV12=0,WV12="n/a",WV13="",WV13=0,WV12="n/a",WV13=WV12),0,WV13/WV12-1),0)</f>
        <v>2.8547370322742571E-2</v>
      </c>
      <c r="WW16" s="992">
        <f t="shared" si="154"/>
        <v>3.0624293494545984E-2</v>
      </c>
      <c r="WX16" s="992">
        <f t="shared" si="154"/>
        <v>0.19745102360156963</v>
      </c>
      <c r="WY16" s="992">
        <f t="shared" si="154"/>
        <v>5.5819945738591059E-2</v>
      </c>
      <c r="WZ16" s="992">
        <f t="shared" si="154"/>
        <v>-3.6407746570855326E-2</v>
      </c>
      <c r="XA16" s="992">
        <f t="shared" si="154"/>
        <v>7.5457929989251049E-3</v>
      </c>
      <c r="XB16" s="992">
        <f t="shared" si="154"/>
        <v>5.8904969468887014E-3</v>
      </c>
      <c r="XC16" s="992">
        <f t="shared" si="154"/>
        <v>2.7317888352151876E-4</v>
      </c>
      <c r="XD16" s="992">
        <f t="shared" si="154"/>
        <v>-4.485842351739322E-3</v>
      </c>
      <c r="XE16" s="992">
        <f t="shared" si="154"/>
        <v>-3.5001785762004411E-3</v>
      </c>
      <c r="XF16" s="992">
        <f t="shared" si="154"/>
        <v>-3.3182293701554677E-3</v>
      </c>
      <c r="XG16" s="999"/>
      <c r="XH16" s="997">
        <f t="shared" ref="XH16:XR16" si="155">IFERROR(IF(OR(XH12="",XH12=0,XH12="n/a",XH13="",XH13=0,XH12="n/a",XH13=XH12),0,XH12-XH13),0)</f>
        <v>3.9581051658688082E-5</v>
      </c>
      <c r="XI16" s="997">
        <f t="shared" si="155"/>
        <v>-6.0681167464479713E-5</v>
      </c>
      <c r="XJ16" s="997">
        <f t="shared" si="155"/>
        <v>-1.6094338658763363E-4</v>
      </c>
      <c r="XK16" s="997">
        <f t="shared" si="155"/>
        <v>-2.6120560571077367E-4</v>
      </c>
      <c r="XL16" s="997">
        <f t="shared" si="155"/>
        <v>-3.6146782483392759E-4</v>
      </c>
      <c r="XM16" s="997">
        <f t="shared" si="155"/>
        <v>-4.6173004395709538E-4</v>
      </c>
      <c r="XN16" s="997">
        <f t="shared" si="155"/>
        <v>-5.6199226308023542E-4</v>
      </c>
      <c r="XO16" s="997">
        <f t="shared" si="155"/>
        <v>-6.6225448220340322E-4</v>
      </c>
      <c r="XP16" s="997">
        <f t="shared" si="155"/>
        <v>-8.736466687749439E-4</v>
      </c>
      <c r="XQ16" s="997">
        <f t="shared" si="155"/>
        <v>-8.9599240948973202E-4</v>
      </c>
      <c r="XR16" s="997">
        <f t="shared" si="155"/>
        <v>-8.9599240948973202E-4</v>
      </c>
      <c r="XS16" s="999"/>
      <c r="XT16" s="992">
        <f t="shared" ref="XT16:YD16" si="156">IFERROR(IF(OR(XT12="",XT12=0,XT12="n/a",XT13="",XT13=0,XT12="n/a",XT13=XT12),0,XT13/XT12-1),0)</f>
        <v>-3.1490989463259123E-2</v>
      </c>
      <c r="XU16" s="992">
        <f t="shared" si="156"/>
        <v>-3.1526080710383875E-2</v>
      </c>
      <c r="XV16" s="992">
        <f t="shared" si="156"/>
        <v>-3.1472217866967078E-2</v>
      </c>
      <c r="XW16" s="992">
        <f t="shared" si="156"/>
        <v>-3.1329172789108517E-2</v>
      </c>
      <c r="XX16" s="992">
        <f t="shared" si="156"/>
        <v>-3.1096691841065005E-2</v>
      </c>
      <c r="XY16" s="992">
        <f t="shared" si="156"/>
        <v>-3.077449567535151E-2</v>
      </c>
      <c r="XZ16" s="992">
        <f t="shared" si="156"/>
        <v>-3.0362278999604531E-2</v>
      </c>
      <c r="YA16" s="992">
        <f t="shared" si="156"/>
        <v>-2.985971032997925E-2</v>
      </c>
      <c r="YB16" s="992">
        <f t="shared" si="156"/>
        <v>-2.9266431730838649E-2</v>
      </c>
      <c r="YC16" s="992">
        <f t="shared" si="156"/>
        <v>-2.8483032139180353E-2</v>
      </c>
      <c r="YD16" s="992">
        <f t="shared" si="156"/>
        <v>-2.7679237516692767E-2</v>
      </c>
      <c r="YE16" s="999"/>
      <c r="YF16" s="992">
        <f t="shared" ref="YF16:YP16" si="157">IFERROR(IF(OR(YF12="",YF12=0,YF12="n/a",YF13="",YF13=0,YF12="n/a",YF13=YF12),0,YF13/YF12-1),0)</f>
        <v>5.8411848489976492E-3</v>
      </c>
      <c r="YG16" s="992">
        <f t="shared" si="157"/>
        <v>2.8584638244193883E-2</v>
      </c>
      <c r="YH16" s="992">
        <f t="shared" si="157"/>
        <v>3.0509664234841471E-2</v>
      </c>
      <c r="YI16" s="992">
        <f t="shared" si="157"/>
        <v>0.19692061375512004</v>
      </c>
      <c r="YJ16" s="992">
        <f t="shared" si="157"/>
        <v>5.4806966671032908E-2</v>
      </c>
      <c r="YK16" s="992">
        <f t="shared" si="157"/>
        <v>-3.8008299706142834E-2</v>
      </c>
      <c r="YL16" s="992">
        <f t="shared" si="157"/>
        <v>4.9785289314510095E-3</v>
      </c>
      <c r="YM16" s="992">
        <f t="shared" si="157"/>
        <v>2.2485406377017458E-3</v>
      </c>
      <c r="YN16" s="992">
        <f t="shared" si="157"/>
        <v>-4.6070298500957563E-3</v>
      </c>
      <c r="YO16" s="992">
        <f t="shared" si="157"/>
        <v>-1.1687334213613121E-2</v>
      </c>
      <c r="YP16" s="992">
        <f t="shared" si="157"/>
        <v>-1.1707429748606835E-2</v>
      </c>
      <c r="YQ16" s="1000"/>
      <c r="YR16" s="992">
        <f t="shared" ref="YR16:YS16" si="158">IFERROR(IF(OR(YR12="",YR12=0,YR12="n/a",YR13="",YR13=0,YR12="n/a",YR13=YR12),0,YR13/YR12-1),0)</f>
        <v>-2.2792086285447488E-2</v>
      </c>
      <c r="YS16" s="992">
        <f t="shared" si="158"/>
        <v>6.7317709883792931E-2</v>
      </c>
      <c r="YT16" s="992">
        <f t="shared" ref="YT16" si="159">IFERROR(IF(OR(YT12="",YT12=0,YT12="n/a",YT13="",YT13=0,YT12="n/a",YT13=YT12),0,YT13/YT12-1),0)</f>
        <v>-2.2076074918104593E-2</v>
      </c>
      <c r="YU16" s="1000"/>
      <c r="YV16" s="992">
        <f t="shared" ref="YV16" si="160">IFERROR(IF(OR(YV12="",YV12=0,YV12="n/a",YV13="",YV13=0,YV12="n/a",YV13=YV12),0,YV13/YV12-1),0)</f>
        <v>-2.2076074918104704E-2</v>
      </c>
      <c r="YW16" s="992">
        <f>IFERROR(IF(OR(YW12="",YW12=0,YW12="n/a",YW13="",YW13=0,YW12="n/a",YW13=YW12),0,YW13/YW12-1),0)</f>
        <v>-4.844544697898534E-2</v>
      </c>
      <c r="YX16" s="992">
        <f>IFERROR(IF(OR(YX12="",YX12=0,YX12="n/a",YX13="",YX13=0,YX12="n/a",YX13=YX12),0,YX13/YX12-1),0)</f>
        <v>-6.9452036580140986E-2</v>
      </c>
      <c r="YY16" s="999"/>
      <c r="YZ16" s="996">
        <f t="shared" ref="YZ16:AAQ16" si="161">IFERROR(IF(OR(YZ12="",YZ12=0,YZ12="n/a",YZ13="",YZ13=0,YZ12="n/a",YZ13=YZ12),0,YZ12-YZ13),0)</f>
        <v>0</v>
      </c>
      <c r="ZA16" s="996">
        <f t="shared" si="161"/>
        <v>0</v>
      </c>
      <c r="ZB16" s="999"/>
      <c r="ZC16" s="999"/>
      <c r="ZD16" s="999"/>
      <c r="ZE16" s="997">
        <f t="shared" ref="ZE16:ZH16" si="162">IFERROR(IF(OR(ZE12="",ZE12=0,ZE12="n/a",ZE13="",ZE13=0,ZE12="n/a",ZE13=ZE12),0,ZE12-ZE13),0)</f>
        <v>0</v>
      </c>
      <c r="ZF16" s="997">
        <f t="shared" si="162"/>
        <v>0</v>
      </c>
      <c r="ZG16" s="997">
        <f t="shared" si="162"/>
        <v>-1.1102230246251565E-16</v>
      </c>
      <c r="ZH16" s="997">
        <f t="shared" si="162"/>
        <v>0</v>
      </c>
      <c r="ZI16" s="996">
        <f t="shared" si="161"/>
        <v>0</v>
      </c>
      <c r="ZJ16" s="999"/>
      <c r="ZK16" s="997">
        <f t="shared" ref="ZK16:AAG16" si="163">IFERROR(IF(OR(ZK12="",ZK12=0,ZK12="n/a",ZK13="",ZK13=0,ZK12="n/a",ZK13=ZK12),0,ZK12-ZK13),0)</f>
        <v>0</v>
      </c>
      <c r="ZL16" s="997">
        <f t="shared" si="163"/>
        <v>0</v>
      </c>
      <c r="ZM16" s="997">
        <f t="shared" si="163"/>
        <v>0</v>
      </c>
      <c r="ZN16" s="997">
        <f t="shared" si="163"/>
        <v>0</v>
      </c>
      <c r="ZO16" s="997">
        <f t="shared" si="163"/>
        <v>0</v>
      </c>
      <c r="ZP16" s="997">
        <f t="shared" si="163"/>
        <v>0</v>
      </c>
      <c r="ZQ16" s="997">
        <f t="shared" si="163"/>
        <v>0</v>
      </c>
      <c r="ZR16" s="997">
        <f t="shared" si="163"/>
        <v>0</v>
      </c>
      <c r="ZS16" s="997">
        <f t="shared" si="163"/>
        <v>0</v>
      </c>
      <c r="ZT16" s="997">
        <f t="shared" si="163"/>
        <v>0</v>
      </c>
      <c r="ZU16" s="997">
        <f t="shared" si="163"/>
        <v>-2.4159374433144198E-3</v>
      </c>
      <c r="ZV16" s="997">
        <f t="shared" si="163"/>
        <v>0</v>
      </c>
      <c r="ZW16" s="997">
        <f t="shared" si="163"/>
        <v>-9.2671728619808658E-4</v>
      </c>
      <c r="ZX16" s="997">
        <f t="shared" si="163"/>
        <v>0</v>
      </c>
      <c r="ZY16" s="997">
        <f t="shared" si="163"/>
        <v>0</v>
      </c>
      <c r="ZZ16" s="997">
        <f t="shared" si="163"/>
        <v>0</v>
      </c>
      <c r="AAA16" s="997">
        <f t="shared" si="163"/>
        <v>0</v>
      </c>
      <c r="AAB16" s="997">
        <f t="shared" si="163"/>
        <v>0</v>
      </c>
      <c r="AAC16" s="997">
        <f t="shared" si="163"/>
        <v>0</v>
      </c>
      <c r="AAD16" s="997">
        <f t="shared" si="163"/>
        <v>0</v>
      </c>
      <c r="AAE16" s="997">
        <f t="shared" si="163"/>
        <v>0</v>
      </c>
      <c r="AAF16" s="997">
        <f t="shared" si="163"/>
        <v>0</v>
      </c>
      <c r="AAG16" s="997">
        <f t="shared" si="163"/>
        <v>0</v>
      </c>
      <c r="AAH16" s="1001"/>
      <c r="AAI16" s="992">
        <f t="shared" ref="AAI16" si="164">IFERROR(IF(OR(AAI12="",AAI12=0,AAI12="n/a",AAI13="",AAI13=0,AAI12="n/a",AAI13=AAI12),0,AAI13/AAI12-1),0)</f>
        <v>0</v>
      </c>
      <c r="AAJ16" s="1002">
        <f t="shared" si="161"/>
        <v>0</v>
      </c>
      <c r="AAK16" s="1003">
        <f t="shared" si="161"/>
        <v>0</v>
      </c>
      <c r="AAL16" s="1002">
        <f t="shared" si="161"/>
        <v>0</v>
      </c>
      <c r="AAM16" s="1002">
        <f t="shared" si="161"/>
        <v>0</v>
      </c>
      <c r="AAN16" s="1002">
        <f t="shared" si="161"/>
        <v>0</v>
      </c>
      <c r="AAO16" s="1002">
        <f t="shared" si="161"/>
        <v>0</v>
      </c>
      <c r="AAP16" s="1002">
        <f t="shared" si="161"/>
        <v>0</v>
      </c>
      <c r="AAQ16" s="1002">
        <f t="shared" si="161"/>
        <v>0</v>
      </c>
      <c r="AAR16" s="1001"/>
      <c r="AAS16" s="1001"/>
      <c r="AAT16" s="992">
        <f t="shared" ref="AAT16" si="165">IFERROR(IF(OR(AAT12="",AAT12=0,AAT12="n/a",AAT13="",AAT13=0,AAT12="n/a",AAT13=AAT12),0,AAT13/AAT12-1),0)</f>
        <v>0</v>
      </c>
      <c r="AAU16" s="992">
        <f t="shared" ref="AAU16:ABD16" si="166">IFERROR(IF(OR(AAU12="",AAU12=0,AAU12="n/a",AAU13="",AAU13=0,AAU12="n/a",AAU13=AAU12),0,AAU13/AAU12-1),0)</f>
        <v>0</v>
      </c>
      <c r="AAV16" s="992">
        <f t="shared" si="166"/>
        <v>0</v>
      </c>
      <c r="AAW16" s="992">
        <f t="shared" si="166"/>
        <v>0</v>
      </c>
      <c r="AAX16" s="992">
        <f t="shared" si="166"/>
        <v>0</v>
      </c>
      <c r="AAY16" s="992">
        <f t="shared" si="166"/>
        <v>0</v>
      </c>
      <c r="AAZ16" s="992">
        <f t="shared" si="166"/>
        <v>0</v>
      </c>
      <c r="ABA16" s="992">
        <f t="shared" si="166"/>
        <v>0</v>
      </c>
      <c r="ABB16" s="992">
        <f t="shared" si="166"/>
        <v>0</v>
      </c>
      <c r="ABC16" s="992">
        <f t="shared" si="166"/>
        <v>0</v>
      </c>
      <c r="ABD16" s="992">
        <f t="shared" si="166"/>
        <v>0</v>
      </c>
      <c r="ABE16" s="1001"/>
      <c r="ABF16" s="992">
        <f t="shared" ref="ABF16:ABH16" si="167">IFERROR(IF(OR(ABF12="",ABF12=0,ABF12="n/a",ABF13="",ABF13=0,ABF12="n/a",ABF13=ABF12),0,ABF13/ABF12-1),0)</f>
        <v>0</v>
      </c>
      <c r="ABG16" s="992">
        <f t="shared" si="167"/>
        <v>0</v>
      </c>
      <c r="ABH16" s="992">
        <f t="shared" si="167"/>
        <v>0</v>
      </c>
      <c r="ABI16" s="1001"/>
      <c r="ABJ16" s="1001"/>
      <c r="ABK16" s="996">
        <f t="shared" ref="ABK16:ACJ16" si="168">IFERROR(IF(OR(ABK12="",ABK12=0,ABK12="n/a",ABK13="",ABK13=0,ABK12="n/a",ABK13=ABK12),0,ABK12-ABK13),0)</f>
        <v>0</v>
      </c>
      <c r="ABL16" s="996">
        <f t="shared" si="168"/>
        <v>0</v>
      </c>
      <c r="ABM16" s="996">
        <f t="shared" si="168"/>
        <v>0</v>
      </c>
      <c r="ABN16" s="996">
        <f t="shared" si="168"/>
        <v>0</v>
      </c>
      <c r="ABO16" s="996">
        <f t="shared" si="168"/>
        <v>0</v>
      </c>
      <c r="ABP16" s="996">
        <f t="shared" si="168"/>
        <v>0</v>
      </c>
      <c r="ABQ16" s="996">
        <f t="shared" si="168"/>
        <v>0</v>
      </c>
      <c r="ABR16" s="996">
        <f t="shared" si="168"/>
        <v>0</v>
      </c>
      <c r="ABS16" s="996">
        <f t="shared" si="168"/>
        <v>0</v>
      </c>
      <c r="ABT16" s="996">
        <f t="shared" si="168"/>
        <v>0</v>
      </c>
      <c r="ABU16" s="1001"/>
      <c r="ABV16" s="996">
        <f t="shared" si="168"/>
        <v>0</v>
      </c>
      <c r="ABW16" s="996">
        <f t="shared" si="168"/>
        <v>0</v>
      </c>
      <c r="ABX16" s="996">
        <f t="shared" si="168"/>
        <v>0</v>
      </c>
      <c r="ABY16" s="996">
        <f t="shared" si="168"/>
        <v>0</v>
      </c>
      <c r="ABZ16" s="996">
        <f t="shared" si="168"/>
        <v>1.2195040760248466E-2</v>
      </c>
      <c r="ACA16" s="1001"/>
      <c r="ACB16" s="992">
        <f t="shared" ref="ACB16" si="169">IFERROR(IF(OR(ACB12="",ACB12=0,ACB12="n/a",ACB13="",ACB13=0,ACB12="n/a",ACB13=ACB12),0,ACB13/ACB12-1),0)</f>
        <v>0</v>
      </c>
      <c r="ACC16" s="996">
        <f t="shared" si="168"/>
        <v>0</v>
      </c>
      <c r="ACD16" s="996">
        <f t="shared" si="168"/>
        <v>0</v>
      </c>
      <c r="ACE16" s="996">
        <f t="shared" si="168"/>
        <v>0</v>
      </c>
      <c r="ACF16" s="996">
        <f t="shared" si="168"/>
        <v>0</v>
      </c>
      <c r="ACG16" s="996">
        <f t="shared" si="168"/>
        <v>0</v>
      </c>
      <c r="ACH16" s="996">
        <f t="shared" si="168"/>
        <v>0</v>
      </c>
      <c r="ACI16" s="996">
        <f t="shared" si="168"/>
        <v>0</v>
      </c>
      <c r="ACJ16" s="996">
        <f t="shared" si="168"/>
        <v>0</v>
      </c>
      <c r="ACK16" s="1001"/>
      <c r="ACL16" s="992">
        <f t="shared" ref="ACL16:ACO16" si="170">IFERROR(IF(OR(ACL12="",ACL12=0,ACL12="n/a",ACL13="",ACL13=0,ACL12="n/a",ACL13=ACL12),0,ACL13/ACL12-1),0)</f>
        <v>-2.9869933853404751E-3</v>
      </c>
      <c r="ACM16" s="992">
        <f t="shared" si="170"/>
        <v>3.2343772944367633E-3</v>
      </c>
      <c r="ACN16" s="992">
        <f t="shared" si="170"/>
        <v>1.4514292771215409E-2</v>
      </c>
      <c r="ACO16" s="992">
        <f t="shared" si="170"/>
        <v>-1.533273842429872E-2</v>
      </c>
      <c r="ACP16" s="992">
        <f t="shared" ref="ACP16:ACV16" si="171">IFERROR(IF(OR(ACP12="",ACP12=0,ACP12="n/a",ACP13="",ACP13=0,ACP12="n/a",ACP13=ACP12),0,ACP13/ACP12-1),0)</f>
        <v>-1.6759509304761999E-2</v>
      </c>
      <c r="ACQ16" s="992">
        <f t="shared" si="171"/>
        <v>-1.8184212811581668E-2</v>
      </c>
      <c r="ACR16" s="992">
        <f t="shared" si="171"/>
        <v>-1.9606851940357495E-2</v>
      </c>
      <c r="ACS16" s="992">
        <f t="shared" si="171"/>
        <v>-1.0260041691905752E-2</v>
      </c>
      <c r="ACT16" s="992">
        <f t="shared" si="171"/>
        <v>2.2996350761055329E-2</v>
      </c>
      <c r="ACU16" s="992">
        <f t="shared" si="171"/>
        <v>2.4173110366993544E-2</v>
      </c>
      <c r="ACV16" s="992">
        <f t="shared" si="171"/>
        <v>-4.2546908375044046E-3</v>
      </c>
      <c r="ACW16" s="992">
        <f t="shared" ref="ACW16" si="172">IFERROR(IF(OR(ACW12="",ACW12=0,ACW12="n/a",ACW13="",ACW13=0,ACW12="n/a",ACW13=ACW12),0,ACW13/ACW12-1),0)</f>
        <v>-7.030080426176033E-3</v>
      </c>
      <c r="ACX16" s="1004"/>
      <c r="ACY16" s="1004"/>
      <c r="ACZ16" s="1004"/>
      <c r="ADA16" s="997">
        <f t="shared" ref="ADA16:ADP16" si="173">IFERROR(IF(OR(ADA12="",ADA12=0,ADA12="n/a",ADA13="",ADA13=0,ADA12="n/a",ADA13=ADA12),0,ADA12-ADA13),0)</f>
        <v>0</v>
      </c>
      <c r="ADB16" s="997">
        <f t="shared" si="173"/>
        <v>0</v>
      </c>
      <c r="ADC16" s="997">
        <f t="shared" si="173"/>
        <v>0</v>
      </c>
      <c r="ADD16" s="997">
        <f t="shared" si="173"/>
        <v>0</v>
      </c>
      <c r="ADE16" s="997">
        <f t="shared" si="173"/>
        <v>0</v>
      </c>
      <c r="ADF16" s="997">
        <f t="shared" si="173"/>
        <v>0</v>
      </c>
      <c r="ADG16" s="997">
        <f t="shared" si="173"/>
        <v>0</v>
      </c>
      <c r="ADH16" s="997">
        <f t="shared" si="173"/>
        <v>0</v>
      </c>
      <c r="ADI16" s="997">
        <f t="shared" si="173"/>
        <v>0</v>
      </c>
      <c r="ADJ16" s="997">
        <f t="shared" si="173"/>
        <v>0</v>
      </c>
      <c r="ADK16" s="997">
        <f t="shared" si="173"/>
        <v>0</v>
      </c>
      <c r="ADL16" s="997">
        <f t="shared" si="173"/>
        <v>0</v>
      </c>
      <c r="ADM16" s="997">
        <f t="shared" si="173"/>
        <v>0</v>
      </c>
      <c r="ADN16" s="997">
        <f t="shared" si="173"/>
        <v>0</v>
      </c>
      <c r="ADO16" s="997">
        <f t="shared" si="173"/>
        <v>0</v>
      </c>
      <c r="ADP16" s="997">
        <f t="shared" si="173"/>
        <v>0</v>
      </c>
      <c r="ADQ16" s="1004"/>
      <c r="ADR16" s="992">
        <f t="shared" ref="ADR16" si="174">IFERROR(IF(OR(ADR12="",ADR12=0,ADR12="n/a",ADR13="",ADR13=0,ADR12="n/a",ADR13=ADR12),0,ADR13/ADR12-1),0)</f>
        <v>0</v>
      </c>
      <c r="ADS16" s="1002">
        <f t="shared" ref="ADS16:AFV16" si="175">IFERROR(IF(OR(ADS12="",ADS12=0,ADS12="n/a",ADS13="",ADS13=0,ADS12="n/a",ADS13=ADS12),0,ADS12-ADS13),0)</f>
        <v>0</v>
      </c>
      <c r="ADT16" s="1002">
        <f t="shared" si="175"/>
        <v>0</v>
      </c>
      <c r="ADU16" s="996">
        <f t="shared" si="175"/>
        <v>0</v>
      </c>
      <c r="ADV16" s="1002">
        <f t="shared" si="175"/>
        <v>0</v>
      </c>
      <c r="ADW16" s="1002">
        <f t="shared" si="175"/>
        <v>0</v>
      </c>
      <c r="ADX16" s="1002">
        <f t="shared" si="175"/>
        <v>0</v>
      </c>
      <c r="ADY16" s="1002">
        <f t="shared" si="175"/>
        <v>0</v>
      </c>
      <c r="ADZ16" s="1002">
        <f t="shared" si="175"/>
        <v>0</v>
      </c>
      <c r="AEA16" s="1004"/>
      <c r="AEB16" s="997">
        <f t="shared" ref="AEB16:AEK16" si="176">IFERROR(IF(OR(AEB12="",AEB12=0,AEB12="n/a",AEB13="",AEB13=0,AEB12="n/a",AEB13=AEB12),0,AEB12-AEB13),0)</f>
        <v>5.7808711439183424E-4</v>
      </c>
      <c r="AEC16" s="997">
        <f t="shared" si="176"/>
        <v>1.4661841021151867E-4</v>
      </c>
      <c r="AED16" s="997">
        <f t="shared" si="176"/>
        <v>-8.17335525271079E-4</v>
      </c>
      <c r="AEE16" s="997">
        <f t="shared" si="176"/>
        <v>-1.4337468861556069E-3</v>
      </c>
      <c r="AEF16" s="997">
        <f t="shared" si="176"/>
        <v>-1.208539194508973E-3</v>
      </c>
      <c r="AEG16" s="997">
        <f t="shared" si="176"/>
        <v>-9.9368091832069405E-4</v>
      </c>
      <c r="AEH16" s="997">
        <f t="shared" si="176"/>
        <v>-7.9119026913809787E-4</v>
      </c>
      <c r="AEI16" s="997">
        <f t="shared" si="176"/>
        <v>-3.4560088981155923E-4</v>
      </c>
      <c r="AEJ16" s="997">
        <f t="shared" si="176"/>
        <v>1.227476106103742E-4</v>
      </c>
      <c r="AEK16" s="997">
        <f t="shared" si="176"/>
        <v>0</v>
      </c>
      <c r="AEL16" s="1004"/>
      <c r="AEM16" s="992">
        <f t="shared" ref="AEM16:AEW16" si="177">IFERROR(IF(OR(AEM12="",AEM12=0,AEM12="n/a",AEM13="",AEM13=0,AEM12="n/a",AEM13=AEM12),0,AEM13/AEM12-1),0)</f>
        <v>2.6517141815673995E-8</v>
      </c>
      <c r="AEN16" s="992">
        <f t="shared" si="177"/>
        <v>3.8786394589762629E-4</v>
      </c>
      <c r="AEO16" s="992">
        <f t="shared" si="177"/>
        <v>1.4141306127359865E-3</v>
      </c>
      <c r="AEP16" s="992">
        <f t="shared" si="177"/>
        <v>6.417989861822182E-4</v>
      </c>
      <c r="AEQ16" s="992">
        <f t="shared" si="177"/>
        <v>-1.9267927818933384E-4</v>
      </c>
      <c r="AER16" s="992">
        <f t="shared" si="177"/>
        <v>-1.0869971362768016E-3</v>
      </c>
      <c r="AES16" s="992">
        <f t="shared" si="177"/>
        <v>-2.0385021130006065E-3</v>
      </c>
      <c r="AET16" s="992">
        <f t="shared" si="177"/>
        <v>-2.2605810502067669E-3</v>
      </c>
      <c r="AEU16" s="992">
        <f t="shared" si="177"/>
        <v>-1.4059872526583916E-3</v>
      </c>
      <c r="AEV16" s="992">
        <f t="shared" si="177"/>
        <v>-5.3174211203688149E-4</v>
      </c>
      <c r="AEW16" s="992">
        <f t="shared" si="177"/>
        <v>-6.3305746915731653E-4</v>
      </c>
      <c r="AEX16" s="1004"/>
      <c r="AEY16" s="992">
        <f t="shared" ref="AEY16" si="178">IFERROR(IF(OR(AEY12="",AEY12=0,AEY12="n/a",AEY13="",AEY13=0,AEY12="n/a",AEY13=AEY12),0,AEY13/AEY12-1),0)</f>
        <v>1.5410503045515833E-2</v>
      </c>
      <c r="AEZ16" s="992">
        <f t="shared" ref="AEZ16:AFI16" si="179">IFERROR(IF(OR(AEZ12="",AEZ12=0,AEZ12="n/a",AEZ13="",AEZ13=0,AEZ12="n/a",AEZ13=AEZ12),0,AEZ13/AEZ12-1),0)</f>
        <v>2.1746674278662947E-2</v>
      </c>
      <c r="AFA16" s="992">
        <f t="shared" si="179"/>
        <v>3.3234733684705864E-2</v>
      </c>
      <c r="AFB16" s="992">
        <f t="shared" si="179"/>
        <v>2.8369467355073841E-3</v>
      </c>
      <c r="AFC16" s="992">
        <f t="shared" si="179"/>
        <v>1.3838482023387222E-3</v>
      </c>
      <c r="AFD16" s="992">
        <f t="shared" si="179"/>
        <v>-6.7144808737817918E-5</v>
      </c>
      <c r="AFE16" s="992">
        <f t="shared" si="179"/>
        <v>-1.5160353485992317E-3</v>
      </c>
      <c r="AFF16" s="992">
        <f t="shared" si="179"/>
        <v>8.0032479839999837E-3</v>
      </c>
      <c r="AFG16" s="992">
        <f t="shared" si="179"/>
        <v>4.1873307818828032E-2</v>
      </c>
      <c r="AFH16" s="992">
        <f t="shared" si="179"/>
        <v>1.2531391710664419E-2</v>
      </c>
      <c r="AFI16" s="992">
        <f t="shared" si="179"/>
        <v>1.1891515366836636E-2</v>
      </c>
      <c r="AFJ16" s="1004"/>
      <c r="AFK16" s="992">
        <f t="shared" ref="AFK16:AFU16" si="180">IFERROR(IF(OR(AFK12="",AFK12=0,AFK12="n/a",AFK13="",AFK13=0,AFK12="n/a",AFK13=AFK12),0,AFK13/AFK12-1),0)</f>
        <v>1.5410503045515833E-2</v>
      </c>
      <c r="AFL16" s="992">
        <f t="shared" si="180"/>
        <v>2.1746674278662947E-2</v>
      </c>
      <c r="AFM16" s="992">
        <f t="shared" si="180"/>
        <v>3.3234733684705864E-2</v>
      </c>
      <c r="AFN16" s="992">
        <f t="shared" si="180"/>
        <v>2.8369467355073841E-3</v>
      </c>
      <c r="AFO16" s="992">
        <f t="shared" si="180"/>
        <v>1.3838482023387222E-3</v>
      </c>
      <c r="AFP16" s="992">
        <f t="shared" si="180"/>
        <v>-6.7144808737817918E-5</v>
      </c>
      <c r="AFQ16" s="992">
        <f t="shared" si="180"/>
        <v>-1.5160353485992317E-3</v>
      </c>
      <c r="AFR16" s="992">
        <f t="shared" si="180"/>
        <v>8.0032479839999837E-3</v>
      </c>
      <c r="AFS16" s="992">
        <f t="shared" si="180"/>
        <v>4.1873307818828032E-2</v>
      </c>
      <c r="AFT16" s="992">
        <f t="shared" si="180"/>
        <v>1.2531391710664419E-2</v>
      </c>
      <c r="AFU16" s="992">
        <f t="shared" si="180"/>
        <v>1.1891515366836414E-2</v>
      </c>
      <c r="AFV16" s="997">
        <f t="shared" si="175"/>
        <v>-1.4410565445663326E-3</v>
      </c>
      <c r="AFW16" s="1004"/>
      <c r="AFX16" s="996">
        <f t="shared" ref="AFX16" si="181">IFERROR(IF(OR(AFX12="",AFX12=0,AFX12="n/a",AFX13="",AFX13=0,AFX12="n/a",AFX13=AFX12),0,AFX12-AFX13),0)</f>
        <v>0</v>
      </c>
      <c r="AFY16" s="1004"/>
      <c r="AFZ16" s="992">
        <f t="shared" ref="AFZ16:AGD16" si="182">IFERROR(IF(OR(AFZ12="",AFZ12=0,AFZ12="n/a",AFZ13="",AFZ13=0,AFZ12="n/a",AFZ13=AFZ12),0,AFZ13/AFZ12-1),0)</f>
        <v>-1.0747603284466667E-4</v>
      </c>
      <c r="AGA16" s="992">
        <f t="shared" si="182"/>
        <v>-1.0747603284466667E-4</v>
      </c>
      <c r="AGB16" s="992">
        <f t="shared" si="182"/>
        <v>-3.3755236559187884E-2</v>
      </c>
      <c r="AGC16" s="992">
        <f t="shared" si="182"/>
        <v>-9.9094328106347218E-3</v>
      </c>
      <c r="AGD16" s="992">
        <f t="shared" si="182"/>
        <v>-3.8425247820768171E-2</v>
      </c>
      <c r="AGE16" s="1004"/>
      <c r="AGF16" s="992">
        <f t="shared" ref="AGF16:AGJ16" si="183">IFERROR(IF(OR(AGF12="",AGF12=0,AGF12="n/a",AGF13="",AGF13=0,AGF12="n/a",AGF13=AGF12),0,AGF13/AGF12-1),0)</f>
        <v>1.1866316108872788E-3</v>
      </c>
      <c r="AGG16" s="992">
        <f t="shared" si="183"/>
        <v>3.1763442558419008E-3</v>
      </c>
      <c r="AGH16" s="992">
        <f t="shared" si="183"/>
        <v>-3.2189883076128467E-2</v>
      </c>
      <c r="AGI16" s="992">
        <f t="shared" si="183"/>
        <v>-2.965583849996456E-2</v>
      </c>
      <c r="AGJ16" s="992">
        <f t="shared" si="183"/>
        <v>-3.4913012905851026E-2</v>
      </c>
      <c r="AGK16" s="1004"/>
      <c r="AGL16" s="1004"/>
      <c r="AGM16" s="997">
        <f t="shared" ref="AGM16:AIB16" si="184">IFERROR(IF(OR(AGM12="",AGM12=0,AGM12="n/a",AGM13="",AGM13=0,AGM12="n/a",AGM13=AGM12),0,AGM12-AGM13),0)</f>
        <v>0</v>
      </c>
      <c r="AGN16" s="997">
        <f t="shared" si="184"/>
        <v>0</v>
      </c>
      <c r="AGO16" s="997">
        <f t="shared" si="184"/>
        <v>0</v>
      </c>
      <c r="AGP16" s="997">
        <f t="shared" si="184"/>
        <v>0</v>
      </c>
      <c r="AGQ16" s="997">
        <f t="shared" si="184"/>
        <v>0</v>
      </c>
      <c r="AGR16" s="997">
        <f t="shared" si="184"/>
        <v>-3.3069168065963522E-3</v>
      </c>
      <c r="AGS16" s="997">
        <f t="shared" si="184"/>
        <v>-1.2428938234796252E-2</v>
      </c>
      <c r="AGT16" s="997">
        <f t="shared" si="184"/>
        <v>-1.104794509759667E-2</v>
      </c>
      <c r="AGU16" s="997">
        <f t="shared" si="184"/>
        <v>-9.6669519603971021E-3</v>
      </c>
      <c r="AGV16" s="997">
        <f t="shared" si="184"/>
        <v>-8.2859588231975201E-3</v>
      </c>
      <c r="AGW16" s="997">
        <f t="shared" si="184"/>
        <v>-6.904965685997938E-3</v>
      </c>
      <c r="AGX16" s="997">
        <f t="shared" si="184"/>
        <v>-5.523972548798356E-3</v>
      </c>
      <c r="AGY16" s="997">
        <f t="shared" si="184"/>
        <v>-4.1429794115987739E-3</v>
      </c>
      <c r="AGZ16" s="997">
        <f t="shared" si="184"/>
        <v>-2.7619862743991641E-3</v>
      </c>
      <c r="AHA16" s="997">
        <f t="shared" si="184"/>
        <v>-1.3809931371995821E-3</v>
      </c>
      <c r="AHB16" s="997">
        <f t="shared" si="184"/>
        <v>0</v>
      </c>
      <c r="AHC16" s="997">
        <f t="shared" si="184"/>
        <v>0</v>
      </c>
      <c r="AHD16" s="1004"/>
      <c r="AHE16" s="996">
        <f t="shared" si="184"/>
        <v>0</v>
      </c>
      <c r="AHF16" s="996">
        <f t="shared" si="184"/>
        <v>0</v>
      </c>
      <c r="AHG16" s="996">
        <f t="shared" si="184"/>
        <v>0</v>
      </c>
      <c r="AHH16" s="996">
        <f t="shared" si="184"/>
        <v>0</v>
      </c>
      <c r="AHI16" s="996">
        <f t="shared" si="184"/>
        <v>0</v>
      </c>
      <c r="AHJ16" s="996">
        <f t="shared" si="184"/>
        <v>0</v>
      </c>
      <c r="AHK16" s="996">
        <f t="shared" si="184"/>
        <v>0</v>
      </c>
      <c r="AHL16" s="996">
        <f t="shared" si="184"/>
        <v>0</v>
      </c>
      <c r="AHM16" s="996">
        <f t="shared" si="184"/>
        <v>0</v>
      </c>
      <c r="AHN16" s="996">
        <f t="shared" si="184"/>
        <v>-2.0629329036618849E-3</v>
      </c>
      <c r="AHO16" s="996">
        <f t="shared" si="184"/>
        <v>0</v>
      </c>
      <c r="AHP16" s="996">
        <f t="shared" si="184"/>
        <v>0</v>
      </c>
      <c r="AHQ16" s="1004"/>
      <c r="AHR16" s="997">
        <f t="shared" si="184"/>
        <v>-5.5004131492815411E-4</v>
      </c>
      <c r="AHS16" s="997">
        <f t="shared" si="184"/>
        <v>-5.5004131492815411E-4</v>
      </c>
      <c r="AHT16" s="997">
        <f t="shared" si="184"/>
        <v>-5.5004131492815411E-4</v>
      </c>
      <c r="AHU16" s="997">
        <f t="shared" si="184"/>
        <v>-5.5004131492815411E-4</v>
      </c>
      <c r="AHV16" s="997">
        <f t="shared" si="184"/>
        <v>-5.5004131492815411E-4</v>
      </c>
      <c r="AHW16" s="997">
        <f t="shared" si="184"/>
        <v>-5.5004131492815411E-4</v>
      </c>
      <c r="AHX16" s="997">
        <f t="shared" si="184"/>
        <v>-5.5004131492815411E-4</v>
      </c>
      <c r="AHY16" s="997">
        <f t="shared" si="184"/>
        <v>-5.5004131492815411E-4</v>
      </c>
      <c r="AHZ16" s="997">
        <f t="shared" si="184"/>
        <v>-7.062923037673835E-4</v>
      </c>
      <c r="AIA16" s="997">
        <f t="shared" si="184"/>
        <v>-5.9748915641390232E-4</v>
      </c>
      <c r="AIB16" s="997">
        <f t="shared" si="184"/>
        <v>-5.9748915641390232E-4</v>
      </c>
    </row>
    <row r="17" spans="1:912" s="1005" customFormat="1" ht="15" customHeight="1" x14ac:dyDescent="0.45">
      <c r="A17" s="993" t="s">
        <v>231</v>
      </c>
      <c r="B17" s="994">
        <f>IFERROR(IF(B14=B13,0,"Delta"),"Nicht in Watchlist enthalten!")</f>
        <v>0</v>
      </c>
      <c r="C17" s="994">
        <f>IFERROR(IF(OR(C13="",C13=0,C13="n/a",C14="",C14=0,C13="n/a",C14=C13),0,"Delta"),0)</f>
        <v>0</v>
      </c>
      <c r="D17" s="994">
        <f t="shared" si="119"/>
        <v>0</v>
      </c>
      <c r="E17" s="994">
        <f t="shared" si="119"/>
        <v>0</v>
      </c>
      <c r="F17" s="994">
        <f t="shared" si="119"/>
        <v>0</v>
      </c>
      <c r="G17" s="994"/>
      <c r="H17" s="994">
        <f t="shared" si="119"/>
        <v>0</v>
      </c>
      <c r="I17" s="994">
        <f t="shared" si="119"/>
        <v>0</v>
      </c>
      <c r="J17" s="994">
        <f t="shared" si="119"/>
        <v>0</v>
      </c>
      <c r="K17" s="994">
        <f t="shared" si="119"/>
        <v>0</v>
      </c>
      <c r="L17" s="994">
        <f t="shared" si="119"/>
        <v>0</v>
      </c>
      <c r="M17" s="994">
        <f t="shared" si="119"/>
        <v>0</v>
      </c>
      <c r="N17" s="994">
        <f t="shared" si="119"/>
        <v>0</v>
      </c>
      <c r="O17" s="994">
        <f t="shared" si="119"/>
        <v>0</v>
      </c>
      <c r="P17" s="994">
        <f t="shared" si="119"/>
        <v>0</v>
      </c>
      <c r="Q17" s="995"/>
      <c r="R17" s="992">
        <f t="shared" ref="R17:W17" si="185">IFERROR(IF(OR(R13="",R13=0,R13="n/a",R14="",R14=0,R13="n/a",R14=R13),0,R13/R14-1),0)</f>
        <v>0.19809023814958526</v>
      </c>
      <c r="S17" s="992">
        <f t="shared" si="185"/>
        <v>0</v>
      </c>
      <c r="T17" s="992">
        <f t="shared" si="185"/>
        <v>0</v>
      </c>
      <c r="U17" s="992">
        <f t="shared" si="185"/>
        <v>0</v>
      </c>
      <c r="V17" s="992">
        <f t="shared" si="185"/>
        <v>-5.8275058275059077E-4</v>
      </c>
      <c r="W17" s="992">
        <f t="shared" si="185"/>
        <v>-0.11276223776223782</v>
      </c>
      <c r="X17" s="995"/>
      <c r="Y17" s="996">
        <f t="shared" ref="Y17:CD17" si="186">IFERROR(IF(OR(Y13="",Y13=0,Y13="n/a",Y14="",Y14=0,Y13="n/a",Y14=Y13),0,Y14-Y13),0)</f>
        <v>0</v>
      </c>
      <c r="Z17" s="996">
        <f t="shared" si="186"/>
        <v>0</v>
      </c>
      <c r="AA17" s="996">
        <f t="shared" si="186"/>
        <v>0</v>
      </c>
      <c r="AB17" s="995"/>
      <c r="AC17" s="996">
        <f t="shared" si="186"/>
        <v>0</v>
      </c>
      <c r="AD17" s="996">
        <f t="shared" si="186"/>
        <v>4.6000000000212538E-6</v>
      </c>
      <c r="AE17" s="992">
        <f t="shared" ref="AE17" si="187">IFERROR(IF(OR(AE13="",AE13=0,AE13="n/a",AE14="",AE14=0,AE13="n/a",AE14=AE13),0,AE13/AE14-1),0)</f>
        <v>0.19809023815699112</v>
      </c>
      <c r="AF17" s="996">
        <f t="shared" si="186"/>
        <v>0</v>
      </c>
      <c r="AG17" s="995"/>
      <c r="AH17" s="992">
        <f t="shared" ref="AH17:AN17" si="188">IFERROR(IF(OR(AH13="",AH13=0,AH13="n/a",AH14="",AH14=0,AH13="n/a",AH14=AH13),0,AH13/AH14-1),0)</f>
        <v>0</v>
      </c>
      <c r="AI17" s="992">
        <f t="shared" si="188"/>
        <v>0</v>
      </c>
      <c r="AJ17" s="992">
        <f t="shared" si="188"/>
        <v>0</v>
      </c>
      <c r="AK17" s="992">
        <f t="shared" si="188"/>
        <v>0</v>
      </c>
      <c r="AL17" s="992">
        <f t="shared" si="188"/>
        <v>0</v>
      </c>
      <c r="AM17" s="992">
        <f t="shared" si="188"/>
        <v>0</v>
      </c>
      <c r="AN17" s="992">
        <f t="shared" si="188"/>
        <v>0</v>
      </c>
      <c r="AO17" s="995"/>
      <c r="AP17" s="996">
        <f t="shared" si="186"/>
        <v>0</v>
      </c>
      <c r="AQ17" s="996">
        <f t="shared" si="186"/>
        <v>0</v>
      </c>
      <c r="AR17" s="995"/>
      <c r="AS17" s="996">
        <f t="shared" si="186"/>
        <v>-3.1519999999999992E-2</v>
      </c>
      <c r="AT17" s="996">
        <f t="shared" si="186"/>
        <v>0</v>
      </c>
      <c r="AU17" s="995"/>
      <c r="AV17" s="992">
        <f t="shared" ref="AV17:BM17" si="189">IFERROR(IF(OR(AV13="",AV13=0,AV13="n/a",AV14="",AV14=0,AV13="n/a",AV14=AV13),0,AV13/AV14-1),0)</f>
        <v>0</v>
      </c>
      <c r="AW17" s="992">
        <f t="shared" si="189"/>
        <v>0</v>
      </c>
      <c r="AX17" s="992">
        <f t="shared" si="189"/>
        <v>0</v>
      </c>
      <c r="AY17" s="992">
        <f t="shared" si="189"/>
        <v>0</v>
      </c>
      <c r="AZ17" s="992">
        <f t="shared" si="189"/>
        <v>0</v>
      </c>
      <c r="BA17" s="992">
        <f t="shared" si="189"/>
        <v>0</v>
      </c>
      <c r="BB17" s="992">
        <f t="shared" si="189"/>
        <v>0</v>
      </c>
      <c r="BC17" s="992">
        <f t="shared" si="189"/>
        <v>0</v>
      </c>
      <c r="BD17" s="992">
        <f t="shared" si="189"/>
        <v>0</v>
      </c>
      <c r="BE17" s="992">
        <f t="shared" si="189"/>
        <v>0</v>
      </c>
      <c r="BF17" s="992">
        <f t="shared" si="189"/>
        <v>0</v>
      </c>
      <c r="BG17" s="992">
        <f t="shared" si="189"/>
        <v>0</v>
      </c>
      <c r="BH17" s="992">
        <f t="shared" si="189"/>
        <v>0</v>
      </c>
      <c r="BI17" s="992">
        <f t="shared" si="189"/>
        <v>0</v>
      </c>
      <c r="BJ17" s="992">
        <f t="shared" si="189"/>
        <v>0</v>
      </c>
      <c r="BK17" s="992">
        <f t="shared" si="189"/>
        <v>0</v>
      </c>
      <c r="BL17" s="992">
        <f t="shared" si="189"/>
        <v>0</v>
      </c>
      <c r="BM17" s="992">
        <f t="shared" si="189"/>
        <v>0</v>
      </c>
      <c r="BN17" s="995"/>
      <c r="BO17" s="997">
        <f t="shared" si="186"/>
        <v>0</v>
      </c>
      <c r="BP17" s="997">
        <f t="shared" si="186"/>
        <v>0</v>
      </c>
      <c r="BQ17" s="997">
        <f t="shared" si="186"/>
        <v>0</v>
      </c>
      <c r="BR17" s="997">
        <f t="shared" si="186"/>
        <v>0</v>
      </c>
      <c r="BS17" s="995"/>
      <c r="BT17" s="997">
        <f t="shared" si="186"/>
        <v>0</v>
      </c>
      <c r="BU17" s="996">
        <f t="shared" si="186"/>
        <v>0</v>
      </c>
      <c r="BV17" s="996">
        <f t="shared" si="186"/>
        <v>0</v>
      </c>
      <c r="BW17" s="996">
        <f t="shared" si="186"/>
        <v>0</v>
      </c>
      <c r="BX17" s="996">
        <f t="shared" si="186"/>
        <v>0</v>
      </c>
      <c r="BY17" s="996">
        <f t="shared" si="186"/>
        <v>0</v>
      </c>
      <c r="BZ17" s="996">
        <f t="shared" si="186"/>
        <v>0</v>
      </c>
      <c r="CA17" s="996">
        <f t="shared" si="186"/>
        <v>0</v>
      </c>
      <c r="CB17" s="996">
        <f t="shared" si="186"/>
        <v>0</v>
      </c>
      <c r="CC17" s="996">
        <f t="shared" si="186"/>
        <v>0</v>
      </c>
      <c r="CD17" s="996">
        <f t="shared" si="186"/>
        <v>0</v>
      </c>
      <c r="CE17" s="996">
        <f t="shared" ref="CE17:EK17" si="190">IFERROR(IF(OR(CE13="",CE13=0,CE13="n/a",CE14="",CE14=0,CE13="n/a",CE14=CE13),0,CE14-CE13),0)</f>
        <v>0</v>
      </c>
      <c r="CF17" s="995"/>
      <c r="CG17" s="996">
        <f t="shared" si="190"/>
        <v>-5859</v>
      </c>
      <c r="CH17" s="996">
        <f t="shared" si="190"/>
        <v>0</v>
      </c>
      <c r="CI17" s="996">
        <f t="shared" si="190"/>
        <v>23.5</v>
      </c>
      <c r="CJ17" s="995"/>
      <c r="CK17" s="996">
        <f t="shared" si="190"/>
        <v>0</v>
      </c>
      <c r="CL17" s="996">
        <f t="shared" si="190"/>
        <v>0</v>
      </c>
      <c r="CM17" s="996">
        <f t="shared" si="190"/>
        <v>0</v>
      </c>
      <c r="CN17" s="996">
        <f t="shared" si="190"/>
        <v>0</v>
      </c>
      <c r="CO17" s="996">
        <f t="shared" si="190"/>
        <v>0</v>
      </c>
      <c r="CP17" s="996">
        <f t="shared" si="190"/>
        <v>0</v>
      </c>
      <c r="CQ17" s="996">
        <f t="shared" si="190"/>
        <v>0</v>
      </c>
      <c r="CR17" s="996">
        <f t="shared" si="190"/>
        <v>0</v>
      </c>
      <c r="CS17" s="996">
        <f t="shared" si="190"/>
        <v>0</v>
      </c>
      <c r="CT17" s="996">
        <f t="shared" si="190"/>
        <v>0</v>
      </c>
      <c r="CU17" s="998" t="s">
        <v>24</v>
      </c>
      <c r="CV17" s="992">
        <f t="shared" ref="CV17:DF17" si="191">IFERROR(IF(OR(CV13="",CV13=0,CV13="n/a",CV14="",CV14=0,CV13="n/a",CV14=CV13),0,CV13/CV14-1),0)</f>
        <v>0</v>
      </c>
      <c r="CW17" s="992">
        <f t="shared" si="191"/>
        <v>0</v>
      </c>
      <c r="CX17" s="992">
        <f t="shared" si="191"/>
        <v>0</v>
      </c>
      <c r="CY17" s="992">
        <f t="shared" si="191"/>
        <v>0</v>
      </c>
      <c r="CZ17" s="992">
        <f t="shared" si="191"/>
        <v>0</v>
      </c>
      <c r="DA17" s="992">
        <f t="shared" si="191"/>
        <v>0</v>
      </c>
      <c r="DB17" s="992">
        <f t="shared" si="191"/>
        <v>0</v>
      </c>
      <c r="DC17" s="992">
        <f t="shared" si="191"/>
        <v>0</v>
      </c>
      <c r="DD17" s="992">
        <f t="shared" si="191"/>
        <v>0</v>
      </c>
      <c r="DE17" s="992">
        <f t="shared" si="191"/>
        <v>0</v>
      </c>
      <c r="DF17" s="992">
        <f t="shared" si="191"/>
        <v>0</v>
      </c>
      <c r="DG17" s="998" t="s">
        <v>24</v>
      </c>
      <c r="DH17" s="996">
        <f t="shared" si="190"/>
        <v>0</v>
      </c>
      <c r="DI17" s="996">
        <f t="shared" si="190"/>
        <v>0</v>
      </c>
      <c r="DJ17" s="996">
        <f t="shared" si="190"/>
        <v>0</v>
      </c>
      <c r="DK17" s="996">
        <f t="shared" si="190"/>
        <v>0</v>
      </c>
      <c r="DL17" s="996">
        <f t="shared" si="190"/>
        <v>0</v>
      </c>
      <c r="DM17" s="996">
        <f t="shared" si="190"/>
        <v>0</v>
      </c>
      <c r="DN17" s="996">
        <f t="shared" si="190"/>
        <v>0</v>
      </c>
      <c r="DO17" s="996">
        <f t="shared" si="190"/>
        <v>0</v>
      </c>
      <c r="DP17" s="996">
        <f t="shared" si="190"/>
        <v>0</v>
      </c>
      <c r="DQ17" s="996">
        <f t="shared" si="190"/>
        <v>0</v>
      </c>
      <c r="DR17" s="998" t="s">
        <v>24</v>
      </c>
      <c r="DS17" s="992">
        <f t="shared" ref="DS17:EC17" si="192">IFERROR(IF(OR(DS13="",DS13=0,DS13="n/a",DS14="",DS14=0,DS13="n/a",DS14=DS13),0,DS13/DS14-1),0)</f>
        <v>0</v>
      </c>
      <c r="DT17" s="992">
        <f t="shared" si="192"/>
        <v>0</v>
      </c>
      <c r="DU17" s="992">
        <f t="shared" si="192"/>
        <v>0</v>
      </c>
      <c r="DV17" s="992">
        <f t="shared" si="192"/>
        <v>0</v>
      </c>
      <c r="DW17" s="992">
        <f t="shared" si="192"/>
        <v>0</v>
      </c>
      <c r="DX17" s="992">
        <f t="shared" si="192"/>
        <v>0</v>
      </c>
      <c r="DY17" s="992">
        <f t="shared" si="192"/>
        <v>0</v>
      </c>
      <c r="DZ17" s="992">
        <f t="shared" si="192"/>
        <v>0</v>
      </c>
      <c r="EA17" s="992">
        <f t="shared" si="192"/>
        <v>0</v>
      </c>
      <c r="EB17" s="992">
        <f t="shared" si="192"/>
        <v>0</v>
      </c>
      <c r="EC17" s="992">
        <f t="shared" si="192"/>
        <v>0</v>
      </c>
      <c r="ED17" s="998" t="s">
        <v>24</v>
      </c>
      <c r="EE17" s="996">
        <f t="shared" si="190"/>
        <v>0</v>
      </c>
      <c r="EF17" s="996">
        <f t="shared" si="190"/>
        <v>0</v>
      </c>
      <c r="EG17" s="996">
        <f t="shared" si="190"/>
        <v>0</v>
      </c>
      <c r="EH17" s="996">
        <f t="shared" si="190"/>
        <v>0</v>
      </c>
      <c r="EI17" s="996">
        <f t="shared" si="190"/>
        <v>0</v>
      </c>
      <c r="EJ17" s="996">
        <f t="shared" si="190"/>
        <v>0</v>
      </c>
      <c r="EK17" s="996">
        <f t="shared" si="190"/>
        <v>0</v>
      </c>
      <c r="EL17" s="998" t="s">
        <v>24</v>
      </c>
      <c r="EM17" s="992">
        <f t="shared" ref="EM17:ER17" si="193">IFERROR(IF(OR(EM13="",EM13=0,EM13="n/a",EM14="",EM14=0,EM13="n/a",EM14=EM13),0,EM13/EM14-1),0)</f>
        <v>-9.366451244929852E-5</v>
      </c>
      <c r="EN17" s="992">
        <f t="shared" si="193"/>
        <v>0</v>
      </c>
      <c r="EO17" s="992">
        <f t="shared" si="193"/>
        <v>-1.0357171152612921E-3</v>
      </c>
      <c r="EP17" s="992">
        <f t="shared" si="193"/>
        <v>-1.9961826288362738E-3</v>
      </c>
      <c r="EQ17" s="992">
        <f t="shared" si="193"/>
        <v>0</v>
      </c>
      <c r="ER17" s="992">
        <f t="shared" si="193"/>
        <v>-6.5935837656471152E-3</v>
      </c>
      <c r="ES17" s="998" t="s">
        <v>24</v>
      </c>
      <c r="ET17" s="996">
        <f t="shared" ref="ET17:HB17" si="194">IFERROR(IF(OR(ET13="",ET13=0,ET13="n/a",ET14="",ET14=0,ET13="n/a",ET14=ET13),0,ET14-ET13),0)</f>
        <v>0</v>
      </c>
      <c r="EU17" s="992">
        <f t="shared" ref="EU17:FE17" si="195">IFERROR(IF(OR(EU13="",EU13=0,EU13="n/a",EU14="",EU14=0,EU13="n/a",EU14=EU13),0,EU13/EU14-1),0)</f>
        <v>0</v>
      </c>
      <c r="EV17" s="992">
        <f t="shared" si="195"/>
        <v>0</v>
      </c>
      <c r="EW17" s="992">
        <f t="shared" si="195"/>
        <v>0</v>
      </c>
      <c r="EX17" s="992">
        <f t="shared" si="195"/>
        <v>0</v>
      </c>
      <c r="EY17" s="992">
        <f t="shared" si="195"/>
        <v>0</v>
      </c>
      <c r="EZ17" s="992">
        <f t="shared" si="195"/>
        <v>0</v>
      </c>
      <c r="FA17" s="992">
        <f t="shared" si="195"/>
        <v>0</v>
      </c>
      <c r="FB17" s="992">
        <f t="shared" si="195"/>
        <v>0</v>
      </c>
      <c r="FC17" s="992">
        <f t="shared" si="195"/>
        <v>0</v>
      </c>
      <c r="FD17" s="992">
        <f t="shared" si="195"/>
        <v>0</v>
      </c>
      <c r="FE17" s="992">
        <f t="shared" si="195"/>
        <v>0</v>
      </c>
      <c r="FF17" s="998" t="s">
        <v>24</v>
      </c>
      <c r="FG17" s="992">
        <f t="shared" ref="FG17:FI17" si="196">IFERROR(IF(OR(FG13="",FG13=0,FG13="n/a",FG14="",FG14=0,FG13="n/a",FG14=FG13),0,FG13/FG14-1),0)</f>
        <v>5.9469587777457589E-2</v>
      </c>
      <c r="FH17" s="992">
        <f t="shared" si="196"/>
        <v>0</v>
      </c>
      <c r="FI17" s="992">
        <f t="shared" si="196"/>
        <v>-1.0040102374223592E-3</v>
      </c>
      <c r="FJ17" s="998" t="s">
        <v>24</v>
      </c>
      <c r="FK17" s="992">
        <f t="shared" ref="FK17:FO17" si="197">IFERROR(IF(OR(FK13="",FK13=0,FK13="n/a",FK14="",FK14=0,FK13="n/a",FK14=FK13),0,FK13/FK14-1),0)</f>
        <v>-1.0040102374223592E-3</v>
      </c>
      <c r="FL17" s="992">
        <f t="shared" si="197"/>
        <v>-3.0808568439034678E-3</v>
      </c>
      <c r="FM17" s="992">
        <f t="shared" si="197"/>
        <v>0</v>
      </c>
      <c r="FN17" s="992">
        <f t="shared" si="197"/>
        <v>-4.4679033102725918E-2</v>
      </c>
      <c r="FO17" s="992">
        <f t="shared" si="197"/>
        <v>-9.2411039564954667E-4</v>
      </c>
      <c r="FP17" s="998" t="s">
        <v>24</v>
      </c>
      <c r="FQ17" s="996">
        <f t="shared" si="194"/>
        <v>0</v>
      </c>
      <c r="FR17" s="996">
        <f t="shared" si="194"/>
        <v>0</v>
      </c>
      <c r="FS17" s="996">
        <f t="shared" si="194"/>
        <v>0</v>
      </c>
      <c r="FT17" s="996">
        <f t="shared" si="194"/>
        <v>0</v>
      </c>
      <c r="FU17" s="996">
        <f t="shared" si="194"/>
        <v>0</v>
      </c>
      <c r="FV17" s="996">
        <f t="shared" si="194"/>
        <v>0</v>
      </c>
      <c r="FW17" s="996">
        <f t="shared" si="194"/>
        <v>0</v>
      </c>
      <c r="FX17" s="996">
        <f t="shared" si="194"/>
        <v>0</v>
      </c>
      <c r="FY17" s="996">
        <f t="shared" si="194"/>
        <v>0</v>
      </c>
      <c r="FZ17" s="996">
        <f t="shared" si="194"/>
        <v>0</v>
      </c>
      <c r="GA17" s="996">
        <f t="shared" si="194"/>
        <v>0</v>
      </c>
      <c r="GB17" s="996">
        <f t="shared" si="194"/>
        <v>0</v>
      </c>
      <c r="GC17" s="998" t="s">
        <v>24</v>
      </c>
      <c r="GD17" s="996">
        <f t="shared" si="194"/>
        <v>76</v>
      </c>
      <c r="GE17" s="996">
        <f t="shared" si="194"/>
        <v>0</v>
      </c>
      <c r="GF17" s="992">
        <f t="shared" ref="GF17" si="198">IFERROR(IF(OR(GF13="",GF13=0,GF13="n/a",GF14="",GF14=0,GF13="n/a",GF14=GF13),0,GF13/GF14-1),0)</f>
        <v>-2.1136492968051313E-3</v>
      </c>
      <c r="GG17" s="998" t="s">
        <v>24</v>
      </c>
      <c r="GH17" s="998" t="s">
        <v>24</v>
      </c>
      <c r="GI17" s="998" t="s">
        <v>24</v>
      </c>
      <c r="GJ17" s="996">
        <f t="shared" si="194"/>
        <v>0</v>
      </c>
      <c r="GK17" s="996">
        <f t="shared" si="194"/>
        <v>0</v>
      </c>
      <c r="GL17" s="996">
        <f t="shared" si="194"/>
        <v>0</v>
      </c>
      <c r="GM17" s="996">
        <f t="shared" si="194"/>
        <v>0</v>
      </c>
      <c r="GN17" s="996">
        <f t="shared" si="194"/>
        <v>0</v>
      </c>
      <c r="GO17" s="996">
        <f t="shared" si="194"/>
        <v>0</v>
      </c>
      <c r="GP17" s="996">
        <f t="shared" si="194"/>
        <v>0</v>
      </c>
      <c r="GQ17" s="996">
        <f t="shared" si="194"/>
        <v>0</v>
      </c>
      <c r="GR17" s="996">
        <f t="shared" si="194"/>
        <v>0</v>
      </c>
      <c r="GS17" s="996">
        <f t="shared" si="194"/>
        <v>0</v>
      </c>
      <c r="GT17" s="998" t="s">
        <v>24</v>
      </c>
      <c r="GU17" s="996">
        <f t="shared" si="194"/>
        <v>0</v>
      </c>
      <c r="GV17" s="996">
        <f t="shared" si="194"/>
        <v>0</v>
      </c>
      <c r="GW17" s="998" t="s">
        <v>24</v>
      </c>
      <c r="GX17" s="996">
        <f t="shared" si="194"/>
        <v>0</v>
      </c>
      <c r="GY17" s="998" t="s">
        <v>24</v>
      </c>
      <c r="GZ17" s="998" t="s">
        <v>24</v>
      </c>
      <c r="HA17" s="996">
        <f t="shared" si="194"/>
        <v>0</v>
      </c>
      <c r="HB17" s="996">
        <f t="shared" si="194"/>
        <v>0</v>
      </c>
      <c r="HC17" s="996">
        <f t="shared" ref="HC17:JM17" si="199">IFERROR(IF(OR(HC13="",HC13=0,HC13="n/a",HC14="",HC14=0,HC13="n/a",HC14=HC13),0,HC14-HC13),0)</f>
        <v>0</v>
      </c>
      <c r="HD17" s="996">
        <f t="shared" si="199"/>
        <v>0</v>
      </c>
      <c r="HE17" s="996">
        <f t="shared" si="199"/>
        <v>0</v>
      </c>
      <c r="HF17" s="996">
        <f t="shared" si="199"/>
        <v>0</v>
      </c>
      <c r="HG17" s="996">
        <f t="shared" si="199"/>
        <v>0</v>
      </c>
      <c r="HH17" s="996">
        <f t="shared" si="199"/>
        <v>0</v>
      </c>
      <c r="HI17" s="996">
        <f t="shared" si="199"/>
        <v>0</v>
      </c>
      <c r="HJ17" s="996">
        <f t="shared" si="199"/>
        <v>0</v>
      </c>
      <c r="HK17" s="996">
        <f t="shared" si="199"/>
        <v>0</v>
      </c>
      <c r="HL17" s="998" t="s">
        <v>24</v>
      </c>
      <c r="HM17" s="996">
        <f t="shared" si="199"/>
        <v>-3549.3310999999958</v>
      </c>
      <c r="HN17" s="996">
        <f t="shared" si="199"/>
        <v>799.91976000000432</v>
      </c>
      <c r="HO17" s="996">
        <f t="shared" si="199"/>
        <v>60.5</v>
      </c>
      <c r="HP17" s="998" t="s">
        <v>24</v>
      </c>
      <c r="HQ17" s="996">
        <f t="shared" si="199"/>
        <v>0</v>
      </c>
      <c r="HR17" s="998" t="s">
        <v>24</v>
      </c>
      <c r="HS17" s="997">
        <f t="shared" si="199"/>
        <v>-1.1130708888917873E-4</v>
      </c>
      <c r="HT17" s="997">
        <f t="shared" si="199"/>
        <v>1.2058659761309265E-3</v>
      </c>
      <c r="HU17" s="997">
        <f t="shared" si="199"/>
        <v>1.1080228633726374E-3</v>
      </c>
      <c r="HV17" s="997">
        <f t="shared" si="199"/>
        <v>-2.2654071447030244E-3</v>
      </c>
      <c r="HW17" s="997">
        <f t="shared" si="199"/>
        <v>7.4019383874435185E-3</v>
      </c>
      <c r="HX17" s="998" t="s">
        <v>24</v>
      </c>
      <c r="HY17" s="996">
        <f t="shared" si="199"/>
        <v>0</v>
      </c>
      <c r="HZ17" s="997">
        <f t="shared" si="199"/>
        <v>1.1693520296951476E-4</v>
      </c>
      <c r="IA17" s="997">
        <f t="shared" si="199"/>
        <v>-1.1130708888917873E-4</v>
      </c>
      <c r="IB17" s="997">
        <f t="shared" si="199"/>
        <v>1.2058659761309265E-3</v>
      </c>
      <c r="IC17" s="997">
        <f t="shared" si="199"/>
        <v>1.1080228633726374E-3</v>
      </c>
      <c r="ID17" s="997">
        <f t="shared" si="199"/>
        <v>-2.2654071447030244E-3</v>
      </c>
      <c r="IE17" s="998" t="s">
        <v>24</v>
      </c>
      <c r="IF17" s="997">
        <f t="shared" si="199"/>
        <v>1.1693520296951476E-4</v>
      </c>
      <c r="IG17" s="997">
        <f t="shared" si="199"/>
        <v>-1.1130708888917873E-4</v>
      </c>
      <c r="IH17" s="997">
        <f t="shared" si="199"/>
        <v>1.2058659761309265E-3</v>
      </c>
      <c r="II17" s="997">
        <f t="shared" si="199"/>
        <v>1.1080228633726374E-3</v>
      </c>
      <c r="IJ17" s="997">
        <f t="shared" si="199"/>
        <v>-2.2654071447030244E-3</v>
      </c>
      <c r="IK17" s="998" t="s">
        <v>24</v>
      </c>
      <c r="IL17" s="997">
        <f t="shared" si="199"/>
        <v>1.3000000000000025E-3</v>
      </c>
      <c r="IM17" s="998" t="s">
        <v>24</v>
      </c>
      <c r="IN17" s="997">
        <f t="shared" si="199"/>
        <v>3.1263112819979177E-4</v>
      </c>
      <c r="IO17" s="997">
        <f t="shared" si="199"/>
        <v>1.0483822276487476E-3</v>
      </c>
      <c r="IP17" s="997">
        <f t="shared" si="199"/>
        <v>-3.5656569620756695E-4</v>
      </c>
      <c r="IQ17" s="997">
        <f t="shared" si="199"/>
        <v>1.5516215553455559E-2</v>
      </c>
      <c r="IR17" s="997">
        <f t="shared" si="199"/>
        <v>3.4432753494595403E-4</v>
      </c>
      <c r="IS17" s="998" t="s">
        <v>24</v>
      </c>
      <c r="IT17" s="996">
        <f t="shared" si="199"/>
        <v>3.1263112819979177E-4</v>
      </c>
      <c r="IU17" s="996">
        <f t="shared" si="199"/>
        <v>1.0483822276487476E-3</v>
      </c>
      <c r="IV17" s="996">
        <f t="shared" si="199"/>
        <v>-3.5656569620756695E-4</v>
      </c>
      <c r="IW17" s="998" t="s">
        <v>24</v>
      </c>
      <c r="IX17" s="996">
        <f t="shared" si="199"/>
        <v>0</v>
      </c>
      <c r="IY17" s="996">
        <f t="shared" si="199"/>
        <v>0</v>
      </c>
      <c r="IZ17" s="996">
        <f t="shared" si="199"/>
        <v>0</v>
      </c>
      <c r="JA17" s="996">
        <f t="shared" si="199"/>
        <v>0</v>
      </c>
      <c r="JB17" s="996">
        <f t="shared" si="199"/>
        <v>0</v>
      </c>
      <c r="JC17" s="996">
        <f t="shared" si="199"/>
        <v>0</v>
      </c>
      <c r="JD17" s="996">
        <f t="shared" si="199"/>
        <v>0</v>
      </c>
      <c r="JE17" s="996">
        <f t="shared" si="199"/>
        <v>0</v>
      </c>
      <c r="JF17" s="998" t="s">
        <v>24</v>
      </c>
      <c r="JG17" s="996">
        <f t="shared" ref="JG17" si="200">IFERROR(IF(OR(JG13="",JG13=0,JG13="n/a",JG14="",JG14=0,JG13="n/a",JG14=JG13),0,JG14-JG13),0)</f>
        <v>0</v>
      </c>
      <c r="JH17" s="998" t="s">
        <v>24</v>
      </c>
      <c r="JI17" s="996">
        <f t="shared" si="199"/>
        <v>0</v>
      </c>
      <c r="JJ17" s="996">
        <f t="shared" si="199"/>
        <v>0</v>
      </c>
      <c r="JK17" s="996">
        <f t="shared" si="199"/>
        <v>0</v>
      </c>
      <c r="JL17" s="996">
        <f t="shared" si="199"/>
        <v>7.6002785232714976E-4</v>
      </c>
      <c r="JM17" s="996">
        <f t="shared" si="199"/>
        <v>0</v>
      </c>
      <c r="JN17" s="998" t="s">
        <v>24</v>
      </c>
      <c r="JO17" s="996">
        <f t="shared" ref="JO17:JZ17" si="201">IFERROR(IF(OR(JO13="",JO13=0,JO13="n/a",JO14="",JO14=0,JO13="n/a",JO14=JO13),0,JO14-JO13),0)</f>
        <v>0</v>
      </c>
      <c r="JP17" s="996">
        <f t="shared" si="201"/>
        <v>0</v>
      </c>
      <c r="JQ17" s="996">
        <f t="shared" si="201"/>
        <v>0</v>
      </c>
      <c r="JR17" s="996">
        <f t="shared" si="201"/>
        <v>0</v>
      </c>
      <c r="JS17" s="996">
        <f t="shared" si="201"/>
        <v>0</v>
      </c>
      <c r="JT17" s="996">
        <f t="shared" si="201"/>
        <v>0</v>
      </c>
      <c r="JU17" s="996">
        <f t="shared" si="201"/>
        <v>0</v>
      </c>
      <c r="JV17" s="996">
        <f t="shared" si="201"/>
        <v>0</v>
      </c>
      <c r="JW17" s="996">
        <f t="shared" si="201"/>
        <v>0</v>
      </c>
      <c r="JX17" s="996">
        <f t="shared" si="201"/>
        <v>0</v>
      </c>
      <c r="JY17" s="996">
        <f t="shared" si="201"/>
        <v>0</v>
      </c>
      <c r="JZ17" s="996">
        <f t="shared" si="201"/>
        <v>0</v>
      </c>
      <c r="KA17" s="998" t="s">
        <v>24</v>
      </c>
      <c r="KB17" s="996">
        <f t="shared" ref="KB17:MM17" si="202">IFERROR(IF(OR(KB13="",KB13=0,KB13="n/a",KB14="",KB14=0,KB13="n/a",KB14=KB13),0,KB14-KB13),0)</f>
        <v>3.1420999999999992</v>
      </c>
      <c r="KC17" s="996">
        <f t="shared" si="202"/>
        <v>0.27420000000000044</v>
      </c>
      <c r="KD17" s="996">
        <f t="shared" si="202"/>
        <v>3.1124403926866506</v>
      </c>
      <c r="KE17" s="996">
        <f t="shared" si="202"/>
        <v>10.118270397407059</v>
      </c>
      <c r="KF17" s="996">
        <f t="shared" si="202"/>
        <v>9.102413885536393</v>
      </c>
      <c r="KG17" s="996">
        <f t="shared" si="202"/>
        <v>0</v>
      </c>
      <c r="KH17" s="996">
        <f t="shared" si="202"/>
        <v>0</v>
      </c>
      <c r="KI17" s="996">
        <f t="shared" si="202"/>
        <v>0</v>
      </c>
      <c r="KJ17" s="996">
        <f t="shared" si="202"/>
        <v>0</v>
      </c>
      <c r="KK17" s="996">
        <f t="shared" si="202"/>
        <v>0</v>
      </c>
      <c r="KL17" s="996">
        <f t="shared" si="202"/>
        <v>0</v>
      </c>
      <c r="KM17" s="998" t="s">
        <v>24</v>
      </c>
      <c r="KN17" s="996">
        <f t="shared" ref="KN17:KX17" si="203">IFERROR(IF(OR(KN13="",KN13=0,KN13="n/a",KN14="",KN14=0,KN13="n/a",KN14=KN13),0,KN14-KN13),0)</f>
        <v>3.008310000000014E-4</v>
      </c>
      <c r="KO17" s="996">
        <f t="shared" si="203"/>
        <v>1.404099999999936E-5</v>
      </c>
      <c r="KP17" s="996">
        <f t="shared" si="203"/>
        <v>2.9786503926866603E-4</v>
      </c>
      <c r="KQ17" s="996">
        <f t="shared" si="203"/>
        <v>9.9844803974069585E-4</v>
      </c>
      <c r="KR17" s="996">
        <f t="shared" si="203"/>
        <v>8.9686238855364586E-4</v>
      </c>
      <c r="KS17" s="996">
        <f t="shared" si="203"/>
        <v>0</v>
      </c>
      <c r="KT17" s="996">
        <f t="shared" si="203"/>
        <v>0</v>
      </c>
      <c r="KU17" s="996">
        <f t="shared" si="203"/>
        <v>0</v>
      </c>
      <c r="KV17" s="996">
        <f t="shared" si="203"/>
        <v>0</v>
      </c>
      <c r="KW17" s="996">
        <f t="shared" si="203"/>
        <v>0</v>
      </c>
      <c r="KX17" s="996">
        <f t="shared" si="203"/>
        <v>0</v>
      </c>
      <c r="KY17" s="998" t="s">
        <v>24</v>
      </c>
      <c r="KZ17" s="996">
        <f t="shared" ref="KZ17:LB17" si="204">IFERROR(IF(OR(KZ13="",KZ13=0,KZ13="n/a",KZ14="",KZ14=0,KZ13="n/a",KZ14=KZ13),0,KZ14-KZ13),0)</f>
        <v>0</v>
      </c>
      <c r="LA17" s="996">
        <f t="shared" si="204"/>
        <v>0</v>
      </c>
      <c r="LB17" s="996">
        <f t="shared" si="204"/>
        <v>0</v>
      </c>
      <c r="LC17" s="998" t="s">
        <v>24</v>
      </c>
      <c r="LD17" s="997">
        <f t="shared" ref="LD17:LO17" si="205">IFERROR(IF(OR(LD13="",LD13=0,LD13="n/a",LD14="",LD14=0,LD13="n/a",LD14=LD13),0,LD14-LD13),0)</f>
        <v>0</v>
      </c>
      <c r="LE17" s="997">
        <f t="shared" si="205"/>
        <v>0</v>
      </c>
      <c r="LF17" s="997">
        <f t="shared" si="205"/>
        <v>0</v>
      </c>
      <c r="LG17" s="997">
        <f t="shared" si="205"/>
        <v>0</v>
      </c>
      <c r="LH17" s="997">
        <f t="shared" si="205"/>
        <v>0</v>
      </c>
      <c r="LI17" s="997">
        <f t="shared" si="205"/>
        <v>0</v>
      </c>
      <c r="LJ17" s="997">
        <f t="shared" si="205"/>
        <v>0</v>
      </c>
      <c r="LK17" s="997">
        <f t="shared" si="205"/>
        <v>0</v>
      </c>
      <c r="LL17" s="997">
        <f t="shared" si="205"/>
        <v>0</v>
      </c>
      <c r="LM17" s="997">
        <f t="shared" si="205"/>
        <v>0</v>
      </c>
      <c r="LN17" s="997">
        <f t="shared" si="205"/>
        <v>0</v>
      </c>
      <c r="LO17" s="997">
        <f t="shared" si="205"/>
        <v>0</v>
      </c>
      <c r="LP17" s="998" t="s">
        <v>24</v>
      </c>
      <c r="LQ17" s="996">
        <f t="shared" si="202"/>
        <v>0</v>
      </c>
      <c r="LR17" s="996">
        <f t="shared" si="202"/>
        <v>0</v>
      </c>
      <c r="LS17" s="996">
        <f t="shared" si="202"/>
        <v>0</v>
      </c>
      <c r="LT17" s="996">
        <f t="shared" si="202"/>
        <v>0</v>
      </c>
      <c r="LU17" s="996">
        <f t="shared" si="202"/>
        <v>0</v>
      </c>
      <c r="LV17" s="996">
        <f t="shared" si="202"/>
        <v>0</v>
      </c>
      <c r="LW17" s="996">
        <f t="shared" si="202"/>
        <v>0</v>
      </c>
      <c r="LX17" s="996">
        <f t="shared" si="202"/>
        <v>0</v>
      </c>
      <c r="LY17" s="996">
        <f t="shared" si="202"/>
        <v>0</v>
      </c>
      <c r="LZ17" s="996">
        <f t="shared" si="202"/>
        <v>0</v>
      </c>
      <c r="MA17" s="996">
        <f t="shared" si="202"/>
        <v>0</v>
      </c>
      <c r="MB17" s="998" t="s">
        <v>24</v>
      </c>
      <c r="MC17" s="996">
        <f t="shared" si="202"/>
        <v>0</v>
      </c>
      <c r="MD17" s="996">
        <f t="shared" si="202"/>
        <v>0</v>
      </c>
      <c r="ME17" s="996">
        <f t="shared" si="202"/>
        <v>0</v>
      </c>
      <c r="MF17" s="996">
        <f t="shared" si="202"/>
        <v>0</v>
      </c>
      <c r="MG17" s="996">
        <f t="shared" si="202"/>
        <v>0</v>
      </c>
      <c r="MH17" s="996">
        <f t="shared" si="202"/>
        <v>0</v>
      </c>
      <c r="MI17" s="996">
        <f t="shared" si="202"/>
        <v>0</v>
      </c>
      <c r="MJ17" s="996">
        <f t="shared" si="202"/>
        <v>0</v>
      </c>
      <c r="MK17" s="996">
        <f t="shared" si="202"/>
        <v>0</v>
      </c>
      <c r="ML17" s="996">
        <f t="shared" si="202"/>
        <v>0</v>
      </c>
      <c r="MM17" s="996">
        <f t="shared" si="202"/>
        <v>0</v>
      </c>
      <c r="MN17" s="999"/>
      <c r="MO17" s="996">
        <f t="shared" ref="MO17:OK17" si="206">IFERROR(IF(OR(MO13="",MO13=0,MO13="n/a",MO14="",MO14=0,MO13="n/a",MO14=MO13),0,MO14-MO13),0)</f>
        <v>0</v>
      </c>
      <c r="MP17" s="996">
        <f t="shared" si="206"/>
        <v>0</v>
      </c>
      <c r="MQ17" s="996">
        <f t="shared" si="206"/>
        <v>0</v>
      </c>
      <c r="MR17" s="996">
        <f t="shared" si="206"/>
        <v>0</v>
      </c>
      <c r="MS17" s="996">
        <f t="shared" si="206"/>
        <v>0</v>
      </c>
      <c r="MT17" s="996">
        <f t="shared" si="206"/>
        <v>0</v>
      </c>
      <c r="MU17" s="996">
        <f t="shared" si="206"/>
        <v>0</v>
      </c>
      <c r="MV17" s="996">
        <f t="shared" si="206"/>
        <v>0</v>
      </c>
      <c r="MW17" s="996">
        <f t="shared" si="206"/>
        <v>0</v>
      </c>
      <c r="MX17" s="996">
        <f t="shared" si="206"/>
        <v>0</v>
      </c>
      <c r="MY17" s="996">
        <f t="shared" si="206"/>
        <v>0</v>
      </c>
      <c r="MZ17" s="996">
        <f t="shared" si="206"/>
        <v>0</v>
      </c>
      <c r="NA17" s="999"/>
      <c r="NB17" s="997">
        <f t="shared" ref="NB17:NM17" si="207">IFERROR(IF(OR(NB13="",NB13=0,NB13="n/a",NB14="",NB14=0,NB13="n/a",NB14=NB13),0,NB14-NB13),0)</f>
        <v>0</v>
      </c>
      <c r="NC17" s="997">
        <f t="shared" si="207"/>
        <v>0</v>
      </c>
      <c r="ND17" s="997">
        <f t="shared" si="207"/>
        <v>0</v>
      </c>
      <c r="NE17" s="997">
        <f t="shared" si="207"/>
        <v>0</v>
      </c>
      <c r="NF17" s="997">
        <f t="shared" si="207"/>
        <v>0</v>
      </c>
      <c r="NG17" s="997">
        <f t="shared" si="207"/>
        <v>0</v>
      </c>
      <c r="NH17" s="997">
        <f t="shared" si="207"/>
        <v>0</v>
      </c>
      <c r="NI17" s="997">
        <f t="shared" si="207"/>
        <v>0</v>
      </c>
      <c r="NJ17" s="997">
        <f t="shared" si="207"/>
        <v>0</v>
      </c>
      <c r="NK17" s="997">
        <f t="shared" si="207"/>
        <v>0</v>
      </c>
      <c r="NL17" s="997">
        <f t="shared" si="207"/>
        <v>0</v>
      </c>
      <c r="NM17" s="997">
        <f t="shared" si="207"/>
        <v>0</v>
      </c>
      <c r="NN17" s="999"/>
      <c r="NO17" s="996">
        <f t="shared" si="206"/>
        <v>0</v>
      </c>
      <c r="NP17" s="997">
        <f t="shared" si="206"/>
        <v>1.1940329524482693E-2</v>
      </c>
      <c r="NQ17" s="996">
        <f t="shared" si="206"/>
        <v>0</v>
      </c>
      <c r="NR17" s="996">
        <f t="shared" si="206"/>
        <v>-3.1519999999999992E-2</v>
      </c>
      <c r="NS17" s="996">
        <f t="shared" si="206"/>
        <v>0</v>
      </c>
      <c r="NT17" s="996">
        <f t="shared" si="206"/>
        <v>0</v>
      </c>
      <c r="NU17" s="997">
        <f t="shared" si="206"/>
        <v>1.3000000000000025E-3</v>
      </c>
      <c r="NV17" s="997">
        <f t="shared" si="206"/>
        <v>1.3000000000000095E-3</v>
      </c>
      <c r="NW17" s="997">
        <f t="shared" si="206"/>
        <v>1.3000000000000095E-3</v>
      </c>
      <c r="NX17" s="999"/>
      <c r="NY17" s="996">
        <f t="shared" si="206"/>
        <v>0</v>
      </c>
      <c r="NZ17" s="996">
        <f t="shared" si="206"/>
        <v>0</v>
      </c>
      <c r="OA17" s="997">
        <f t="shared" si="206"/>
        <v>0</v>
      </c>
      <c r="OB17" s="996">
        <f t="shared" si="206"/>
        <v>0</v>
      </c>
      <c r="OC17" s="997">
        <f t="shared" si="206"/>
        <v>0</v>
      </c>
      <c r="OD17" s="997">
        <f t="shared" si="206"/>
        <v>0</v>
      </c>
      <c r="OE17" s="997">
        <f t="shared" si="206"/>
        <v>0</v>
      </c>
      <c r="OF17" s="997">
        <f t="shared" si="206"/>
        <v>0</v>
      </c>
      <c r="OG17" s="999"/>
      <c r="OH17" s="997">
        <f t="shared" ref="OH17:OI17" si="208">IFERROR(IF(OR(OH13="",OH13=0,OH13="n/a",OH14="",OH14=0,OH13="n/a",OH14=OH13),0,OH14-OH13),0)</f>
        <v>6.453041941132942E-4</v>
      </c>
      <c r="OI17" s="997">
        <f t="shared" si="208"/>
        <v>9.1000000000000802E-4</v>
      </c>
      <c r="OJ17" s="999"/>
      <c r="OK17" s="996">
        <f t="shared" si="206"/>
        <v>0</v>
      </c>
      <c r="OL17" s="999"/>
      <c r="OM17" s="996">
        <f t="shared" ref="OM17:QX17" si="209">IFERROR(IF(OR(OM13="",OM13=0,OM13="n/a",OM14="",OM14=0,OM13="n/a",OM14=OM13),0,OM14-OM13),0)</f>
        <v>0</v>
      </c>
      <c r="ON17" s="996">
        <f t="shared" si="209"/>
        <v>0</v>
      </c>
      <c r="OO17" s="996">
        <f t="shared" si="209"/>
        <v>0</v>
      </c>
      <c r="OP17" s="996">
        <f t="shared" si="209"/>
        <v>0</v>
      </c>
      <c r="OQ17" s="996">
        <f t="shared" si="209"/>
        <v>0</v>
      </c>
      <c r="OR17" s="996">
        <f t="shared" si="209"/>
        <v>0</v>
      </c>
      <c r="OS17" s="996">
        <f t="shared" si="209"/>
        <v>0</v>
      </c>
      <c r="OT17" s="996">
        <f t="shared" si="209"/>
        <v>0</v>
      </c>
      <c r="OU17" s="996">
        <f t="shared" si="209"/>
        <v>0</v>
      </c>
      <c r="OV17" s="996">
        <f t="shared" si="209"/>
        <v>0</v>
      </c>
      <c r="OW17" s="996">
        <f t="shared" si="209"/>
        <v>0</v>
      </c>
      <c r="OX17" s="996">
        <f t="shared" si="209"/>
        <v>0</v>
      </c>
      <c r="OY17" s="996">
        <f t="shared" si="209"/>
        <v>0</v>
      </c>
      <c r="OZ17" s="996">
        <f t="shared" si="209"/>
        <v>0</v>
      </c>
      <c r="PA17" s="996">
        <f t="shared" si="209"/>
        <v>0</v>
      </c>
      <c r="PB17" s="996">
        <f t="shared" si="209"/>
        <v>0</v>
      </c>
      <c r="PC17" s="996">
        <f t="shared" si="209"/>
        <v>0</v>
      </c>
      <c r="PD17" s="996">
        <f t="shared" si="209"/>
        <v>0</v>
      </c>
      <c r="PE17" s="996">
        <f t="shared" si="209"/>
        <v>0</v>
      </c>
      <c r="PF17" s="996">
        <f t="shared" si="209"/>
        <v>0</v>
      </c>
      <c r="PG17" s="996">
        <f t="shared" si="209"/>
        <v>0</v>
      </c>
      <c r="PH17" s="996">
        <f t="shared" si="209"/>
        <v>0</v>
      </c>
      <c r="PI17" s="996">
        <f t="shared" si="209"/>
        <v>0</v>
      </c>
      <c r="PJ17" s="996">
        <f t="shared" si="209"/>
        <v>0</v>
      </c>
      <c r="PK17" s="996">
        <f t="shared" si="209"/>
        <v>0</v>
      </c>
      <c r="PL17" s="996">
        <f t="shared" si="209"/>
        <v>0</v>
      </c>
      <c r="PM17" s="996">
        <f t="shared" si="209"/>
        <v>0</v>
      </c>
      <c r="PN17" s="996">
        <f t="shared" si="209"/>
        <v>0</v>
      </c>
      <c r="PO17" s="996">
        <f t="shared" si="209"/>
        <v>0</v>
      </c>
      <c r="PP17" s="996">
        <f t="shared" si="209"/>
        <v>0</v>
      </c>
      <c r="PQ17" s="996">
        <f t="shared" si="209"/>
        <v>0</v>
      </c>
      <c r="PR17" s="996">
        <f t="shared" si="209"/>
        <v>0</v>
      </c>
      <c r="PS17" s="996">
        <f t="shared" si="209"/>
        <v>0</v>
      </c>
      <c r="PT17" s="996">
        <f t="shared" si="209"/>
        <v>0</v>
      </c>
      <c r="PU17" s="996">
        <f t="shared" si="209"/>
        <v>0</v>
      </c>
      <c r="PV17" s="996">
        <f t="shared" si="209"/>
        <v>0</v>
      </c>
      <c r="PW17" s="996">
        <f t="shared" si="209"/>
        <v>0</v>
      </c>
      <c r="PX17" s="996">
        <f t="shared" si="209"/>
        <v>0</v>
      </c>
      <c r="PY17" s="996">
        <f t="shared" si="209"/>
        <v>0</v>
      </c>
      <c r="PZ17" s="996">
        <f t="shared" si="209"/>
        <v>0</v>
      </c>
      <c r="QA17" s="996">
        <f t="shared" si="209"/>
        <v>0</v>
      </c>
      <c r="QB17" s="996">
        <f t="shared" si="209"/>
        <v>0</v>
      </c>
      <c r="QC17" s="996">
        <f t="shared" si="209"/>
        <v>0</v>
      </c>
      <c r="QD17" s="996">
        <f t="shared" si="209"/>
        <v>0</v>
      </c>
      <c r="QE17" s="996">
        <f t="shared" si="209"/>
        <v>0</v>
      </c>
      <c r="QF17" s="996">
        <f t="shared" si="209"/>
        <v>0</v>
      </c>
      <c r="QG17" s="996">
        <f t="shared" si="209"/>
        <v>0</v>
      </c>
      <c r="QH17" s="996">
        <f t="shared" si="209"/>
        <v>0</v>
      </c>
      <c r="QI17" s="996">
        <f t="shared" si="209"/>
        <v>0</v>
      </c>
      <c r="QJ17" s="996">
        <f t="shared" si="209"/>
        <v>0</v>
      </c>
      <c r="QK17" s="996">
        <f t="shared" si="209"/>
        <v>0</v>
      </c>
      <c r="QL17" s="996">
        <f t="shared" si="209"/>
        <v>0</v>
      </c>
      <c r="QM17" s="996">
        <f t="shared" si="209"/>
        <v>0</v>
      </c>
      <c r="QN17" s="996">
        <f t="shared" si="209"/>
        <v>0</v>
      </c>
      <c r="QO17" s="996">
        <f t="shared" si="209"/>
        <v>0</v>
      </c>
      <c r="QP17" s="996">
        <f t="shared" si="209"/>
        <v>0</v>
      </c>
      <c r="QQ17" s="996">
        <f t="shared" si="209"/>
        <v>0</v>
      </c>
      <c r="QR17" s="996">
        <f t="shared" si="209"/>
        <v>0</v>
      </c>
      <c r="QS17" s="996">
        <f t="shared" si="209"/>
        <v>0</v>
      </c>
      <c r="QT17" s="996">
        <f t="shared" si="209"/>
        <v>0</v>
      </c>
      <c r="QU17" s="996">
        <f t="shared" si="209"/>
        <v>0</v>
      </c>
      <c r="QV17" s="996">
        <f t="shared" si="209"/>
        <v>0</v>
      </c>
      <c r="QW17" s="996">
        <f t="shared" si="209"/>
        <v>0</v>
      </c>
      <c r="QX17" s="996">
        <f t="shared" si="209"/>
        <v>0</v>
      </c>
      <c r="QY17" s="996">
        <f t="shared" ref="QY17:ST17" si="210">IFERROR(IF(OR(QY13="",QY13=0,QY13="n/a",QY14="",QY14=0,QY13="n/a",QY14=QY13),0,QY14-QY13),0)</f>
        <v>0</v>
      </c>
      <c r="QZ17" s="996">
        <f t="shared" si="210"/>
        <v>0</v>
      </c>
      <c r="RA17" s="996">
        <f t="shared" si="210"/>
        <v>0</v>
      </c>
      <c r="RB17" s="996">
        <f t="shared" si="210"/>
        <v>0</v>
      </c>
      <c r="RC17" s="996">
        <f t="shared" si="210"/>
        <v>0</v>
      </c>
      <c r="RD17" s="996">
        <f t="shared" si="210"/>
        <v>0</v>
      </c>
      <c r="RE17" s="996">
        <f t="shared" si="210"/>
        <v>0</v>
      </c>
      <c r="RF17" s="996">
        <f t="shared" si="210"/>
        <v>0</v>
      </c>
      <c r="RG17" s="996">
        <f t="shared" si="210"/>
        <v>0</v>
      </c>
      <c r="RH17" s="996">
        <f t="shared" si="210"/>
        <v>0</v>
      </c>
      <c r="RI17" s="996">
        <f t="shared" si="210"/>
        <v>0</v>
      </c>
      <c r="RJ17" s="996">
        <f t="shared" si="210"/>
        <v>0</v>
      </c>
      <c r="RK17" s="996">
        <f t="shared" si="210"/>
        <v>0</v>
      </c>
      <c r="RL17" s="996">
        <f t="shared" si="210"/>
        <v>0</v>
      </c>
      <c r="RM17" s="996">
        <f t="shared" si="210"/>
        <v>0</v>
      </c>
      <c r="RN17" s="996">
        <f t="shared" si="210"/>
        <v>0</v>
      </c>
      <c r="RO17" s="996">
        <f t="shared" si="210"/>
        <v>0</v>
      </c>
      <c r="RP17" s="996">
        <f t="shared" si="210"/>
        <v>0</v>
      </c>
      <c r="RQ17" s="996">
        <f t="shared" si="210"/>
        <v>0</v>
      </c>
      <c r="RR17" s="996">
        <f t="shared" si="210"/>
        <v>0</v>
      </c>
      <c r="RS17" s="996">
        <f t="shared" si="210"/>
        <v>0</v>
      </c>
      <c r="RT17" s="996">
        <f t="shared" si="210"/>
        <v>0</v>
      </c>
      <c r="RU17" s="996">
        <f t="shared" si="210"/>
        <v>0</v>
      </c>
      <c r="RV17" s="996">
        <f t="shared" si="210"/>
        <v>0</v>
      </c>
      <c r="RW17" s="996">
        <f t="shared" si="210"/>
        <v>0</v>
      </c>
      <c r="RX17" s="996">
        <f t="shared" si="210"/>
        <v>0</v>
      </c>
      <c r="RY17" s="996">
        <f t="shared" si="210"/>
        <v>0</v>
      </c>
      <c r="RZ17" s="996">
        <f t="shared" si="210"/>
        <v>0</v>
      </c>
      <c r="SA17" s="996">
        <f t="shared" si="210"/>
        <v>0</v>
      </c>
      <c r="SB17" s="996">
        <f t="shared" si="210"/>
        <v>0</v>
      </c>
      <c r="SC17" s="996">
        <f t="shared" si="210"/>
        <v>0</v>
      </c>
      <c r="SD17" s="996">
        <f t="shared" si="210"/>
        <v>0</v>
      </c>
      <c r="SE17" s="996">
        <f t="shared" si="210"/>
        <v>0</v>
      </c>
      <c r="SF17" s="996">
        <f t="shared" si="210"/>
        <v>0</v>
      </c>
      <c r="SG17" s="996">
        <f t="shared" si="210"/>
        <v>0</v>
      </c>
      <c r="SH17" s="996">
        <f t="shared" si="210"/>
        <v>0</v>
      </c>
      <c r="SI17" s="997">
        <f t="shared" si="210"/>
        <v>4.2015536426463107E-2</v>
      </c>
      <c r="SJ17" s="997">
        <f t="shared" si="210"/>
        <v>0</v>
      </c>
      <c r="SK17" s="997">
        <f t="shared" si="210"/>
        <v>0</v>
      </c>
      <c r="SL17" s="997">
        <f t="shared" si="210"/>
        <v>0</v>
      </c>
      <c r="SM17" s="997">
        <f t="shared" si="210"/>
        <v>0</v>
      </c>
      <c r="SN17" s="997">
        <f t="shared" si="210"/>
        <v>0</v>
      </c>
      <c r="SO17" s="997">
        <f t="shared" si="210"/>
        <v>0</v>
      </c>
      <c r="SP17" s="997">
        <f t="shared" si="210"/>
        <v>0</v>
      </c>
      <c r="SQ17" s="997">
        <f t="shared" si="210"/>
        <v>0</v>
      </c>
      <c r="SR17" s="997">
        <f t="shared" si="210"/>
        <v>0</v>
      </c>
      <c r="SS17" s="997">
        <f t="shared" si="210"/>
        <v>0</v>
      </c>
      <c r="ST17" s="997">
        <f t="shared" si="210"/>
        <v>1.3000000000000025E-3</v>
      </c>
      <c r="SU17" s="999"/>
      <c r="SV17" s="992">
        <f t="shared" ref="SV17:TG17" si="211">IFERROR(IF(OR(SV13="",SV13=0,SV13="n/a",SV14="",SV14=0,SV13="n/a",SV14=SV13),0,SV13/SV14-1),0)</f>
        <v>0</v>
      </c>
      <c r="SW17" s="992">
        <f t="shared" si="211"/>
        <v>0</v>
      </c>
      <c r="SX17" s="992">
        <f t="shared" si="211"/>
        <v>0</v>
      </c>
      <c r="SY17" s="992">
        <f t="shared" si="211"/>
        <v>0</v>
      </c>
      <c r="SZ17" s="992">
        <f t="shared" si="211"/>
        <v>0</v>
      </c>
      <c r="TA17" s="992">
        <f t="shared" si="211"/>
        <v>0</v>
      </c>
      <c r="TB17" s="992">
        <f t="shared" si="211"/>
        <v>0</v>
      </c>
      <c r="TC17" s="992">
        <f t="shared" si="211"/>
        <v>0</v>
      </c>
      <c r="TD17" s="992">
        <f t="shared" si="211"/>
        <v>0</v>
      </c>
      <c r="TE17" s="992">
        <f t="shared" si="211"/>
        <v>0</v>
      </c>
      <c r="TF17" s="992">
        <f t="shared" si="211"/>
        <v>0</v>
      </c>
      <c r="TG17" s="992">
        <f t="shared" si="211"/>
        <v>-1.2447338184604639E-3</v>
      </c>
      <c r="TH17" s="999"/>
      <c r="TI17" s="997">
        <f t="shared" ref="TI17:TT17" si="212">IFERROR(IF(OR(TI13="",TI13=0,TI13="n/a",TI14="",TI14=0,TI13="n/a",TI14=TI13),0,TI14-TI13),0)</f>
        <v>0</v>
      </c>
      <c r="TJ17" s="997">
        <f t="shared" si="212"/>
        <v>0</v>
      </c>
      <c r="TK17" s="997">
        <f t="shared" si="212"/>
        <v>0</v>
      </c>
      <c r="TL17" s="997">
        <f t="shared" si="212"/>
        <v>0</v>
      </c>
      <c r="TM17" s="997">
        <f t="shared" si="212"/>
        <v>0</v>
      </c>
      <c r="TN17" s="997">
        <f t="shared" si="212"/>
        <v>0</v>
      </c>
      <c r="TO17" s="997">
        <f t="shared" si="212"/>
        <v>0</v>
      </c>
      <c r="TP17" s="997">
        <f t="shared" si="212"/>
        <v>0</v>
      </c>
      <c r="TQ17" s="997">
        <f t="shared" si="212"/>
        <v>0</v>
      </c>
      <c r="TR17" s="997">
        <f t="shared" si="212"/>
        <v>0</v>
      </c>
      <c r="TS17" s="997">
        <f t="shared" si="212"/>
        <v>0</v>
      </c>
      <c r="TT17" s="997">
        <f t="shared" si="212"/>
        <v>0</v>
      </c>
      <c r="TU17" s="999"/>
      <c r="TV17" s="992">
        <f t="shared" ref="TV17:UG17" si="213">IFERROR(IF(OR(TV13="",TV13=0,TV13="n/a",TV14="",TV14=0,TV13="n/a",TV14=TV13),0,TV13/TV14-1),0)</f>
        <v>0</v>
      </c>
      <c r="TW17" s="992">
        <f t="shared" si="213"/>
        <v>0</v>
      </c>
      <c r="TX17" s="992">
        <f t="shared" si="213"/>
        <v>0</v>
      </c>
      <c r="TY17" s="992">
        <f t="shared" si="213"/>
        <v>0</v>
      </c>
      <c r="TZ17" s="992">
        <f t="shared" si="213"/>
        <v>0</v>
      </c>
      <c r="UA17" s="992">
        <f t="shared" si="213"/>
        <v>0</v>
      </c>
      <c r="UB17" s="992">
        <f t="shared" si="213"/>
        <v>0</v>
      </c>
      <c r="UC17" s="992">
        <f t="shared" si="213"/>
        <v>0</v>
      </c>
      <c r="UD17" s="992">
        <f t="shared" si="213"/>
        <v>0</v>
      </c>
      <c r="UE17" s="992">
        <f t="shared" si="213"/>
        <v>0</v>
      </c>
      <c r="UF17" s="992">
        <f t="shared" si="213"/>
        <v>0</v>
      </c>
      <c r="UG17" s="992">
        <f t="shared" si="213"/>
        <v>0</v>
      </c>
      <c r="UH17" s="999"/>
      <c r="UI17" s="992">
        <f t="shared" ref="UI17:UT17" si="214">IFERROR(IF(OR(UI13="",UI13=0,UI13="n/a",UI14="",UI14=0,UI13="n/a",UI14=UI13),0,UI13/UI14-1),0)</f>
        <v>0</v>
      </c>
      <c r="UJ17" s="992">
        <f t="shared" si="214"/>
        <v>0</v>
      </c>
      <c r="UK17" s="992">
        <f t="shared" si="214"/>
        <v>0</v>
      </c>
      <c r="UL17" s="992">
        <f t="shared" si="214"/>
        <v>0</v>
      </c>
      <c r="UM17" s="992">
        <f t="shared" si="214"/>
        <v>0</v>
      </c>
      <c r="UN17" s="992">
        <f t="shared" si="214"/>
        <v>0</v>
      </c>
      <c r="UO17" s="992">
        <f t="shared" si="214"/>
        <v>0</v>
      </c>
      <c r="UP17" s="992">
        <f t="shared" si="214"/>
        <v>0</v>
      </c>
      <c r="UQ17" s="992">
        <f t="shared" si="214"/>
        <v>0</v>
      </c>
      <c r="UR17" s="992">
        <f t="shared" si="214"/>
        <v>0</v>
      </c>
      <c r="US17" s="992">
        <f t="shared" si="214"/>
        <v>0</v>
      </c>
      <c r="UT17" s="992">
        <f t="shared" si="214"/>
        <v>-1.2447338184604639E-3</v>
      </c>
      <c r="UU17" s="999"/>
      <c r="UV17" s="997">
        <f t="shared" ref="UV17:VG17" si="215">IFERROR(IF(OR(UV13="",UV13=0,UV13="n/a",UV14="",UV14=0,UV13="n/a",UV14=UV13),0,UV14-UV13),0)</f>
        <v>0</v>
      </c>
      <c r="UW17" s="997">
        <f t="shared" si="215"/>
        <v>0</v>
      </c>
      <c r="UX17" s="997">
        <f t="shared" si="215"/>
        <v>0</v>
      </c>
      <c r="UY17" s="997">
        <f t="shared" si="215"/>
        <v>0</v>
      </c>
      <c r="UZ17" s="997">
        <f t="shared" si="215"/>
        <v>0</v>
      </c>
      <c r="VA17" s="997">
        <f t="shared" si="215"/>
        <v>0</v>
      </c>
      <c r="VB17" s="997">
        <f t="shared" si="215"/>
        <v>0</v>
      </c>
      <c r="VC17" s="997">
        <f t="shared" si="215"/>
        <v>0</v>
      </c>
      <c r="VD17" s="997">
        <f t="shared" si="215"/>
        <v>0</v>
      </c>
      <c r="VE17" s="997">
        <f t="shared" si="215"/>
        <v>0</v>
      </c>
      <c r="VF17" s="997">
        <f t="shared" si="215"/>
        <v>0</v>
      </c>
      <c r="VG17" s="997">
        <f t="shared" si="215"/>
        <v>0</v>
      </c>
      <c r="VH17" s="999"/>
      <c r="VI17" s="992">
        <f t="shared" ref="VI17:VT17" si="216">IFERROR(IF(OR(VI13="",VI13=0,VI13="n/a",VI14="",VI14=0,VI13="n/a",VI14=VI13),0,VI13/VI14-1),0)</f>
        <v>0</v>
      </c>
      <c r="VJ17" s="992">
        <f t="shared" si="216"/>
        <v>0</v>
      </c>
      <c r="VK17" s="992">
        <f t="shared" si="216"/>
        <v>0</v>
      </c>
      <c r="VL17" s="992">
        <f t="shared" si="216"/>
        <v>0</v>
      </c>
      <c r="VM17" s="992">
        <f t="shared" si="216"/>
        <v>0</v>
      </c>
      <c r="VN17" s="992">
        <f t="shared" si="216"/>
        <v>0</v>
      </c>
      <c r="VO17" s="992">
        <f t="shared" si="216"/>
        <v>0</v>
      </c>
      <c r="VP17" s="992">
        <f t="shared" si="216"/>
        <v>0</v>
      </c>
      <c r="VQ17" s="992">
        <f t="shared" si="216"/>
        <v>0</v>
      </c>
      <c r="VR17" s="992">
        <f t="shared" si="216"/>
        <v>0</v>
      </c>
      <c r="VS17" s="992">
        <f t="shared" si="216"/>
        <v>0</v>
      </c>
      <c r="VT17" s="992">
        <f t="shared" si="216"/>
        <v>-1.2447338184604639E-3</v>
      </c>
      <c r="VU17" s="999"/>
      <c r="VV17" s="996">
        <f t="shared" ref="VV17:WG17" si="217">IFERROR(IF(OR(VV13="",VV13=0,VV13="n/a",VV14="",VV14=0,VV13="n/a",VV14=VV13),0,VV14-VV13),0)</f>
        <v>0</v>
      </c>
      <c r="VW17" s="997">
        <f t="shared" si="217"/>
        <v>0</v>
      </c>
      <c r="VX17" s="997">
        <f t="shared" si="217"/>
        <v>0</v>
      </c>
      <c r="VY17" s="997">
        <f t="shared" si="217"/>
        <v>0</v>
      </c>
      <c r="VZ17" s="997">
        <f t="shared" si="217"/>
        <v>0</v>
      </c>
      <c r="WA17" s="997">
        <f t="shared" si="217"/>
        <v>0</v>
      </c>
      <c r="WB17" s="997">
        <f t="shared" si="217"/>
        <v>0</v>
      </c>
      <c r="WC17" s="997">
        <f t="shared" si="217"/>
        <v>0</v>
      </c>
      <c r="WD17" s="997">
        <f t="shared" si="217"/>
        <v>0</v>
      </c>
      <c r="WE17" s="997">
        <f t="shared" si="217"/>
        <v>0</v>
      </c>
      <c r="WF17" s="997">
        <f t="shared" si="217"/>
        <v>0</v>
      </c>
      <c r="WG17" s="997">
        <f t="shared" si="217"/>
        <v>-8.0578734837188914E-4</v>
      </c>
      <c r="WH17" s="999"/>
      <c r="WI17" s="992">
        <f t="shared" ref="WI17:WT17" si="218">IFERROR(IF(OR(WI13="",WI13=0,WI13="n/a",WI14="",WI14=0,WI13="n/a",WI14=WI13),0,WI13/WI14-1),0)</f>
        <v>0</v>
      </c>
      <c r="WJ17" s="992">
        <f t="shared" si="218"/>
        <v>0</v>
      </c>
      <c r="WK17" s="992">
        <f t="shared" si="218"/>
        <v>0</v>
      </c>
      <c r="WL17" s="992">
        <f t="shared" si="218"/>
        <v>0</v>
      </c>
      <c r="WM17" s="992">
        <f t="shared" si="218"/>
        <v>0</v>
      </c>
      <c r="WN17" s="992">
        <f t="shared" si="218"/>
        <v>0</v>
      </c>
      <c r="WO17" s="992">
        <f t="shared" si="218"/>
        <v>0</v>
      </c>
      <c r="WP17" s="992">
        <f t="shared" si="218"/>
        <v>0</v>
      </c>
      <c r="WQ17" s="992">
        <f t="shared" si="218"/>
        <v>0</v>
      </c>
      <c r="WR17" s="992">
        <f t="shared" si="218"/>
        <v>0</v>
      </c>
      <c r="WS17" s="992">
        <f t="shared" si="218"/>
        <v>0</v>
      </c>
      <c r="WT17" s="992">
        <f t="shared" si="218"/>
        <v>0</v>
      </c>
      <c r="WU17" s="999"/>
      <c r="WV17" s="992">
        <f t="shared" ref="WV17:XF17" si="219">IFERROR(IF(OR(WV13="",WV13=0,WV13="n/a",WV14="",WV14=0,WV13="n/a",WV14=WV13),0,WV13/WV14-1),0)</f>
        <v>0</v>
      </c>
      <c r="WW17" s="992">
        <f t="shared" si="219"/>
        <v>0</v>
      </c>
      <c r="WX17" s="992">
        <f t="shared" si="219"/>
        <v>0</v>
      </c>
      <c r="WY17" s="992">
        <f t="shared" si="219"/>
        <v>0</v>
      </c>
      <c r="WZ17" s="992">
        <f t="shared" si="219"/>
        <v>0</v>
      </c>
      <c r="XA17" s="992">
        <f t="shared" si="219"/>
        <v>0</v>
      </c>
      <c r="XB17" s="992">
        <f t="shared" si="219"/>
        <v>0</v>
      </c>
      <c r="XC17" s="992">
        <f t="shared" si="219"/>
        <v>0</v>
      </c>
      <c r="XD17" s="992">
        <f t="shared" si="219"/>
        <v>0</v>
      </c>
      <c r="XE17" s="992">
        <f t="shared" si="219"/>
        <v>0</v>
      </c>
      <c r="XF17" s="992">
        <f t="shared" si="219"/>
        <v>-1.6864460747180177E-3</v>
      </c>
      <c r="XG17" s="999"/>
      <c r="XH17" s="997">
        <f t="shared" ref="XH17:XR17" si="220">IFERROR(IF(OR(XH13="",XH13=0,XH13="n/a",XH14="",XH14=0,XH13="n/a",XH14=XH13),0,XH14-XH13),0)</f>
        <v>1.182196461844337E-3</v>
      </c>
      <c r="XI17" s="997">
        <f t="shared" si="220"/>
        <v>1.1519524105282897E-3</v>
      </c>
      <c r="XJ17" s="997">
        <f t="shared" si="220"/>
        <v>1.1217083592122701E-3</v>
      </c>
      <c r="XK17" s="997">
        <f t="shared" si="220"/>
        <v>1.0914643078962366E-3</v>
      </c>
      <c r="XL17" s="997">
        <f t="shared" si="220"/>
        <v>1.0612202565801893E-3</v>
      </c>
      <c r="XM17" s="997">
        <f t="shared" si="220"/>
        <v>1.0309762052641558E-3</v>
      </c>
      <c r="XN17" s="997">
        <f t="shared" si="220"/>
        <v>1.0007321539481223E-3</v>
      </c>
      <c r="XO17" s="997">
        <f t="shared" si="220"/>
        <v>9.7048810263206109E-4</v>
      </c>
      <c r="XP17" s="997">
        <f t="shared" si="220"/>
        <v>9.402440513160415E-4</v>
      </c>
      <c r="XQ17" s="997">
        <f t="shared" si="220"/>
        <v>9.1000000000000802E-4</v>
      </c>
      <c r="XR17" s="997">
        <f t="shared" si="220"/>
        <v>9.1000000000000802E-4</v>
      </c>
      <c r="XS17" s="999"/>
      <c r="XT17" s="992">
        <f t="shared" ref="XT17:YD17" si="221">IFERROR(IF(OR(XT13="",XT13=0,XT13="n/a",XT14="",XT14=0,XT13="n/a",XT14=XT13),0,XT13/XT14-1),0)</f>
        <v>-1.6874748959504471E-3</v>
      </c>
      <c r="XU17" s="992">
        <f t="shared" si="221"/>
        <v>-2.7666948681300818E-3</v>
      </c>
      <c r="XV17" s="992">
        <f t="shared" si="221"/>
        <v>-3.8184056268405486E-3</v>
      </c>
      <c r="XW17" s="992">
        <f t="shared" si="221"/>
        <v>-4.8426304144698618E-3</v>
      </c>
      <c r="XX17" s="992">
        <f t="shared" si="221"/>
        <v>-5.839390241952791E-3</v>
      </c>
      <c r="XY17" s="992">
        <f t="shared" si="221"/>
        <v>-6.8087038829798274E-3</v>
      </c>
      <c r="XZ17" s="992">
        <f t="shared" si="221"/>
        <v>-7.7505878678668649E-3</v>
      </c>
      <c r="YA17" s="992">
        <f t="shared" si="221"/>
        <v>-8.6650564770837102E-3</v>
      </c>
      <c r="YB17" s="992">
        <f t="shared" si="221"/>
        <v>-9.5521217344349818E-3</v>
      </c>
      <c r="YC17" s="992">
        <f t="shared" si="221"/>
        <v>-1.041092287568024E-2</v>
      </c>
      <c r="YD17" s="992">
        <f t="shared" si="221"/>
        <v>-1.1241085183047561E-2</v>
      </c>
      <c r="YE17" s="999"/>
      <c r="YF17" s="992">
        <f t="shared" ref="YF17:YP17" si="222">IFERROR(IF(OR(YF13="",YF13=0,YF13="n/a",YF14="",YF14=0,YF13="n/a",YF14=YF13),0,YF13/YF14-1),0)</f>
        <v>6.4016722008348736E-3</v>
      </c>
      <c r="YG17" s="992">
        <f t="shared" si="222"/>
        <v>1.0822141284549947E-3</v>
      </c>
      <c r="YH17" s="992">
        <f t="shared" si="222"/>
        <v>2.112598611075045E-3</v>
      </c>
      <c r="YI17" s="992">
        <f t="shared" si="222"/>
        <v>3.0908055002361046E-3</v>
      </c>
      <c r="YJ17" s="992">
        <f t="shared" si="222"/>
        <v>4.0164933861817076E-3</v>
      </c>
      <c r="YK17" s="992">
        <f t="shared" si="222"/>
        <v>4.8893275259886959E-3</v>
      </c>
      <c r="YL17" s="992">
        <f t="shared" si="222"/>
        <v>5.7089799718992307E-3</v>
      </c>
      <c r="YM17" s="992">
        <f t="shared" si="222"/>
        <v>6.4751296989908891E-3</v>
      </c>
      <c r="YN17" s="992">
        <f t="shared" si="222"/>
        <v>7.1874627320922535E-3</v>
      </c>
      <c r="YO17" s="992">
        <f t="shared" si="222"/>
        <v>7.8376930420238633E-3</v>
      </c>
      <c r="YP17" s="992">
        <f t="shared" si="222"/>
        <v>8.4277961808436608E-3</v>
      </c>
      <c r="YQ17" s="1000"/>
      <c r="YR17" s="992">
        <f t="shared" ref="YR17:YS17" si="223">IFERROR(IF(OR(YR13="",YR13=0,YR13="n/a",YR14="",YR14=0,YR13="n/a",YR14=YR13),0,YR13/YR14-1),0)</f>
        <v>2.4075841616921778E-4</v>
      </c>
      <c r="YS17" s="992">
        <f t="shared" si="223"/>
        <v>0</v>
      </c>
      <c r="YT17" s="992">
        <f t="shared" ref="YT17" si="224">IFERROR(IF(OR(YT13="",YT13=0,YT13="n/a",YT14="",YT14=0,YT13="n/a",YT14=YT13),0,YT13/YT14-1),0)</f>
        <v>2.3866997775678911E-4</v>
      </c>
      <c r="YU17" s="1000"/>
      <c r="YV17" s="992">
        <f t="shared" ref="YV17" si="225">IFERROR(IF(OR(YV13="",YV13=0,YV13="n/a",YV14="",YV14=0,YV13="n/a",YV14=YV13),0,YV13/YV14-1),0)</f>
        <v>2.3866997775678911E-4</v>
      </c>
      <c r="YW17" s="992">
        <f>IFERROR(IF(OR(YW13="",YW13=0,YW13="n/a",YW14="",YW14=0,YW13="n/a",YW14=YW13),0,YW13/YW14-1),0)</f>
        <v>0.19780435821005438</v>
      </c>
      <c r="YX17" s="992">
        <f>IFERROR(IF(OR(YX13="",YX13=0,YX13="n/a",YX14="",YX14=0,YX13="n/a",YX14=YX13),0,YX13/YX14-1),0)</f>
        <v>0.19878883304063466</v>
      </c>
      <c r="YY17" s="999"/>
      <c r="YZ17" s="996">
        <f t="shared" ref="YZ17:AAQ17" si="226">IFERROR(IF(OR(YZ13="",YZ13=0,YZ13="n/a",YZ14="",YZ14=0,YZ13="n/a",YZ14=YZ13),0,YZ14-YZ13),0)</f>
        <v>0</v>
      </c>
      <c r="ZA17" s="996">
        <f t="shared" si="226"/>
        <v>0</v>
      </c>
      <c r="ZB17" s="999"/>
      <c r="ZC17" s="999"/>
      <c r="ZD17" s="999"/>
      <c r="ZE17" s="997">
        <f t="shared" ref="ZE17:ZH17" si="227">IFERROR(IF(OR(ZE13="",ZE13=0,ZE13="n/a",ZE14="",ZE14=0,ZE13="n/a",ZE14=ZE13),0,ZE14-ZE13),0)</f>
        <v>4.2015536426463163E-2</v>
      </c>
      <c r="ZF17" s="997">
        <f t="shared" si="227"/>
        <v>0</v>
      </c>
      <c r="ZG17" s="997">
        <f t="shared" si="227"/>
        <v>-1.1102230246251565E-16</v>
      </c>
      <c r="ZH17" s="997">
        <f t="shared" si="227"/>
        <v>0</v>
      </c>
      <c r="ZI17" s="996">
        <f t="shared" si="226"/>
        <v>0</v>
      </c>
      <c r="ZJ17" s="999"/>
      <c r="ZK17" s="997">
        <f t="shared" ref="ZK17:AAG17" si="228">IFERROR(IF(OR(ZK13="",ZK13=0,ZK13="n/a",ZK14="",ZK14=0,ZK13="n/a",ZK14=ZK13),0,ZK14-ZK13),0)</f>
        <v>0</v>
      </c>
      <c r="ZL17" s="997">
        <f t="shared" si="228"/>
        <v>0</v>
      </c>
      <c r="ZM17" s="997">
        <f t="shared" si="228"/>
        <v>0</v>
      </c>
      <c r="ZN17" s="997">
        <f t="shared" si="228"/>
        <v>0</v>
      </c>
      <c r="ZO17" s="997">
        <f t="shared" si="228"/>
        <v>0</v>
      </c>
      <c r="ZP17" s="997">
        <f t="shared" si="228"/>
        <v>0</v>
      </c>
      <c r="ZQ17" s="997">
        <f t="shared" si="228"/>
        <v>0</v>
      </c>
      <c r="ZR17" s="997">
        <f t="shared" si="228"/>
        <v>0</v>
      </c>
      <c r="ZS17" s="997">
        <f t="shared" si="228"/>
        <v>0</v>
      </c>
      <c r="ZT17" s="997">
        <f t="shared" si="228"/>
        <v>0</v>
      </c>
      <c r="ZU17" s="997">
        <f t="shared" si="228"/>
        <v>-3.5656569620756695E-4</v>
      </c>
      <c r="ZV17" s="997">
        <f t="shared" si="228"/>
        <v>0</v>
      </c>
      <c r="ZW17" s="997">
        <f t="shared" si="228"/>
        <v>0</v>
      </c>
      <c r="ZX17" s="997">
        <f t="shared" si="228"/>
        <v>0</v>
      </c>
      <c r="ZY17" s="997">
        <f t="shared" si="228"/>
        <v>0</v>
      </c>
      <c r="ZZ17" s="997">
        <f t="shared" si="228"/>
        <v>0</v>
      </c>
      <c r="AAA17" s="997">
        <f t="shared" si="228"/>
        <v>0</v>
      </c>
      <c r="AAB17" s="997">
        <f t="shared" si="228"/>
        <v>0</v>
      </c>
      <c r="AAC17" s="997">
        <f t="shared" si="228"/>
        <v>0</v>
      </c>
      <c r="AAD17" s="997">
        <f t="shared" si="228"/>
        <v>0</v>
      </c>
      <c r="AAE17" s="997">
        <f t="shared" si="228"/>
        <v>0</v>
      </c>
      <c r="AAF17" s="997">
        <f t="shared" si="228"/>
        <v>0</v>
      </c>
      <c r="AAG17" s="997">
        <f t="shared" si="228"/>
        <v>0</v>
      </c>
      <c r="AAH17" s="1001"/>
      <c r="AAI17" s="992">
        <f t="shared" ref="AAI17" si="229">IFERROR(IF(OR(AAI13="",AAI13=0,AAI13="n/a",AAI14="",AAI14=0,AAI13="n/a",AAI14=AAI13),0,AAI13/AAI14-1),0)</f>
        <v>0</v>
      </c>
      <c r="AAJ17" s="997">
        <f t="shared" si="226"/>
        <v>0</v>
      </c>
      <c r="AAK17" s="996">
        <f t="shared" si="226"/>
        <v>0</v>
      </c>
      <c r="AAL17" s="997">
        <f t="shared" si="226"/>
        <v>0</v>
      </c>
      <c r="AAM17" s="997">
        <f t="shared" si="226"/>
        <v>0</v>
      </c>
      <c r="AAN17" s="997">
        <f t="shared" si="226"/>
        <v>0</v>
      </c>
      <c r="AAO17" s="997">
        <f t="shared" si="226"/>
        <v>0</v>
      </c>
      <c r="AAP17" s="997">
        <f t="shared" si="226"/>
        <v>0</v>
      </c>
      <c r="AAQ17" s="997">
        <f t="shared" si="226"/>
        <v>0</v>
      </c>
      <c r="AAR17" s="1001"/>
      <c r="AAS17" s="1001"/>
      <c r="AAT17" s="992">
        <f t="shared" ref="AAT17" si="230">IFERROR(IF(OR(AAT13="",AAT13=0,AAT13="n/a",AAT14="",AAT14=0,AAT13="n/a",AAT14=AAT13),0,AAT13/AAT14-1),0)</f>
        <v>0</v>
      </c>
      <c r="AAU17" s="992">
        <f t="shared" ref="AAU17:ABD17" si="231">IFERROR(IF(OR(AAU13="",AAU13=0,AAU13="n/a",AAU14="",AAU14=0,AAU13="n/a",AAU14=AAU13),0,AAU13/AAU14-1),0)</f>
        <v>0</v>
      </c>
      <c r="AAV17" s="992">
        <f t="shared" si="231"/>
        <v>0</v>
      </c>
      <c r="AAW17" s="992">
        <f t="shared" si="231"/>
        <v>0</v>
      </c>
      <c r="AAX17" s="992">
        <f t="shared" si="231"/>
        <v>0</v>
      </c>
      <c r="AAY17" s="992">
        <f t="shared" si="231"/>
        <v>0</v>
      </c>
      <c r="AAZ17" s="992">
        <f t="shared" si="231"/>
        <v>0</v>
      </c>
      <c r="ABA17" s="992">
        <f t="shared" si="231"/>
        <v>0</v>
      </c>
      <c r="ABB17" s="992">
        <f t="shared" si="231"/>
        <v>0</v>
      </c>
      <c r="ABC17" s="992">
        <f t="shared" si="231"/>
        <v>0</v>
      </c>
      <c r="ABD17" s="992">
        <f t="shared" si="231"/>
        <v>0</v>
      </c>
      <c r="ABE17" s="1001"/>
      <c r="ABF17" s="992">
        <f t="shared" ref="ABF17:ABH17" si="232">IFERROR(IF(OR(ABF13="",ABF13=0,ABF13="n/a",ABF14="",ABF14=0,ABF13="n/a",ABF14=ABF13),0,ABF13/ABF14-1),0)</f>
        <v>0</v>
      </c>
      <c r="ABG17" s="992">
        <f t="shared" si="232"/>
        <v>0</v>
      </c>
      <c r="ABH17" s="992">
        <f t="shared" si="232"/>
        <v>0</v>
      </c>
      <c r="ABI17" s="1001"/>
      <c r="ABJ17" s="1001"/>
      <c r="ABK17" s="996">
        <f t="shared" ref="ABK17:ACJ17" si="233">IFERROR(IF(OR(ABK13="",ABK13=0,ABK13="n/a",ABK14="",ABK14=0,ABK13="n/a",ABK14=ABK13),0,ABK14-ABK13),0)</f>
        <v>0</v>
      </c>
      <c r="ABL17" s="996">
        <f t="shared" si="233"/>
        <v>0</v>
      </c>
      <c r="ABM17" s="996">
        <f t="shared" si="233"/>
        <v>0</v>
      </c>
      <c r="ABN17" s="996">
        <f t="shared" si="233"/>
        <v>0</v>
      </c>
      <c r="ABO17" s="996">
        <f t="shared" si="233"/>
        <v>0</v>
      </c>
      <c r="ABP17" s="996">
        <f t="shared" si="233"/>
        <v>0</v>
      </c>
      <c r="ABQ17" s="996">
        <f t="shared" si="233"/>
        <v>0</v>
      </c>
      <c r="ABR17" s="996">
        <f t="shared" si="233"/>
        <v>0</v>
      </c>
      <c r="ABS17" s="996">
        <f t="shared" si="233"/>
        <v>0</v>
      </c>
      <c r="ABT17" s="996">
        <f t="shared" si="233"/>
        <v>0</v>
      </c>
      <c r="ABU17" s="1001"/>
      <c r="ABV17" s="996">
        <f t="shared" si="233"/>
        <v>0</v>
      </c>
      <c r="ABW17" s="996">
        <f t="shared" si="233"/>
        <v>0</v>
      </c>
      <c r="ABX17" s="996">
        <f t="shared" si="233"/>
        <v>0</v>
      </c>
      <c r="ABY17" s="996">
        <f t="shared" si="233"/>
        <v>0</v>
      </c>
      <c r="ABZ17" s="996">
        <f t="shared" si="233"/>
        <v>0</v>
      </c>
      <c r="ACA17" s="1001"/>
      <c r="ACB17" s="992">
        <f t="shared" ref="ACB17" si="234">IFERROR(IF(OR(ACB13="",ACB13=0,ACB13="n/a",ACB14="",ACB14=0,ACB13="n/a",ACB14=ACB13),0,ACB13/ACB14-1),0)</f>
        <v>0</v>
      </c>
      <c r="ACC17" s="996">
        <f t="shared" si="233"/>
        <v>0</v>
      </c>
      <c r="ACD17" s="996">
        <f t="shared" si="233"/>
        <v>0</v>
      </c>
      <c r="ACE17" s="996">
        <f t="shared" si="233"/>
        <v>0</v>
      </c>
      <c r="ACF17" s="996">
        <f t="shared" si="233"/>
        <v>0</v>
      </c>
      <c r="ACG17" s="996">
        <f t="shared" si="233"/>
        <v>0</v>
      </c>
      <c r="ACH17" s="996">
        <f t="shared" si="233"/>
        <v>0</v>
      </c>
      <c r="ACI17" s="996">
        <f t="shared" si="233"/>
        <v>0</v>
      </c>
      <c r="ACJ17" s="996">
        <f t="shared" si="233"/>
        <v>0</v>
      </c>
      <c r="ACK17" s="1001"/>
      <c r="ACL17" s="992">
        <f t="shared" ref="ACL17:ACO17" si="235">IFERROR(IF(OR(ACL13="",ACL13=0,ACL13="n/a",ACL14="",ACL14=0,ACL13="n/a",ACL14=ACL13),0,ACL13/ACL14-1),0)</f>
        <v>0</v>
      </c>
      <c r="ACM17" s="992">
        <f t="shared" si="235"/>
        <v>0</v>
      </c>
      <c r="ACN17" s="992">
        <f t="shared" si="235"/>
        <v>0</v>
      </c>
      <c r="ACO17" s="992">
        <f t="shared" si="235"/>
        <v>0</v>
      </c>
      <c r="ACP17" s="992">
        <f t="shared" ref="ACP17:ACV17" si="236">IFERROR(IF(OR(ACP13="",ACP13=0,ACP13="n/a",ACP14="",ACP14=0,ACP13="n/a",ACP14=ACP13),0,ACP13/ACP14-1),0)</f>
        <v>0</v>
      </c>
      <c r="ACQ17" s="992">
        <f t="shared" si="236"/>
        <v>0</v>
      </c>
      <c r="ACR17" s="992">
        <f t="shared" si="236"/>
        <v>0</v>
      </c>
      <c r="ACS17" s="992">
        <f t="shared" si="236"/>
        <v>0</v>
      </c>
      <c r="ACT17" s="992">
        <f t="shared" si="236"/>
        <v>0</v>
      </c>
      <c r="ACU17" s="992">
        <f t="shared" si="236"/>
        <v>0</v>
      </c>
      <c r="ACV17" s="992">
        <f t="shared" si="236"/>
        <v>0</v>
      </c>
      <c r="ACW17" s="992">
        <f t="shared" ref="ACW17" si="237">IFERROR(IF(OR(ACW13="",ACW13=0,ACW13="n/a",ACW14="",ACW14=0,ACW13="n/a",ACW14=ACW13),0,ACW13/ACW14-1),0)</f>
        <v>-2.0265730782254021E-3</v>
      </c>
      <c r="ACX17" s="1004"/>
      <c r="ACY17" s="1004"/>
      <c r="ACZ17" s="1004"/>
      <c r="ADA17" s="997">
        <f t="shared" ref="ADA17:ADP17" si="238">IFERROR(IF(OR(ADA13="",ADA13=0,ADA13="n/a",ADA14="",ADA14=0,ADA13="n/a",ADA14=ADA13),0,ADA14-ADA13),0)</f>
        <v>0</v>
      </c>
      <c r="ADB17" s="997">
        <f t="shared" si="238"/>
        <v>0</v>
      </c>
      <c r="ADC17" s="997">
        <f t="shared" si="238"/>
        <v>0</v>
      </c>
      <c r="ADD17" s="997">
        <f t="shared" si="238"/>
        <v>0</v>
      </c>
      <c r="ADE17" s="997">
        <f t="shared" si="238"/>
        <v>0</v>
      </c>
      <c r="ADF17" s="997">
        <f t="shared" si="238"/>
        <v>0</v>
      </c>
      <c r="ADG17" s="997">
        <f t="shared" si="238"/>
        <v>0</v>
      </c>
      <c r="ADH17" s="997">
        <f t="shared" si="238"/>
        <v>0</v>
      </c>
      <c r="ADI17" s="997">
        <f t="shared" si="238"/>
        <v>0</v>
      </c>
      <c r="ADJ17" s="997">
        <f t="shared" si="238"/>
        <v>0</v>
      </c>
      <c r="ADK17" s="997">
        <f t="shared" si="238"/>
        <v>0</v>
      </c>
      <c r="ADL17" s="997">
        <f t="shared" si="238"/>
        <v>0</v>
      </c>
      <c r="ADM17" s="997">
        <f t="shared" si="238"/>
        <v>0</v>
      </c>
      <c r="ADN17" s="997">
        <f t="shared" si="238"/>
        <v>0</v>
      </c>
      <c r="ADO17" s="997">
        <f t="shared" si="238"/>
        <v>0</v>
      </c>
      <c r="ADP17" s="997">
        <f t="shared" si="238"/>
        <v>0</v>
      </c>
      <c r="ADQ17" s="1004"/>
      <c r="ADR17" s="992">
        <f t="shared" ref="ADR17" si="239">IFERROR(IF(OR(ADR13="",ADR13=0,ADR13="n/a",ADR14="",ADR14=0,ADR13="n/a",ADR14=ADR13),0,ADR13/ADR14-1),0)</f>
        <v>0</v>
      </c>
      <c r="ADS17" s="1002">
        <f t="shared" ref="ADS17:AFV17" si="240">IFERROR(IF(OR(ADS13="",ADS13=0,ADS13="n/a",ADS14="",ADS14=0,ADS13="n/a",ADS14=ADS13),0,ADS14-ADS13),0)</f>
        <v>0</v>
      </c>
      <c r="ADT17" s="1002">
        <f t="shared" si="240"/>
        <v>0</v>
      </c>
      <c r="ADU17" s="996">
        <f t="shared" si="240"/>
        <v>0</v>
      </c>
      <c r="ADV17" s="1002">
        <f t="shared" si="240"/>
        <v>0</v>
      </c>
      <c r="ADW17" s="1002">
        <f t="shared" si="240"/>
        <v>0</v>
      </c>
      <c r="ADX17" s="1002">
        <f t="shared" si="240"/>
        <v>0</v>
      </c>
      <c r="ADY17" s="1002">
        <f t="shared" si="240"/>
        <v>0</v>
      </c>
      <c r="ADZ17" s="1002">
        <f t="shared" si="240"/>
        <v>0</v>
      </c>
      <c r="AEA17" s="1004"/>
      <c r="AEB17" s="997">
        <f t="shared" ref="AEB17:AEK17" si="241">IFERROR(IF(OR(AEB13="",AEB13=0,AEB13="n/a",AEB14="",AEB14=0,AEB13="n/a",AEB14=AEB13),0,AEB14-AEB13),0)</f>
        <v>0</v>
      </c>
      <c r="AEC17" s="997">
        <f t="shared" si="241"/>
        <v>0</v>
      </c>
      <c r="AED17" s="997">
        <f t="shared" si="241"/>
        <v>0</v>
      </c>
      <c r="AEE17" s="997">
        <f t="shared" si="241"/>
        <v>0</v>
      </c>
      <c r="AEF17" s="997">
        <f t="shared" si="241"/>
        <v>0</v>
      </c>
      <c r="AEG17" s="997">
        <f t="shared" si="241"/>
        <v>0</v>
      </c>
      <c r="AEH17" s="997">
        <f t="shared" si="241"/>
        <v>0</v>
      </c>
      <c r="AEI17" s="997">
        <f t="shared" si="241"/>
        <v>0</v>
      </c>
      <c r="AEJ17" s="997">
        <f t="shared" si="241"/>
        <v>0</v>
      </c>
      <c r="AEK17" s="997">
        <f t="shared" si="241"/>
        <v>0</v>
      </c>
      <c r="AEL17" s="1004"/>
      <c r="AEM17" s="992">
        <f t="shared" ref="AEM17:AEW17" si="242">IFERROR(IF(OR(AEM13="",AEM13=0,AEM13="n/a",AEM14="",AEM14=0,AEM13="n/a",AEM14=AEM13),0,AEM13/AEM14-1),0)</f>
        <v>0</v>
      </c>
      <c r="AEN17" s="992">
        <f t="shared" si="242"/>
        <v>0</v>
      </c>
      <c r="AEO17" s="992">
        <f t="shared" si="242"/>
        <v>0</v>
      </c>
      <c r="AEP17" s="992">
        <f t="shared" si="242"/>
        <v>0</v>
      </c>
      <c r="AEQ17" s="992">
        <f t="shared" si="242"/>
        <v>0</v>
      </c>
      <c r="AER17" s="992">
        <f t="shared" si="242"/>
        <v>0</v>
      </c>
      <c r="AES17" s="992">
        <f t="shared" si="242"/>
        <v>0</v>
      </c>
      <c r="AET17" s="992">
        <f t="shared" si="242"/>
        <v>0</v>
      </c>
      <c r="AEU17" s="992">
        <f t="shared" si="242"/>
        <v>0</v>
      </c>
      <c r="AEV17" s="992">
        <f t="shared" si="242"/>
        <v>0</v>
      </c>
      <c r="AEW17" s="992">
        <f t="shared" si="242"/>
        <v>0</v>
      </c>
      <c r="AEX17" s="1004"/>
      <c r="AEY17" s="992">
        <f t="shared" ref="AEY17" si="243">IFERROR(IF(OR(AEY13="",AEY13=0,AEY13="n/a",AEY14="",AEY14=0,AEY13="n/a",AEY14=AEY13),0,AEY13/AEY14-1),0)</f>
        <v>1.541010422401623E-2</v>
      </c>
      <c r="AEZ17" s="992">
        <f t="shared" ref="AEZ17:AFI17" si="244">IFERROR(IF(OR(AEZ13="",AEZ13=0,AEZ13="n/a",AEZ14="",AEZ14=0,AEZ13="n/a",AEZ14=AEZ13),0,AEZ13/AEZ14-1),0)</f>
        <v>1.5410104224016452E-2</v>
      </c>
      <c r="AFA17" s="992">
        <f t="shared" si="244"/>
        <v>1.541010422401623E-2</v>
      </c>
      <c r="AFB17" s="992">
        <f t="shared" si="244"/>
        <v>1.5410104224016008E-2</v>
      </c>
      <c r="AFC17" s="992">
        <f t="shared" si="244"/>
        <v>1.541010422401623E-2</v>
      </c>
      <c r="AFD17" s="992">
        <f t="shared" si="244"/>
        <v>1.541010422401623E-2</v>
      </c>
      <c r="AFE17" s="992">
        <f t="shared" si="244"/>
        <v>1.541010422401623E-2</v>
      </c>
      <c r="AFF17" s="992">
        <f t="shared" si="244"/>
        <v>1.541010422401623E-2</v>
      </c>
      <c r="AFG17" s="992">
        <f t="shared" si="244"/>
        <v>1.5410104224016008E-2</v>
      </c>
      <c r="AFH17" s="992">
        <f t="shared" si="244"/>
        <v>-1.4320371800562448E-2</v>
      </c>
      <c r="AFI17" s="992">
        <f t="shared" si="244"/>
        <v>1.3179370837401283E-2</v>
      </c>
      <c r="AFJ17" s="1004"/>
      <c r="AFK17" s="992">
        <f t="shared" ref="AFK17:AFU17" si="245">IFERROR(IF(OR(AFK13="",AFK13=0,AFK13="n/a",AFK14="",AFK14=0,AFK13="n/a",AFK14=AFK13),0,AFK13/AFK14-1),0)</f>
        <v>1.541010422401623E-2</v>
      </c>
      <c r="AFL17" s="992">
        <f t="shared" si="245"/>
        <v>1.5410104224016452E-2</v>
      </c>
      <c r="AFM17" s="992">
        <f t="shared" si="245"/>
        <v>1.541010422401623E-2</v>
      </c>
      <c r="AFN17" s="992">
        <f t="shared" si="245"/>
        <v>1.5410104224016008E-2</v>
      </c>
      <c r="AFO17" s="992">
        <f t="shared" si="245"/>
        <v>1.541010422401623E-2</v>
      </c>
      <c r="AFP17" s="992">
        <f t="shared" si="245"/>
        <v>1.541010422401623E-2</v>
      </c>
      <c r="AFQ17" s="992">
        <f t="shared" si="245"/>
        <v>1.541010422401623E-2</v>
      </c>
      <c r="AFR17" s="992">
        <f t="shared" si="245"/>
        <v>1.541010422401623E-2</v>
      </c>
      <c r="AFS17" s="992">
        <f t="shared" si="245"/>
        <v>1.5410104224016008E-2</v>
      </c>
      <c r="AFT17" s="992">
        <f t="shared" si="245"/>
        <v>-1.4320371800562448E-2</v>
      </c>
      <c r="AFU17" s="992">
        <f t="shared" si="245"/>
        <v>1.3179370837401283E-2</v>
      </c>
      <c r="AFV17" s="997">
        <f t="shared" si="240"/>
        <v>-1.7639204033707279E-3</v>
      </c>
      <c r="AFW17" s="1004"/>
      <c r="AFX17" s="996">
        <f t="shared" ref="AFX17" si="246">IFERROR(IF(OR(AFX13="",AFX13=0,AFX13="n/a",AFX14="",AFX14=0,AFX13="n/a",AFX14=AFX13),0,AFX14-AFX13),0)</f>
        <v>0</v>
      </c>
      <c r="AFY17" s="1004"/>
      <c r="AFZ17" s="992">
        <f t="shared" ref="AFZ17:AGD17" si="247">IFERROR(IF(OR(AFZ13="",AFZ13=0,AFZ13="n/a",AFZ14="",AFZ14=0,AFZ13="n/a",AFZ14=AFZ13),0,AFZ13/AFZ14-1),0)</f>
        <v>4.4481872557275981E-3</v>
      </c>
      <c r="AGA17" s="992">
        <f t="shared" si="247"/>
        <v>4.4481872557275981E-3</v>
      </c>
      <c r="AGB17" s="992">
        <f t="shared" si="247"/>
        <v>1.2599104326326271E-2</v>
      </c>
      <c r="AGC17" s="992">
        <f t="shared" si="247"/>
        <v>1.1525999510495932E-2</v>
      </c>
      <c r="AGD17" s="992">
        <f t="shared" si="247"/>
        <v>-7.6931786265973745E-2</v>
      </c>
      <c r="AGE17" s="1004"/>
      <c r="AGF17" s="992">
        <f t="shared" ref="AGF17:AGJ17" si="248">IFERROR(IF(OR(AGF13="",AGF13=0,AGF13="n/a",AGF14="",AGF14=0,AGF13="n/a",AGF14=AGF13),0,AGF13/AGF14-1),0)</f>
        <v>5.2716951132338874E-3</v>
      </c>
      <c r="AGG17" s="992">
        <f t="shared" si="248"/>
        <v>5.2716951132338874E-3</v>
      </c>
      <c r="AGH17" s="992">
        <f t="shared" si="248"/>
        <v>2.0232550516339209E-2</v>
      </c>
      <c r="AGI17" s="992">
        <f t="shared" si="248"/>
        <v>3.9753483766657993E-3</v>
      </c>
      <c r="AGJ17" s="992">
        <f t="shared" si="248"/>
        <v>-7.3712218638644078E-2</v>
      </c>
      <c r="AGK17" s="1004"/>
      <c r="AGL17" s="1004"/>
      <c r="AGM17" s="997">
        <f t="shared" ref="AGM17:AIB17" si="249">IFERROR(IF(OR(AGM13="",AGM13=0,AGM13="n/a",AGM14="",AGM14=0,AGM13="n/a",AGM14=AGM13),0,AGM14-AGM13),0)</f>
        <v>0</v>
      </c>
      <c r="AGN17" s="997">
        <f t="shared" si="249"/>
        <v>0</v>
      </c>
      <c r="AGO17" s="997">
        <f t="shared" si="249"/>
        <v>0</v>
      </c>
      <c r="AGP17" s="997">
        <f t="shared" si="249"/>
        <v>0</v>
      </c>
      <c r="AGQ17" s="997">
        <f t="shared" si="249"/>
        <v>0</v>
      </c>
      <c r="AGR17" s="997">
        <f t="shared" si="249"/>
        <v>1.0503014565399482E-2</v>
      </c>
      <c r="AGS17" s="997">
        <f t="shared" si="249"/>
        <v>0</v>
      </c>
      <c r="AGT17" s="997">
        <f t="shared" si="249"/>
        <v>0</v>
      </c>
      <c r="AGU17" s="997">
        <f t="shared" si="249"/>
        <v>0</v>
      </c>
      <c r="AGV17" s="997">
        <f t="shared" si="249"/>
        <v>0</v>
      </c>
      <c r="AGW17" s="997">
        <f t="shared" si="249"/>
        <v>0</v>
      </c>
      <c r="AGX17" s="997">
        <f t="shared" si="249"/>
        <v>0</v>
      </c>
      <c r="AGY17" s="997">
        <f t="shared" si="249"/>
        <v>0</v>
      </c>
      <c r="AGZ17" s="997">
        <f t="shared" si="249"/>
        <v>0</v>
      </c>
      <c r="AHA17" s="997">
        <f t="shared" si="249"/>
        <v>0</v>
      </c>
      <c r="AHB17" s="997">
        <f t="shared" si="249"/>
        <v>0</v>
      </c>
      <c r="AHC17" s="997">
        <f t="shared" si="249"/>
        <v>0</v>
      </c>
      <c r="AHD17" s="1004"/>
      <c r="AHE17" s="996">
        <f t="shared" si="249"/>
        <v>0</v>
      </c>
      <c r="AHF17" s="996">
        <f t="shared" si="249"/>
        <v>0</v>
      </c>
      <c r="AHG17" s="996">
        <f t="shared" si="249"/>
        <v>0</v>
      </c>
      <c r="AHH17" s="996">
        <f t="shared" si="249"/>
        <v>0</v>
      </c>
      <c r="AHI17" s="996">
        <f t="shared" si="249"/>
        <v>0</v>
      </c>
      <c r="AHJ17" s="996">
        <f t="shared" si="249"/>
        <v>0</v>
      </c>
      <c r="AHK17" s="996">
        <f t="shared" si="249"/>
        <v>0</v>
      </c>
      <c r="AHL17" s="996">
        <f t="shared" si="249"/>
        <v>0</v>
      </c>
      <c r="AHM17" s="996">
        <f t="shared" si="249"/>
        <v>0</v>
      </c>
      <c r="AHN17" s="996">
        <f t="shared" si="249"/>
        <v>0</v>
      </c>
      <c r="AHO17" s="996">
        <f t="shared" si="249"/>
        <v>0</v>
      </c>
      <c r="AHP17" s="996">
        <f t="shared" si="249"/>
        <v>0</v>
      </c>
      <c r="AHQ17" s="1004"/>
      <c r="AHR17" s="997">
        <f t="shared" si="249"/>
        <v>1.3000000000000095E-3</v>
      </c>
      <c r="AHS17" s="997">
        <f t="shared" si="249"/>
        <v>1.3000000000000095E-3</v>
      </c>
      <c r="AHT17" s="997">
        <f t="shared" si="249"/>
        <v>1.3000000000000095E-3</v>
      </c>
      <c r="AHU17" s="997">
        <f t="shared" si="249"/>
        <v>1.3000000000000095E-3</v>
      </c>
      <c r="AHV17" s="997">
        <f t="shared" si="249"/>
        <v>1.3000000000000095E-3</v>
      </c>
      <c r="AHW17" s="997">
        <f t="shared" si="249"/>
        <v>1.3000000000000095E-3</v>
      </c>
      <c r="AHX17" s="997">
        <f t="shared" si="249"/>
        <v>1.3000000000000095E-3</v>
      </c>
      <c r="AHY17" s="997">
        <f t="shared" si="249"/>
        <v>1.3000000000000095E-3</v>
      </c>
      <c r="AHZ17" s="997">
        <f t="shared" si="249"/>
        <v>1.3000000000000095E-3</v>
      </c>
      <c r="AIA17" s="997">
        <f t="shared" si="249"/>
        <v>1.3000000000000095E-3</v>
      </c>
      <c r="AIB17" s="997">
        <f t="shared" si="249"/>
        <v>1.3000000000000095E-3</v>
      </c>
    </row>
    <row r="18" spans="1:912" s="1005" customFormat="1" ht="15" customHeight="1" x14ac:dyDescent="0.45">
      <c r="A18" s="993" t="s">
        <v>232</v>
      </c>
      <c r="B18" s="994">
        <f>IFERROR(IF(B15=B13,0,"Delta"),"Update!")</f>
        <v>0</v>
      </c>
      <c r="C18" s="994">
        <f>IFERROR(IF(OR(C13="",C13=0,C13="n/a",C15="",C15=0,C13="n/a",C15=C13),0,"Delta"),0)</f>
        <v>0</v>
      </c>
      <c r="D18" s="994">
        <f t="shared" ref="D18:P18" si="250">IFERROR(IF(OR(D13="",D13=0,D13="n/a",D15="",D15=0,D13="n/a",D15=D13),0,"Delta"),0)</f>
        <v>0</v>
      </c>
      <c r="E18" s="994">
        <f t="shared" si="250"/>
        <v>0</v>
      </c>
      <c r="F18" s="994">
        <f t="shared" si="250"/>
        <v>0</v>
      </c>
      <c r="G18" s="994">
        <f t="shared" si="250"/>
        <v>0</v>
      </c>
      <c r="H18" s="994">
        <f t="shared" si="250"/>
        <v>0</v>
      </c>
      <c r="I18" s="994">
        <f t="shared" si="250"/>
        <v>0</v>
      </c>
      <c r="J18" s="994">
        <f t="shared" si="250"/>
        <v>0</v>
      </c>
      <c r="K18" s="994">
        <f t="shared" si="250"/>
        <v>0</v>
      </c>
      <c r="L18" s="994">
        <f t="shared" si="250"/>
        <v>0</v>
      </c>
      <c r="M18" s="994">
        <f t="shared" si="250"/>
        <v>0</v>
      </c>
      <c r="N18" s="994">
        <f t="shared" si="250"/>
        <v>0</v>
      </c>
      <c r="O18" s="994">
        <f t="shared" si="250"/>
        <v>0</v>
      </c>
      <c r="P18" s="994">
        <f t="shared" si="250"/>
        <v>0</v>
      </c>
      <c r="Q18" s="995"/>
      <c r="R18" s="992">
        <f t="shared" ref="R18:W18" si="251">IFERROR(IF(OR(R13="",R13=0,R13="n/a",R15="",R15=0,R13="n/a",R15=R13),0,R13/R15-1),0)</f>
        <v>-6.9452036580140875E-2</v>
      </c>
      <c r="S18" s="992">
        <f t="shared" si="251"/>
        <v>0</v>
      </c>
      <c r="T18" s="992">
        <f t="shared" si="251"/>
        <v>0</v>
      </c>
      <c r="U18" s="992">
        <f t="shared" si="251"/>
        <v>0</v>
      </c>
      <c r="V18" s="992">
        <f t="shared" si="251"/>
        <v>0</v>
      </c>
      <c r="W18" s="992">
        <f t="shared" si="251"/>
        <v>0</v>
      </c>
      <c r="X18" s="995"/>
      <c r="Y18" s="996">
        <f t="shared" ref="Y18:CD18" si="252">IFERROR(IF(OR(Y13="",Y13=0,Y13="n/a",Y15="",Y15=0,Y13="n/a",Y15=Y13),0,Y15-Y13),0)</f>
        <v>0</v>
      </c>
      <c r="Z18" s="996">
        <f t="shared" si="252"/>
        <v>0</v>
      </c>
      <c r="AA18" s="996">
        <f t="shared" si="252"/>
        <v>0</v>
      </c>
      <c r="AB18" s="995"/>
      <c r="AC18" s="996">
        <f t="shared" si="252"/>
        <v>8.8678399999998874</v>
      </c>
      <c r="AD18" s="996">
        <f t="shared" si="252"/>
        <v>-1.6600000000033255E-5</v>
      </c>
      <c r="AE18" s="992">
        <f t="shared" ref="AE18" si="253">IFERROR(IF(OR(AE13="",AE13=0,AE13="n/a",AE15="",AE15=0,AE13="n/a",AE15=AE13),0,AE13/AE15-1),0)</f>
        <v>-7.2702853901934428E-2</v>
      </c>
      <c r="AF18" s="996">
        <f t="shared" si="252"/>
        <v>0</v>
      </c>
      <c r="AG18" s="995"/>
      <c r="AH18" s="992">
        <f t="shared" ref="AH18:AN18" si="254">IFERROR(IF(OR(AH13="",AH13=0,AH13="n/a",AH15="",AH15=0,AH13="n/a",AH15=AH13),0,AH13/AH15-1),0)</f>
        <v>0</v>
      </c>
      <c r="AI18" s="992">
        <f t="shared" si="254"/>
        <v>0</v>
      </c>
      <c r="AJ18" s="992">
        <f t="shared" si="254"/>
        <v>0.12877891329797353</v>
      </c>
      <c r="AK18" s="992">
        <f t="shared" si="254"/>
        <v>0</v>
      </c>
      <c r="AL18" s="992">
        <f t="shared" si="254"/>
        <v>0</v>
      </c>
      <c r="AM18" s="992">
        <f t="shared" si="254"/>
        <v>0</v>
      </c>
      <c r="AN18" s="992">
        <f t="shared" si="254"/>
        <v>0</v>
      </c>
      <c r="AO18" s="995"/>
      <c r="AP18" s="996">
        <f t="shared" si="252"/>
        <v>0</v>
      </c>
      <c r="AQ18" s="996">
        <f t="shared" si="252"/>
        <v>0</v>
      </c>
      <c r="AR18" s="995"/>
      <c r="AS18" s="996">
        <f t="shared" si="252"/>
        <v>0</v>
      </c>
      <c r="AT18" s="996">
        <f t="shared" si="252"/>
        <v>0</v>
      </c>
      <c r="AU18" s="995"/>
      <c r="AV18" s="992">
        <f t="shared" ref="AV18:BM18" si="255">IFERROR(IF(OR(AV13="",AV13=0,AV13="n/a",AV15="",AV15=0,AV13="n/a",AV15=AV13),0,AV13/AV15-1),0)</f>
        <v>0</v>
      </c>
      <c r="AW18" s="992">
        <f t="shared" si="255"/>
        <v>0</v>
      </c>
      <c r="AX18" s="992">
        <f t="shared" si="255"/>
        <v>0</v>
      </c>
      <c r="AY18" s="992">
        <f t="shared" si="255"/>
        <v>-7.2555817842037906E-2</v>
      </c>
      <c r="AZ18" s="992">
        <f t="shared" si="255"/>
        <v>-7.2555817842037906E-2</v>
      </c>
      <c r="BA18" s="992">
        <f t="shared" si="255"/>
        <v>-7.2846079181876355E-2</v>
      </c>
      <c r="BB18" s="992">
        <f t="shared" si="255"/>
        <v>-7.2555368312705371E-2</v>
      </c>
      <c r="BC18" s="992">
        <f t="shared" si="255"/>
        <v>-7.2555368312705371E-2</v>
      </c>
      <c r="BD18" s="992">
        <f t="shared" si="255"/>
        <v>-7.1422625953795671E-2</v>
      </c>
      <c r="BE18" s="992">
        <f t="shared" si="255"/>
        <v>-6.9452137132989256E-2</v>
      </c>
      <c r="BF18" s="992">
        <f t="shared" si="255"/>
        <v>-6.9452137132989256E-2</v>
      </c>
      <c r="BG18" s="992">
        <f t="shared" si="255"/>
        <v>-7.0470095834844537E-2</v>
      </c>
      <c r="BH18" s="992">
        <f t="shared" si="255"/>
        <v>-6.9451924099525719E-2</v>
      </c>
      <c r="BI18" s="992">
        <f t="shared" si="255"/>
        <v>-6.9451924099525719E-2</v>
      </c>
      <c r="BJ18" s="992">
        <f t="shared" si="255"/>
        <v>-8.865061742822633E-2</v>
      </c>
      <c r="BK18" s="992">
        <f t="shared" si="255"/>
        <v>-6.9452566921102799E-2</v>
      </c>
      <c r="BL18" s="992">
        <f t="shared" si="255"/>
        <v>-6.9452566921102799E-2</v>
      </c>
      <c r="BM18" s="992">
        <f t="shared" si="255"/>
        <v>-6.9839191413868407E-2</v>
      </c>
      <c r="BN18" s="995"/>
      <c r="BO18" s="997">
        <f t="shared" si="252"/>
        <v>0</v>
      </c>
      <c r="BP18" s="997">
        <f t="shared" si="252"/>
        <v>0</v>
      </c>
      <c r="BQ18" s="997">
        <f t="shared" si="252"/>
        <v>0</v>
      </c>
      <c r="BR18" s="997">
        <f t="shared" si="252"/>
        <v>0</v>
      </c>
      <c r="BS18" s="995"/>
      <c r="BT18" s="997">
        <f t="shared" si="252"/>
        <v>0</v>
      </c>
      <c r="BU18" s="996">
        <f t="shared" si="252"/>
        <v>0</v>
      </c>
      <c r="BV18" s="996">
        <f t="shared" si="252"/>
        <v>0</v>
      </c>
      <c r="BW18" s="996">
        <f t="shared" si="252"/>
        <v>0</v>
      </c>
      <c r="BX18" s="996">
        <f t="shared" si="252"/>
        <v>0</v>
      </c>
      <c r="BY18" s="996">
        <f t="shared" si="252"/>
        <v>0</v>
      </c>
      <c r="BZ18" s="996">
        <f t="shared" si="252"/>
        <v>0</v>
      </c>
      <c r="CA18" s="996">
        <f t="shared" si="252"/>
        <v>0</v>
      </c>
      <c r="CB18" s="996">
        <f t="shared" si="252"/>
        <v>0</v>
      </c>
      <c r="CC18" s="996">
        <f t="shared" si="252"/>
        <v>0</v>
      </c>
      <c r="CD18" s="996">
        <f t="shared" si="252"/>
        <v>0</v>
      </c>
      <c r="CE18" s="996">
        <f t="shared" ref="CE18:EK18" si="256">IFERROR(IF(OR(CE13="",CE13=0,CE13="n/a",CE15="",CE15=0,CE13="n/a",CE15=CE13),0,CE15-CE13),0)</f>
        <v>0</v>
      </c>
      <c r="CF18" s="995"/>
      <c r="CG18" s="996">
        <f t="shared" si="256"/>
        <v>0</v>
      </c>
      <c r="CH18" s="996">
        <f t="shared" si="256"/>
        <v>0</v>
      </c>
      <c r="CI18" s="996">
        <f t="shared" si="256"/>
        <v>-8</v>
      </c>
      <c r="CJ18" s="995"/>
      <c r="CK18" s="996">
        <f t="shared" si="256"/>
        <v>0</v>
      </c>
      <c r="CL18" s="996">
        <f t="shared" si="256"/>
        <v>0</v>
      </c>
      <c r="CM18" s="996">
        <f t="shared" si="256"/>
        <v>0</v>
      </c>
      <c r="CN18" s="996">
        <f t="shared" si="256"/>
        <v>0</v>
      </c>
      <c r="CO18" s="996">
        <f t="shared" si="256"/>
        <v>0</v>
      </c>
      <c r="CP18" s="996">
        <f t="shared" si="256"/>
        <v>0</v>
      </c>
      <c r="CQ18" s="996">
        <f t="shared" si="256"/>
        <v>0</v>
      </c>
      <c r="CR18" s="996">
        <f t="shared" si="256"/>
        <v>0</v>
      </c>
      <c r="CS18" s="996">
        <f t="shared" si="256"/>
        <v>0</v>
      </c>
      <c r="CT18" s="996">
        <f t="shared" si="256"/>
        <v>0</v>
      </c>
      <c r="CU18" s="998" t="s">
        <v>24</v>
      </c>
      <c r="CV18" s="992">
        <f t="shared" ref="CV18:DF18" si="257">IFERROR(IF(OR(CV13="",CV13=0,CV13="n/a",CV15="",CV15=0,CV13="n/a",CV15=CV13),0,CV13/CV15-1),0)</f>
        <v>0</v>
      </c>
      <c r="CW18" s="992">
        <f t="shared" si="257"/>
        <v>0</v>
      </c>
      <c r="CX18" s="992">
        <f t="shared" si="257"/>
        <v>0</v>
      </c>
      <c r="CY18" s="992">
        <f t="shared" si="257"/>
        <v>0</v>
      </c>
      <c r="CZ18" s="992">
        <f t="shared" si="257"/>
        <v>0</v>
      </c>
      <c r="DA18" s="992">
        <f t="shared" si="257"/>
        <v>0</v>
      </c>
      <c r="DB18" s="992">
        <f t="shared" si="257"/>
        <v>0</v>
      </c>
      <c r="DC18" s="992">
        <f t="shared" si="257"/>
        <v>0</v>
      </c>
      <c r="DD18" s="992">
        <f t="shared" si="257"/>
        <v>0</v>
      </c>
      <c r="DE18" s="992">
        <f t="shared" si="257"/>
        <v>0</v>
      </c>
      <c r="DF18" s="992">
        <f t="shared" si="257"/>
        <v>0</v>
      </c>
      <c r="DG18" s="998" t="s">
        <v>24</v>
      </c>
      <c r="DH18" s="996">
        <f t="shared" si="256"/>
        <v>0</v>
      </c>
      <c r="DI18" s="996">
        <f t="shared" si="256"/>
        <v>0</v>
      </c>
      <c r="DJ18" s="996">
        <f t="shared" si="256"/>
        <v>0</v>
      </c>
      <c r="DK18" s="996">
        <f t="shared" si="256"/>
        <v>0</v>
      </c>
      <c r="DL18" s="996">
        <f t="shared" si="256"/>
        <v>0</v>
      </c>
      <c r="DM18" s="996">
        <f t="shared" si="256"/>
        <v>0</v>
      </c>
      <c r="DN18" s="996">
        <f t="shared" si="256"/>
        <v>0</v>
      </c>
      <c r="DO18" s="996">
        <f t="shared" si="256"/>
        <v>0</v>
      </c>
      <c r="DP18" s="996">
        <f t="shared" si="256"/>
        <v>0</v>
      </c>
      <c r="DQ18" s="996">
        <f t="shared" si="256"/>
        <v>0</v>
      </c>
      <c r="DR18" s="998" t="s">
        <v>24</v>
      </c>
      <c r="DS18" s="992">
        <f t="shared" ref="DS18:EC18" si="258">IFERROR(IF(OR(DS13="",DS13=0,DS13="n/a",DS15="",DS15=0,DS13="n/a",DS15=DS13),0,DS13/DS15-1),0)</f>
        <v>0</v>
      </c>
      <c r="DT18" s="992">
        <f t="shared" si="258"/>
        <v>0</v>
      </c>
      <c r="DU18" s="992">
        <f t="shared" si="258"/>
        <v>0</v>
      </c>
      <c r="DV18" s="992">
        <f t="shared" si="258"/>
        <v>0</v>
      </c>
      <c r="DW18" s="992">
        <f t="shared" si="258"/>
        <v>0</v>
      </c>
      <c r="DX18" s="992">
        <f t="shared" si="258"/>
        <v>0</v>
      </c>
      <c r="DY18" s="992">
        <f t="shared" si="258"/>
        <v>0</v>
      </c>
      <c r="DZ18" s="992">
        <f t="shared" si="258"/>
        <v>0</v>
      </c>
      <c r="EA18" s="992">
        <f t="shared" si="258"/>
        <v>0</v>
      </c>
      <c r="EB18" s="992">
        <f t="shared" si="258"/>
        <v>0</v>
      </c>
      <c r="EC18" s="992">
        <f t="shared" si="258"/>
        <v>0</v>
      </c>
      <c r="ED18" s="998" t="s">
        <v>24</v>
      </c>
      <c r="EE18" s="996">
        <f t="shared" si="256"/>
        <v>0</v>
      </c>
      <c r="EF18" s="996">
        <f t="shared" si="256"/>
        <v>0</v>
      </c>
      <c r="EG18" s="996">
        <f t="shared" si="256"/>
        <v>0</v>
      </c>
      <c r="EH18" s="996">
        <f t="shared" si="256"/>
        <v>0</v>
      </c>
      <c r="EI18" s="996">
        <f t="shared" si="256"/>
        <v>0</v>
      </c>
      <c r="EJ18" s="996">
        <f t="shared" si="256"/>
        <v>0</v>
      </c>
      <c r="EK18" s="996">
        <f t="shared" si="256"/>
        <v>0</v>
      </c>
      <c r="EL18" s="998" t="s">
        <v>24</v>
      </c>
      <c r="EM18" s="992">
        <f t="shared" ref="EM18:ER18" si="259">IFERROR(IF(OR(EM13="",EM13=0,EM13="n/a",EM15="",EM15=0,EM13="n/a",EM15=EM13),0,EM13/EM15-1),0)</f>
        <v>3.1889795245598762E-5</v>
      </c>
      <c r="EN18" s="992">
        <f t="shared" si="259"/>
        <v>-3.6883541892995808E-4</v>
      </c>
      <c r="EO18" s="992">
        <f t="shared" si="259"/>
        <v>-9.1626544036926827E-4</v>
      </c>
      <c r="EP18" s="992">
        <f t="shared" si="259"/>
        <v>0</v>
      </c>
      <c r="EQ18" s="992">
        <f t="shared" si="259"/>
        <v>0</v>
      </c>
      <c r="ER18" s="992">
        <f t="shared" si="259"/>
        <v>0</v>
      </c>
      <c r="ES18" s="998" t="s">
        <v>24</v>
      </c>
      <c r="ET18" s="996">
        <f t="shared" ref="ET18:HB18" si="260">IFERROR(IF(OR(ET13="",ET13=0,ET13="n/a",ET15="",ET15=0,ET13="n/a",ET15=ET13),0,ET15-ET13),0)</f>
        <v>0</v>
      </c>
      <c r="EU18" s="992">
        <f t="shared" ref="EU18:FE18" si="261">IFERROR(IF(OR(EU13="",EU13=0,EU13="n/a",EU15="",EU15=0,EU13="n/a",EU15=EU13),0,EU13/EU15-1),0)</f>
        <v>0</v>
      </c>
      <c r="EV18" s="992">
        <f t="shared" si="261"/>
        <v>0</v>
      </c>
      <c r="EW18" s="992">
        <f t="shared" si="261"/>
        <v>0</v>
      </c>
      <c r="EX18" s="992">
        <f t="shared" si="261"/>
        <v>0</v>
      </c>
      <c r="EY18" s="992">
        <f t="shared" si="261"/>
        <v>0</v>
      </c>
      <c r="EZ18" s="992">
        <f t="shared" si="261"/>
        <v>0</v>
      </c>
      <c r="FA18" s="992">
        <f t="shared" si="261"/>
        <v>0</v>
      </c>
      <c r="FB18" s="992">
        <f t="shared" si="261"/>
        <v>0</v>
      </c>
      <c r="FC18" s="992">
        <f t="shared" si="261"/>
        <v>0</v>
      </c>
      <c r="FD18" s="992">
        <f t="shared" si="261"/>
        <v>0</v>
      </c>
      <c r="FE18" s="992">
        <f t="shared" si="261"/>
        <v>0</v>
      </c>
      <c r="FF18" s="998" t="s">
        <v>24</v>
      </c>
      <c r="FG18" s="992">
        <f t="shared" ref="FG18:FI18" si="262">IFERROR(IF(OR(FG13="",FG13=0,FG13="n/a",FG15="",FG15=0,FG13="n/a",FG15=FG13),0,FG13/FG15-1),0)</f>
        <v>0</v>
      </c>
      <c r="FH18" s="992">
        <f t="shared" si="262"/>
        <v>0</v>
      </c>
      <c r="FI18" s="992">
        <f t="shared" si="262"/>
        <v>-6.9663756269733312E-4</v>
      </c>
      <c r="FJ18" s="998" t="s">
        <v>24</v>
      </c>
      <c r="FK18" s="992">
        <f t="shared" ref="FK18:FO18" si="263">IFERROR(IF(OR(FK13="",FK13=0,FK13="n/a",FK15="",FK15=0,FK13="n/a",FK15=FK13),0,FK13/FK15-1),0)</f>
        <v>-6.9663756269733312E-4</v>
      </c>
      <c r="FL18" s="992">
        <f t="shared" si="263"/>
        <v>-1.1614344505556096E-3</v>
      </c>
      <c r="FM18" s="992">
        <f t="shared" si="263"/>
        <v>6.1444320825325693E-3</v>
      </c>
      <c r="FN18" s="992">
        <f t="shared" si="263"/>
        <v>0</v>
      </c>
      <c r="FO18" s="992">
        <f t="shared" si="263"/>
        <v>0</v>
      </c>
      <c r="FP18" s="998" t="s">
        <v>24</v>
      </c>
      <c r="FQ18" s="996">
        <f t="shared" si="260"/>
        <v>0</v>
      </c>
      <c r="FR18" s="996">
        <f t="shared" si="260"/>
        <v>0</v>
      </c>
      <c r="FS18" s="996">
        <f t="shared" si="260"/>
        <v>0</v>
      </c>
      <c r="FT18" s="996">
        <f t="shared" si="260"/>
        <v>0</v>
      </c>
      <c r="FU18" s="996">
        <f t="shared" si="260"/>
        <v>0</v>
      </c>
      <c r="FV18" s="996">
        <f t="shared" si="260"/>
        <v>0</v>
      </c>
      <c r="FW18" s="996">
        <f t="shared" si="260"/>
        <v>0</v>
      </c>
      <c r="FX18" s="996">
        <f t="shared" si="260"/>
        <v>0</v>
      </c>
      <c r="FY18" s="996">
        <f t="shared" si="260"/>
        <v>0</v>
      </c>
      <c r="FZ18" s="996">
        <f t="shared" si="260"/>
        <v>0</v>
      </c>
      <c r="GA18" s="996">
        <f t="shared" si="260"/>
        <v>0</v>
      </c>
      <c r="GB18" s="996">
        <f t="shared" si="260"/>
        <v>0</v>
      </c>
      <c r="GC18" s="998" t="s">
        <v>24</v>
      </c>
      <c r="GD18" s="996">
        <f t="shared" si="260"/>
        <v>0</v>
      </c>
      <c r="GE18" s="996">
        <f t="shared" si="260"/>
        <v>0</v>
      </c>
      <c r="GF18" s="992">
        <f t="shared" ref="GF18" si="264">IFERROR(IF(OR(GF13="",GF13=0,GF13="n/a",GF15="",GF15=0,GF13="n/a",GF15=GF13),0,GF13/GF15-1),0)</f>
        <v>1.589009351982118E-2</v>
      </c>
      <c r="GG18" s="998" t="s">
        <v>24</v>
      </c>
      <c r="GH18" s="998" t="s">
        <v>24</v>
      </c>
      <c r="GI18" s="998" t="s">
        <v>24</v>
      </c>
      <c r="GJ18" s="996">
        <f t="shared" si="260"/>
        <v>0</v>
      </c>
      <c r="GK18" s="996">
        <f t="shared" si="260"/>
        <v>0</v>
      </c>
      <c r="GL18" s="996">
        <f t="shared" si="260"/>
        <v>0</v>
      </c>
      <c r="GM18" s="996">
        <f t="shared" si="260"/>
        <v>0</v>
      </c>
      <c r="GN18" s="996">
        <f t="shared" si="260"/>
        <v>0</v>
      </c>
      <c r="GO18" s="996">
        <f t="shared" si="260"/>
        <v>0</v>
      </c>
      <c r="GP18" s="996">
        <f t="shared" si="260"/>
        <v>0</v>
      </c>
      <c r="GQ18" s="996">
        <f t="shared" si="260"/>
        <v>0</v>
      </c>
      <c r="GR18" s="996">
        <f t="shared" si="260"/>
        <v>0</v>
      </c>
      <c r="GS18" s="996">
        <f t="shared" si="260"/>
        <v>0</v>
      </c>
      <c r="GT18" s="998" t="s">
        <v>24</v>
      </c>
      <c r="GU18" s="996">
        <f t="shared" si="260"/>
        <v>0</v>
      </c>
      <c r="GV18" s="996">
        <f t="shared" si="260"/>
        <v>0</v>
      </c>
      <c r="GW18" s="998" t="s">
        <v>24</v>
      </c>
      <c r="GX18" s="996">
        <f t="shared" si="260"/>
        <v>0</v>
      </c>
      <c r="GY18" s="998" t="s">
        <v>24</v>
      </c>
      <c r="GZ18" s="998" t="s">
        <v>24</v>
      </c>
      <c r="HA18" s="996">
        <f t="shared" si="260"/>
        <v>0</v>
      </c>
      <c r="HB18" s="996">
        <f t="shared" si="260"/>
        <v>0</v>
      </c>
      <c r="HC18" s="996">
        <f t="shared" ref="HC18:JM18" si="265">IFERROR(IF(OR(HC13="",HC13=0,HC13="n/a",HC15="",HC15=0,HC13="n/a",HC15=HC13),0,HC15-HC13),0)</f>
        <v>0</v>
      </c>
      <c r="HD18" s="996">
        <f t="shared" si="265"/>
        <v>0</v>
      </c>
      <c r="HE18" s="996">
        <f t="shared" si="265"/>
        <v>0</v>
      </c>
      <c r="HF18" s="996">
        <f t="shared" si="265"/>
        <v>0</v>
      </c>
      <c r="HG18" s="996">
        <f t="shared" si="265"/>
        <v>0</v>
      </c>
      <c r="HH18" s="996">
        <f t="shared" si="265"/>
        <v>0</v>
      </c>
      <c r="HI18" s="996">
        <f t="shared" si="265"/>
        <v>0</v>
      </c>
      <c r="HJ18" s="996">
        <f t="shared" si="265"/>
        <v>0</v>
      </c>
      <c r="HK18" s="996">
        <f t="shared" si="265"/>
        <v>0</v>
      </c>
      <c r="HL18" s="998" t="s">
        <v>24</v>
      </c>
      <c r="HM18" s="996">
        <f t="shared" si="265"/>
        <v>0</v>
      </c>
      <c r="HN18" s="996">
        <f t="shared" si="265"/>
        <v>0</v>
      </c>
      <c r="HO18" s="996">
        <f t="shared" si="265"/>
        <v>252</v>
      </c>
      <c r="HP18" s="998" t="s">
        <v>24</v>
      </c>
      <c r="HQ18" s="996">
        <f t="shared" si="265"/>
        <v>0</v>
      </c>
      <c r="HR18" s="998" t="s">
        <v>24</v>
      </c>
      <c r="HS18" s="997">
        <f t="shared" si="265"/>
        <v>4.7638121748927453E-4</v>
      </c>
      <c r="HT18" s="997">
        <f t="shared" si="265"/>
        <v>6.3728628388926012E-4</v>
      </c>
      <c r="HU18" s="997">
        <f t="shared" si="265"/>
        <v>-1.0549222558986493E-3</v>
      </c>
      <c r="HV18" s="997">
        <f t="shared" si="265"/>
        <v>0</v>
      </c>
      <c r="HW18" s="997">
        <f t="shared" si="265"/>
        <v>0</v>
      </c>
      <c r="HX18" s="998" t="s">
        <v>24</v>
      </c>
      <c r="HY18" s="996">
        <f t="shared" si="265"/>
        <v>0</v>
      </c>
      <c r="HZ18" s="997">
        <f t="shared" si="265"/>
        <v>-3.980772867051563E-5</v>
      </c>
      <c r="IA18" s="997">
        <f t="shared" si="265"/>
        <v>4.7638121748927453E-4</v>
      </c>
      <c r="IB18" s="997">
        <f t="shared" si="265"/>
        <v>6.3728628388926012E-4</v>
      </c>
      <c r="IC18" s="997">
        <f t="shared" si="265"/>
        <v>-1.0549222558986493E-3</v>
      </c>
      <c r="ID18" s="997">
        <f t="shared" si="265"/>
        <v>0</v>
      </c>
      <c r="IE18" s="998" t="s">
        <v>24</v>
      </c>
      <c r="IF18" s="997">
        <f t="shared" si="265"/>
        <v>-3.980772867051563E-5</v>
      </c>
      <c r="IG18" s="997">
        <f t="shared" si="265"/>
        <v>4.7638121748927453E-4</v>
      </c>
      <c r="IH18" s="997">
        <f t="shared" si="265"/>
        <v>6.3728628388926012E-4</v>
      </c>
      <c r="II18" s="997">
        <f t="shared" si="265"/>
        <v>-1.0549222558986493E-3</v>
      </c>
      <c r="IJ18" s="997">
        <f t="shared" si="265"/>
        <v>0</v>
      </c>
      <c r="IK18" s="998" t="s">
        <v>24</v>
      </c>
      <c r="IL18" s="997">
        <f t="shared" si="265"/>
        <v>1.0000000000000286E-4</v>
      </c>
      <c r="IM18" s="998" t="s">
        <v>24</v>
      </c>
      <c r="IN18" s="997">
        <f t="shared" si="265"/>
        <v>2.501140692887649E-4</v>
      </c>
      <c r="IO18" s="997">
        <f t="shared" si="265"/>
        <v>2.6919457413354664E-4</v>
      </c>
      <c r="IP18" s="997">
        <f t="shared" si="265"/>
        <v>-2.4159374433144198E-3</v>
      </c>
      <c r="IQ18" s="997">
        <f t="shared" si="265"/>
        <v>0</v>
      </c>
      <c r="IR18" s="997">
        <f t="shared" si="265"/>
        <v>0</v>
      </c>
      <c r="IS18" s="998" t="s">
        <v>24</v>
      </c>
      <c r="IT18" s="996">
        <f t="shared" si="265"/>
        <v>2.501140692887649E-4</v>
      </c>
      <c r="IU18" s="996">
        <f t="shared" si="265"/>
        <v>2.6919457413354664E-4</v>
      </c>
      <c r="IV18" s="996">
        <f t="shared" si="265"/>
        <v>-2.4159374433144198E-3</v>
      </c>
      <c r="IW18" s="998" t="s">
        <v>24</v>
      </c>
      <c r="IX18" s="996">
        <f t="shared" si="265"/>
        <v>0</v>
      </c>
      <c r="IY18" s="996">
        <f t="shared" si="265"/>
        <v>0</v>
      </c>
      <c r="IZ18" s="996">
        <f t="shared" si="265"/>
        <v>2.7755575615628914E-16</v>
      </c>
      <c r="JA18" s="996">
        <f t="shared" si="265"/>
        <v>0</v>
      </c>
      <c r="JB18" s="996">
        <f t="shared" si="265"/>
        <v>0</v>
      </c>
      <c r="JC18" s="996">
        <f t="shared" si="265"/>
        <v>0</v>
      </c>
      <c r="JD18" s="996">
        <f t="shared" si="265"/>
        <v>0</v>
      </c>
      <c r="JE18" s="996">
        <f t="shared" si="265"/>
        <v>0</v>
      </c>
      <c r="JF18" s="998" t="s">
        <v>24</v>
      </c>
      <c r="JG18" s="996">
        <f t="shared" ref="JG18" si="266">IFERROR(IF(OR(JG13="",JG13=0,JG13="n/a",JG15="",JG15=0,JG13="n/a",JG15=JG13),0,JG15-JG13),0)</f>
        <v>0</v>
      </c>
      <c r="JH18" s="998" t="s">
        <v>24</v>
      </c>
      <c r="JI18" s="996">
        <f t="shared" si="265"/>
        <v>0</v>
      </c>
      <c r="JJ18" s="996">
        <f t="shared" si="265"/>
        <v>0</v>
      </c>
      <c r="JK18" s="996">
        <f t="shared" si="265"/>
        <v>0</v>
      </c>
      <c r="JL18" s="996">
        <f t="shared" si="265"/>
        <v>0</v>
      </c>
      <c r="JM18" s="996">
        <f t="shared" si="265"/>
        <v>0</v>
      </c>
      <c r="JN18" s="998" t="s">
        <v>24</v>
      </c>
      <c r="JO18" s="996">
        <f t="shared" ref="JO18:JZ18" si="267">IFERROR(IF(OR(JO13="",JO13=0,JO13="n/a",JO15="",JO15=0,JO13="n/a",JO15=JO13),0,JO15-JO13),0)</f>
        <v>0</v>
      </c>
      <c r="JP18" s="996">
        <f t="shared" si="267"/>
        <v>0</v>
      </c>
      <c r="JQ18" s="996">
        <f t="shared" si="267"/>
        <v>0</v>
      </c>
      <c r="JR18" s="996">
        <f t="shared" si="267"/>
        <v>0</v>
      </c>
      <c r="JS18" s="996">
        <f t="shared" si="267"/>
        <v>0</v>
      </c>
      <c r="JT18" s="996">
        <f t="shared" si="267"/>
        <v>0</v>
      </c>
      <c r="JU18" s="996">
        <f t="shared" si="267"/>
        <v>0</v>
      </c>
      <c r="JV18" s="996">
        <f t="shared" si="267"/>
        <v>0</v>
      </c>
      <c r="JW18" s="996">
        <f t="shared" si="267"/>
        <v>0</v>
      </c>
      <c r="JX18" s="996">
        <f t="shared" si="267"/>
        <v>0</v>
      </c>
      <c r="JY18" s="996">
        <f t="shared" si="267"/>
        <v>0</v>
      </c>
      <c r="JZ18" s="996">
        <f t="shared" si="267"/>
        <v>0</v>
      </c>
      <c r="KA18" s="998" t="s">
        <v>24</v>
      </c>
      <c r="KB18" s="996">
        <f t="shared" ref="KB18:MM18" si="268">IFERROR(IF(OR(KB13="",KB13=0,KB13="n/a",KB15="",KB15=0,KB13="n/a",KB15=KB13),0,KB15-KB13),0)</f>
        <v>-0.49540000000000362</v>
      </c>
      <c r="KC18" s="996">
        <f t="shared" si="268"/>
        <v>-0.6460000000000008</v>
      </c>
      <c r="KD18" s="996">
        <f t="shared" si="268"/>
        <v>-1.6101632937725654</v>
      </c>
      <c r="KE18" s="996">
        <f t="shared" si="268"/>
        <v>-7.5630889229647948</v>
      </c>
      <c r="KF18" s="996">
        <f t="shared" si="268"/>
        <v>-3.220941939230201</v>
      </c>
      <c r="KG18" s="996">
        <f t="shared" si="268"/>
        <v>0</v>
      </c>
      <c r="KH18" s="996">
        <f t="shared" si="268"/>
        <v>0</v>
      </c>
      <c r="KI18" s="996">
        <f t="shared" si="268"/>
        <v>0</v>
      </c>
      <c r="KJ18" s="996">
        <f t="shared" si="268"/>
        <v>0</v>
      </c>
      <c r="KK18" s="996">
        <f t="shared" si="268"/>
        <v>0</v>
      </c>
      <c r="KL18" s="996">
        <f t="shared" si="268"/>
        <v>-0.49540000000000362</v>
      </c>
      <c r="KM18" s="998" t="s">
        <v>24</v>
      </c>
      <c r="KN18" s="996">
        <f t="shared" ref="KN18:KX18" si="269">IFERROR(IF(OR(KN13="",KN13=0,KN13="n/a",KN15="",KN15=0,KN13="n/a",KN15=KN13),0,KN15-KN13),0)</f>
        <v>-4.9540000000000695E-5</v>
      </c>
      <c r="KO18" s="996">
        <f t="shared" si="269"/>
        <v>-6.4599999999997992E-5</v>
      </c>
      <c r="KP18" s="996">
        <f t="shared" si="269"/>
        <v>-1.6101632937724764E-4</v>
      </c>
      <c r="KQ18" s="996">
        <f t="shared" si="269"/>
        <v>-7.563088922964839E-4</v>
      </c>
      <c r="KR18" s="996">
        <f t="shared" si="269"/>
        <v>-3.2209419392301153E-4</v>
      </c>
      <c r="KS18" s="996">
        <f t="shared" si="269"/>
        <v>0</v>
      </c>
      <c r="KT18" s="996">
        <f t="shared" si="269"/>
        <v>0</v>
      </c>
      <c r="KU18" s="996">
        <f t="shared" si="269"/>
        <v>0</v>
      </c>
      <c r="KV18" s="996">
        <f t="shared" si="269"/>
        <v>0</v>
      </c>
      <c r="KW18" s="996">
        <f t="shared" si="269"/>
        <v>0</v>
      </c>
      <c r="KX18" s="996">
        <f t="shared" si="269"/>
        <v>0</v>
      </c>
      <c r="KY18" s="998" t="s">
        <v>24</v>
      </c>
      <c r="KZ18" s="996">
        <f t="shared" ref="KZ18:LB18" si="270">IFERROR(IF(OR(KZ13="",KZ13=0,KZ13="n/a",KZ15="",KZ15=0,KZ13="n/a",KZ15=KZ13),0,KZ15-KZ13),0)</f>
        <v>0</v>
      </c>
      <c r="LA18" s="996">
        <f t="shared" si="270"/>
        <v>0</v>
      </c>
      <c r="LB18" s="996">
        <f t="shared" si="270"/>
        <v>0</v>
      </c>
      <c r="LC18" s="998" t="s">
        <v>24</v>
      </c>
      <c r="LD18" s="997">
        <f t="shared" ref="LD18:LO18" si="271">IFERROR(IF(OR(LD13="",LD13=0,LD13="n/a",LD15="",LD15=0,LD13="n/a",LD15=LD13),0,LD15-LD13),0)</f>
        <v>0</v>
      </c>
      <c r="LE18" s="997">
        <f t="shared" si="271"/>
        <v>0</v>
      </c>
      <c r="LF18" s="997">
        <f t="shared" si="271"/>
        <v>0</v>
      </c>
      <c r="LG18" s="997">
        <f t="shared" si="271"/>
        <v>0</v>
      </c>
      <c r="LH18" s="997">
        <f t="shared" si="271"/>
        <v>0</v>
      </c>
      <c r="LI18" s="997">
        <f t="shared" si="271"/>
        <v>0</v>
      </c>
      <c r="LJ18" s="997">
        <f t="shared" si="271"/>
        <v>0</v>
      </c>
      <c r="LK18" s="997">
        <f t="shared" si="271"/>
        <v>0</v>
      </c>
      <c r="LL18" s="997">
        <f t="shared" si="271"/>
        <v>0</v>
      </c>
      <c r="LM18" s="997">
        <f t="shared" si="271"/>
        <v>0</v>
      </c>
      <c r="LN18" s="997">
        <f t="shared" si="271"/>
        <v>0</v>
      </c>
      <c r="LO18" s="997">
        <f t="shared" si="271"/>
        <v>0</v>
      </c>
      <c r="LP18" s="998" t="s">
        <v>24</v>
      </c>
      <c r="LQ18" s="996">
        <f t="shared" si="268"/>
        <v>0</v>
      </c>
      <c r="LR18" s="996">
        <f t="shared" si="268"/>
        <v>0</v>
      </c>
      <c r="LS18" s="996">
        <f t="shared" si="268"/>
        <v>0</v>
      </c>
      <c r="LT18" s="996">
        <f t="shared" si="268"/>
        <v>0</v>
      </c>
      <c r="LU18" s="996">
        <f t="shared" si="268"/>
        <v>0</v>
      </c>
      <c r="LV18" s="996">
        <f t="shared" si="268"/>
        <v>0</v>
      </c>
      <c r="LW18" s="996">
        <f t="shared" si="268"/>
        <v>0</v>
      </c>
      <c r="LX18" s="996">
        <f t="shared" si="268"/>
        <v>0</v>
      </c>
      <c r="LY18" s="996">
        <f t="shared" si="268"/>
        <v>0</v>
      </c>
      <c r="LZ18" s="996">
        <f t="shared" si="268"/>
        <v>0</v>
      </c>
      <c r="MA18" s="996">
        <f t="shared" si="268"/>
        <v>0</v>
      </c>
      <c r="MB18" s="998" t="s">
        <v>24</v>
      </c>
      <c r="MC18" s="996">
        <f t="shared" si="268"/>
        <v>0</v>
      </c>
      <c r="MD18" s="996">
        <f t="shared" si="268"/>
        <v>0</v>
      </c>
      <c r="ME18" s="996">
        <f t="shared" si="268"/>
        <v>0</v>
      </c>
      <c r="MF18" s="996">
        <f t="shared" si="268"/>
        <v>0</v>
      </c>
      <c r="MG18" s="996">
        <f t="shared" si="268"/>
        <v>0</v>
      </c>
      <c r="MH18" s="996">
        <f t="shared" si="268"/>
        <v>0</v>
      </c>
      <c r="MI18" s="996">
        <f t="shared" si="268"/>
        <v>0</v>
      </c>
      <c r="MJ18" s="996">
        <f t="shared" si="268"/>
        <v>0</v>
      </c>
      <c r="MK18" s="996">
        <f t="shared" si="268"/>
        <v>0</v>
      </c>
      <c r="ML18" s="996">
        <f t="shared" si="268"/>
        <v>0</v>
      </c>
      <c r="MM18" s="996">
        <f t="shared" si="268"/>
        <v>0</v>
      </c>
      <c r="MN18" s="999"/>
      <c r="MO18" s="996">
        <f t="shared" ref="MO18:OK18" si="272">IFERROR(IF(OR(MO13="",MO13=0,MO13="n/a",MO15="",MO15=0,MO13="n/a",MO15=MO13),0,MO15-MO13),0)</f>
        <v>0</v>
      </c>
      <c r="MP18" s="996">
        <f t="shared" si="272"/>
        <v>0</v>
      </c>
      <c r="MQ18" s="996">
        <f t="shared" si="272"/>
        <v>0</v>
      </c>
      <c r="MR18" s="996">
        <f t="shared" si="272"/>
        <v>0</v>
      </c>
      <c r="MS18" s="996">
        <f t="shared" si="272"/>
        <v>0</v>
      </c>
      <c r="MT18" s="996">
        <f t="shared" si="272"/>
        <v>0</v>
      </c>
      <c r="MU18" s="996">
        <f t="shared" si="272"/>
        <v>0</v>
      </c>
      <c r="MV18" s="996">
        <f t="shared" si="272"/>
        <v>0</v>
      </c>
      <c r="MW18" s="996">
        <f t="shared" si="272"/>
        <v>0</v>
      </c>
      <c r="MX18" s="996">
        <f t="shared" si="272"/>
        <v>0</v>
      </c>
      <c r="MY18" s="996">
        <f t="shared" si="272"/>
        <v>0</v>
      </c>
      <c r="MZ18" s="996">
        <f t="shared" si="272"/>
        <v>0</v>
      </c>
      <c r="NA18" s="999"/>
      <c r="NB18" s="997">
        <f t="shared" ref="NB18:NM18" si="273">IFERROR(IF(OR(NB13="",NB13=0,NB13="n/a",NB15="",NB15=0,NB13="n/a",NB15=NB13),0,NB15-NB13),0)</f>
        <v>0</v>
      </c>
      <c r="NC18" s="997">
        <f t="shared" si="273"/>
        <v>0</v>
      </c>
      <c r="ND18" s="997">
        <f t="shared" si="273"/>
        <v>0</v>
      </c>
      <c r="NE18" s="997">
        <f t="shared" si="273"/>
        <v>0</v>
      </c>
      <c r="NF18" s="997">
        <f t="shared" si="273"/>
        <v>0</v>
      </c>
      <c r="NG18" s="997">
        <f t="shared" si="273"/>
        <v>0</v>
      </c>
      <c r="NH18" s="997">
        <f t="shared" si="273"/>
        <v>0</v>
      </c>
      <c r="NI18" s="997">
        <f t="shared" si="273"/>
        <v>0</v>
      </c>
      <c r="NJ18" s="997">
        <f t="shared" si="273"/>
        <v>0</v>
      </c>
      <c r="NK18" s="997">
        <f t="shared" si="273"/>
        <v>0</v>
      </c>
      <c r="NL18" s="997">
        <f t="shared" si="273"/>
        <v>0</v>
      </c>
      <c r="NM18" s="997">
        <f t="shared" si="273"/>
        <v>0</v>
      </c>
      <c r="NN18" s="999"/>
      <c r="NO18" s="996">
        <f t="shared" si="272"/>
        <v>0</v>
      </c>
      <c r="NP18" s="997">
        <f t="shared" si="272"/>
        <v>-1.0759203006851334E-2</v>
      </c>
      <c r="NQ18" s="996">
        <f t="shared" si="272"/>
        <v>0</v>
      </c>
      <c r="NR18" s="996">
        <f t="shared" si="272"/>
        <v>0</v>
      </c>
      <c r="NS18" s="996">
        <f t="shared" si="272"/>
        <v>0</v>
      </c>
      <c r="NT18" s="996">
        <f t="shared" si="272"/>
        <v>0</v>
      </c>
      <c r="NU18" s="997">
        <f t="shared" si="272"/>
        <v>1.0000000000000286E-4</v>
      </c>
      <c r="NV18" s="997">
        <f t="shared" si="272"/>
        <v>1.0000000000000286E-4</v>
      </c>
      <c r="NW18" s="997">
        <f t="shared" si="272"/>
        <v>9.9999999999988987E-5</v>
      </c>
      <c r="NX18" s="999"/>
      <c r="NY18" s="996">
        <f t="shared" si="272"/>
        <v>0</v>
      </c>
      <c r="NZ18" s="996">
        <f t="shared" si="272"/>
        <v>0</v>
      </c>
      <c r="OA18" s="997">
        <f t="shared" si="272"/>
        <v>-1.8999999999999989E-3</v>
      </c>
      <c r="OB18" s="996">
        <f t="shared" si="272"/>
        <v>0</v>
      </c>
      <c r="OC18" s="997">
        <f t="shared" si="272"/>
        <v>0</v>
      </c>
      <c r="OD18" s="997">
        <f t="shared" si="272"/>
        <v>-1.8999999999999989E-3</v>
      </c>
      <c r="OE18" s="997">
        <f t="shared" si="272"/>
        <v>0</v>
      </c>
      <c r="OF18" s="997">
        <f t="shared" si="272"/>
        <v>0</v>
      </c>
      <c r="OG18" s="999"/>
      <c r="OH18" s="997">
        <f t="shared" ref="OH18:OI18" si="274">IFERROR(IF(OR(OH13="",OH13=0,OH13="n/a",OH15="",OH15=0,OH13="n/a",OH15=OH13),0,OH15-OH13),0)</f>
        <v>6.1737049485462159E-4</v>
      </c>
      <c r="OI18" s="997">
        <f t="shared" si="274"/>
        <v>7.0000000000000617E-5</v>
      </c>
      <c r="OJ18" s="999"/>
      <c r="OK18" s="996">
        <f t="shared" si="272"/>
        <v>0</v>
      </c>
      <c r="OL18" s="999"/>
      <c r="OM18" s="996">
        <f t="shared" ref="OM18:QX18" si="275">IFERROR(IF(OR(OM13="",OM13=0,OM13="n/a",OM15="",OM15=0,OM13="n/a",OM15=OM13),0,OM15-OM13),0)</f>
        <v>0</v>
      </c>
      <c r="ON18" s="996">
        <f t="shared" si="275"/>
        <v>0</v>
      </c>
      <c r="OO18" s="996">
        <f t="shared" si="275"/>
        <v>0</v>
      </c>
      <c r="OP18" s="996">
        <f t="shared" si="275"/>
        <v>0</v>
      </c>
      <c r="OQ18" s="996">
        <f t="shared" si="275"/>
        <v>0</v>
      </c>
      <c r="OR18" s="996">
        <f t="shared" si="275"/>
        <v>0</v>
      </c>
      <c r="OS18" s="996">
        <f t="shared" si="275"/>
        <v>0</v>
      </c>
      <c r="OT18" s="996">
        <f t="shared" si="275"/>
        <v>0</v>
      </c>
      <c r="OU18" s="996">
        <f t="shared" si="275"/>
        <v>0</v>
      </c>
      <c r="OV18" s="996">
        <f t="shared" si="275"/>
        <v>0</v>
      </c>
      <c r="OW18" s="996">
        <f t="shared" si="275"/>
        <v>0</v>
      </c>
      <c r="OX18" s="996">
        <f t="shared" si="275"/>
        <v>0</v>
      </c>
      <c r="OY18" s="996">
        <f t="shared" si="275"/>
        <v>0</v>
      </c>
      <c r="OZ18" s="996">
        <f t="shared" si="275"/>
        <v>0</v>
      </c>
      <c r="PA18" s="996">
        <f t="shared" si="275"/>
        <v>0</v>
      </c>
      <c r="PB18" s="996">
        <f t="shared" si="275"/>
        <v>0</v>
      </c>
      <c r="PC18" s="996">
        <f t="shared" si="275"/>
        <v>0</v>
      </c>
      <c r="PD18" s="996">
        <f t="shared" si="275"/>
        <v>0</v>
      </c>
      <c r="PE18" s="996">
        <f t="shared" si="275"/>
        <v>0</v>
      </c>
      <c r="PF18" s="996">
        <f t="shared" si="275"/>
        <v>0</v>
      </c>
      <c r="PG18" s="996">
        <f t="shared" si="275"/>
        <v>0</v>
      </c>
      <c r="PH18" s="996">
        <f t="shared" si="275"/>
        <v>0</v>
      </c>
      <c r="PI18" s="996">
        <f t="shared" si="275"/>
        <v>0</v>
      </c>
      <c r="PJ18" s="996">
        <f t="shared" si="275"/>
        <v>0</v>
      </c>
      <c r="PK18" s="996">
        <f t="shared" si="275"/>
        <v>0</v>
      </c>
      <c r="PL18" s="996">
        <f t="shared" si="275"/>
        <v>0</v>
      </c>
      <c r="PM18" s="996">
        <f t="shared" si="275"/>
        <v>0</v>
      </c>
      <c r="PN18" s="996">
        <f t="shared" si="275"/>
        <v>0</v>
      </c>
      <c r="PO18" s="996">
        <f t="shared" si="275"/>
        <v>0</v>
      </c>
      <c r="PP18" s="996">
        <f t="shared" si="275"/>
        <v>0</v>
      </c>
      <c r="PQ18" s="996">
        <f t="shared" si="275"/>
        <v>0</v>
      </c>
      <c r="PR18" s="996">
        <f t="shared" si="275"/>
        <v>0</v>
      </c>
      <c r="PS18" s="996">
        <f t="shared" si="275"/>
        <v>0</v>
      </c>
      <c r="PT18" s="996">
        <f t="shared" si="275"/>
        <v>0</v>
      </c>
      <c r="PU18" s="996">
        <f t="shared" si="275"/>
        <v>0</v>
      </c>
      <c r="PV18" s="996">
        <f t="shared" si="275"/>
        <v>0</v>
      </c>
      <c r="PW18" s="996">
        <f t="shared" si="275"/>
        <v>0</v>
      </c>
      <c r="PX18" s="996">
        <f t="shared" si="275"/>
        <v>0</v>
      </c>
      <c r="PY18" s="996">
        <f t="shared" si="275"/>
        <v>0</v>
      </c>
      <c r="PZ18" s="996">
        <f t="shared" si="275"/>
        <v>0</v>
      </c>
      <c r="QA18" s="996">
        <f t="shared" si="275"/>
        <v>0</v>
      </c>
      <c r="QB18" s="996">
        <f t="shared" si="275"/>
        <v>0</v>
      </c>
      <c r="QC18" s="996">
        <f t="shared" si="275"/>
        <v>0</v>
      </c>
      <c r="QD18" s="996">
        <f t="shared" si="275"/>
        <v>0</v>
      </c>
      <c r="QE18" s="996">
        <f t="shared" si="275"/>
        <v>0</v>
      </c>
      <c r="QF18" s="996">
        <f t="shared" si="275"/>
        <v>0</v>
      </c>
      <c r="QG18" s="996">
        <f t="shared" si="275"/>
        <v>0</v>
      </c>
      <c r="QH18" s="996">
        <f t="shared" si="275"/>
        <v>0</v>
      </c>
      <c r="QI18" s="996">
        <f t="shared" si="275"/>
        <v>0</v>
      </c>
      <c r="QJ18" s="996">
        <f t="shared" si="275"/>
        <v>0</v>
      </c>
      <c r="QK18" s="996">
        <f t="shared" si="275"/>
        <v>0</v>
      </c>
      <c r="QL18" s="996">
        <f t="shared" si="275"/>
        <v>0</v>
      </c>
      <c r="QM18" s="996">
        <f t="shared" si="275"/>
        <v>0</v>
      </c>
      <c r="QN18" s="996">
        <f t="shared" si="275"/>
        <v>0</v>
      </c>
      <c r="QO18" s="996">
        <f t="shared" si="275"/>
        <v>0</v>
      </c>
      <c r="QP18" s="996">
        <f t="shared" si="275"/>
        <v>0</v>
      </c>
      <c r="QQ18" s="996">
        <f t="shared" si="275"/>
        <v>0</v>
      </c>
      <c r="QR18" s="996">
        <f t="shared" si="275"/>
        <v>0</v>
      </c>
      <c r="QS18" s="996">
        <f t="shared" si="275"/>
        <v>0</v>
      </c>
      <c r="QT18" s="996">
        <f t="shared" si="275"/>
        <v>0</v>
      </c>
      <c r="QU18" s="996">
        <f t="shared" si="275"/>
        <v>0</v>
      </c>
      <c r="QV18" s="996">
        <f t="shared" si="275"/>
        <v>0</v>
      </c>
      <c r="QW18" s="996">
        <f t="shared" si="275"/>
        <v>0</v>
      </c>
      <c r="QX18" s="996">
        <f t="shared" si="275"/>
        <v>0</v>
      </c>
      <c r="QY18" s="996">
        <f t="shared" ref="QY18:ST18" si="276">IFERROR(IF(OR(QY13="",QY13=0,QY13="n/a",QY15="",QY15=0,QY13="n/a",QY15=QY13),0,QY15-QY13),0)</f>
        <v>0</v>
      </c>
      <c r="QZ18" s="996">
        <f t="shared" si="276"/>
        <v>0</v>
      </c>
      <c r="RA18" s="996">
        <f t="shared" si="276"/>
        <v>0</v>
      </c>
      <c r="RB18" s="996">
        <f t="shared" si="276"/>
        <v>0</v>
      </c>
      <c r="RC18" s="996">
        <f t="shared" si="276"/>
        <v>0</v>
      </c>
      <c r="RD18" s="996">
        <f t="shared" si="276"/>
        <v>0</v>
      </c>
      <c r="RE18" s="996">
        <f t="shared" si="276"/>
        <v>0</v>
      </c>
      <c r="RF18" s="996">
        <f t="shared" si="276"/>
        <v>0</v>
      </c>
      <c r="RG18" s="996">
        <f t="shared" si="276"/>
        <v>0</v>
      </c>
      <c r="RH18" s="996">
        <f t="shared" si="276"/>
        <v>0</v>
      </c>
      <c r="RI18" s="996">
        <f t="shared" si="276"/>
        <v>0</v>
      </c>
      <c r="RJ18" s="996">
        <f t="shared" si="276"/>
        <v>0</v>
      </c>
      <c r="RK18" s="996">
        <f t="shared" si="276"/>
        <v>0</v>
      </c>
      <c r="RL18" s="996">
        <f t="shared" si="276"/>
        <v>0</v>
      </c>
      <c r="RM18" s="996">
        <f t="shared" si="276"/>
        <v>0</v>
      </c>
      <c r="RN18" s="996">
        <f t="shared" si="276"/>
        <v>0</v>
      </c>
      <c r="RO18" s="996">
        <f t="shared" si="276"/>
        <v>0</v>
      </c>
      <c r="RP18" s="996">
        <f t="shared" si="276"/>
        <v>0</v>
      </c>
      <c r="RQ18" s="996">
        <f t="shared" si="276"/>
        <v>0</v>
      </c>
      <c r="RR18" s="996">
        <f t="shared" si="276"/>
        <v>0</v>
      </c>
      <c r="RS18" s="996">
        <f t="shared" si="276"/>
        <v>0</v>
      </c>
      <c r="RT18" s="996">
        <f t="shared" si="276"/>
        <v>0</v>
      </c>
      <c r="RU18" s="996">
        <f t="shared" si="276"/>
        <v>0</v>
      </c>
      <c r="RV18" s="996">
        <f t="shared" si="276"/>
        <v>0</v>
      </c>
      <c r="RW18" s="996">
        <f t="shared" si="276"/>
        <v>0</v>
      </c>
      <c r="RX18" s="996">
        <f t="shared" si="276"/>
        <v>0</v>
      </c>
      <c r="RY18" s="996">
        <f t="shared" si="276"/>
        <v>0</v>
      </c>
      <c r="RZ18" s="996">
        <f t="shared" si="276"/>
        <v>0</v>
      </c>
      <c r="SA18" s="996">
        <f t="shared" si="276"/>
        <v>0</v>
      </c>
      <c r="SB18" s="996">
        <f t="shared" si="276"/>
        <v>0</v>
      </c>
      <c r="SC18" s="996">
        <f t="shared" si="276"/>
        <v>0</v>
      </c>
      <c r="SD18" s="996">
        <f t="shared" si="276"/>
        <v>0</v>
      </c>
      <c r="SE18" s="996">
        <f t="shared" si="276"/>
        <v>0</v>
      </c>
      <c r="SF18" s="996">
        <f t="shared" si="276"/>
        <v>0</v>
      </c>
      <c r="SG18" s="996">
        <f t="shared" si="276"/>
        <v>0</v>
      </c>
      <c r="SH18" s="996">
        <f t="shared" si="276"/>
        <v>0</v>
      </c>
      <c r="SI18" s="997">
        <f t="shared" si="276"/>
        <v>0</v>
      </c>
      <c r="SJ18" s="997">
        <f t="shared" si="276"/>
        <v>0</v>
      </c>
      <c r="SK18" s="997">
        <f t="shared" si="276"/>
        <v>0</v>
      </c>
      <c r="SL18" s="997">
        <f t="shared" si="276"/>
        <v>0</v>
      </c>
      <c r="SM18" s="997">
        <f t="shared" si="276"/>
        <v>0</v>
      </c>
      <c r="SN18" s="997">
        <f t="shared" si="276"/>
        <v>0</v>
      </c>
      <c r="SO18" s="997">
        <f t="shared" si="276"/>
        <v>0</v>
      </c>
      <c r="SP18" s="997">
        <f t="shared" si="276"/>
        <v>0</v>
      </c>
      <c r="SQ18" s="997">
        <f t="shared" si="276"/>
        <v>0</v>
      </c>
      <c r="SR18" s="997">
        <f t="shared" si="276"/>
        <v>0</v>
      </c>
      <c r="SS18" s="997">
        <f t="shared" si="276"/>
        <v>0</v>
      </c>
      <c r="ST18" s="997">
        <f t="shared" si="276"/>
        <v>1.0000000000000286E-4</v>
      </c>
      <c r="SU18" s="999"/>
      <c r="SV18" s="992">
        <f t="shared" ref="SV18:TG18" si="277">IFERROR(IF(OR(SV13="",SV13=0,SV13="n/a",SV15="",SV15=0,SV13="n/a",SV15=SV13),0,SV13/SV15-1),0)</f>
        <v>0</v>
      </c>
      <c r="SW18" s="992">
        <f t="shared" si="277"/>
        <v>0</v>
      </c>
      <c r="SX18" s="992">
        <f t="shared" si="277"/>
        <v>0</v>
      </c>
      <c r="SY18" s="992">
        <f t="shared" si="277"/>
        <v>0</v>
      </c>
      <c r="SZ18" s="992">
        <f t="shared" si="277"/>
        <v>0</v>
      </c>
      <c r="TA18" s="992">
        <f t="shared" si="277"/>
        <v>0</v>
      </c>
      <c r="TB18" s="992">
        <f t="shared" si="277"/>
        <v>0</v>
      </c>
      <c r="TC18" s="992">
        <f t="shared" si="277"/>
        <v>0</v>
      </c>
      <c r="TD18" s="992">
        <f t="shared" si="277"/>
        <v>0</v>
      </c>
      <c r="TE18" s="992">
        <f t="shared" si="277"/>
        <v>0</v>
      </c>
      <c r="TF18" s="992">
        <f t="shared" si="277"/>
        <v>0</v>
      </c>
      <c r="TG18" s="992">
        <f t="shared" si="277"/>
        <v>-9.585889570551398E-5</v>
      </c>
      <c r="TH18" s="999"/>
      <c r="TI18" s="997">
        <f t="shared" ref="TI18:TT18" si="278">IFERROR(IF(OR(TI13="",TI13=0,TI13="n/a",TI15="",TI15=0,TI13="n/a",TI15=TI13),0,TI15-TI13),0)</f>
        <v>0</v>
      </c>
      <c r="TJ18" s="997">
        <f t="shared" si="278"/>
        <v>0</v>
      </c>
      <c r="TK18" s="997">
        <f t="shared" si="278"/>
        <v>0</v>
      </c>
      <c r="TL18" s="997">
        <f t="shared" si="278"/>
        <v>0</v>
      </c>
      <c r="TM18" s="997">
        <f t="shared" si="278"/>
        <v>0</v>
      </c>
      <c r="TN18" s="997">
        <f t="shared" si="278"/>
        <v>0</v>
      </c>
      <c r="TO18" s="997">
        <f t="shared" si="278"/>
        <v>0</v>
      </c>
      <c r="TP18" s="997">
        <f t="shared" si="278"/>
        <v>0</v>
      </c>
      <c r="TQ18" s="997">
        <f t="shared" si="278"/>
        <v>0</v>
      </c>
      <c r="TR18" s="997">
        <f t="shared" si="278"/>
        <v>0</v>
      </c>
      <c r="TS18" s="997">
        <f t="shared" si="278"/>
        <v>0</v>
      </c>
      <c r="TT18" s="997">
        <f t="shared" si="278"/>
        <v>0</v>
      </c>
      <c r="TU18" s="999"/>
      <c r="TV18" s="992">
        <f t="shared" ref="TV18:UG18" si="279">IFERROR(IF(OR(TV13="",TV13=0,TV13="n/a",TV15="",TV15=0,TV13="n/a",TV15=TV13),0,TV13/TV15-1),0)</f>
        <v>0</v>
      </c>
      <c r="TW18" s="992">
        <f t="shared" si="279"/>
        <v>0</v>
      </c>
      <c r="TX18" s="992">
        <f t="shared" si="279"/>
        <v>0</v>
      </c>
      <c r="TY18" s="992">
        <f t="shared" si="279"/>
        <v>0</v>
      </c>
      <c r="TZ18" s="992">
        <f t="shared" si="279"/>
        <v>0</v>
      </c>
      <c r="UA18" s="992">
        <f t="shared" si="279"/>
        <v>0</v>
      </c>
      <c r="UB18" s="992">
        <f t="shared" si="279"/>
        <v>0</v>
      </c>
      <c r="UC18" s="992">
        <f t="shared" si="279"/>
        <v>0</v>
      </c>
      <c r="UD18" s="992">
        <f t="shared" si="279"/>
        <v>0</v>
      </c>
      <c r="UE18" s="992">
        <f t="shared" si="279"/>
        <v>0</v>
      </c>
      <c r="UF18" s="992">
        <f t="shared" si="279"/>
        <v>0</v>
      </c>
      <c r="UG18" s="992">
        <f t="shared" si="279"/>
        <v>0</v>
      </c>
      <c r="UH18" s="999"/>
      <c r="UI18" s="992">
        <f t="shared" ref="UI18:UT18" si="280">IFERROR(IF(OR(UI13="",UI13=0,UI13="n/a",UI15="",UI15=0,UI13="n/a",UI15=UI13),0,UI13/UI15-1),0)</f>
        <v>0</v>
      </c>
      <c r="UJ18" s="992">
        <f t="shared" si="280"/>
        <v>0</v>
      </c>
      <c r="UK18" s="992">
        <f t="shared" si="280"/>
        <v>0</v>
      </c>
      <c r="UL18" s="992">
        <f t="shared" si="280"/>
        <v>0</v>
      </c>
      <c r="UM18" s="992">
        <f t="shared" si="280"/>
        <v>0</v>
      </c>
      <c r="UN18" s="992">
        <f t="shared" si="280"/>
        <v>0</v>
      </c>
      <c r="UO18" s="992">
        <f t="shared" si="280"/>
        <v>0</v>
      </c>
      <c r="UP18" s="992">
        <f t="shared" si="280"/>
        <v>0</v>
      </c>
      <c r="UQ18" s="992">
        <f t="shared" si="280"/>
        <v>0</v>
      </c>
      <c r="UR18" s="992">
        <f t="shared" si="280"/>
        <v>0</v>
      </c>
      <c r="US18" s="992">
        <f t="shared" si="280"/>
        <v>0</v>
      </c>
      <c r="UT18" s="992">
        <f t="shared" si="280"/>
        <v>-9.5858895705625002E-5</v>
      </c>
      <c r="UU18" s="999"/>
      <c r="UV18" s="997">
        <f t="shared" ref="UV18:VG18" si="281">IFERROR(IF(OR(UV13="",UV13=0,UV13="n/a",UV15="",UV15=0,UV13="n/a",UV15=UV13),0,UV15-UV13),0)</f>
        <v>0</v>
      </c>
      <c r="UW18" s="997">
        <f t="shared" si="281"/>
        <v>0</v>
      </c>
      <c r="UX18" s="997">
        <f t="shared" si="281"/>
        <v>0</v>
      </c>
      <c r="UY18" s="997">
        <f t="shared" si="281"/>
        <v>0</v>
      </c>
      <c r="UZ18" s="997">
        <f t="shared" si="281"/>
        <v>0</v>
      </c>
      <c r="VA18" s="997">
        <f t="shared" si="281"/>
        <v>0</v>
      </c>
      <c r="VB18" s="997">
        <f t="shared" si="281"/>
        <v>0</v>
      </c>
      <c r="VC18" s="997">
        <f t="shared" si="281"/>
        <v>0</v>
      </c>
      <c r="VD18" s="997">
        <f t="shared" si="281"/>
        <v>0</v>
      </c>
      <c r="VE18" s="997">
        <f t="shared" si="281"/>
        <v>0</v>
      </c>
      <c r="VF18" s="997">
        <f t="shared" si="281"/>
        <v>0</v>
      </c>
      <c r="VG18" s="997">
        <f t="shared" si="281"/>
        <v>0</v>
      </c>
      <c r="VH18" s="999"/>
      <c r="VI18" s="992">
        <f t="shared" ref="VI18:VT18" si="282">IFERROR(IF(OR(VI13="",VI13=0,VI13="n/a",VI15="",VI15=0,VI13="n/a",VI15=VI13),0,VI13/VI15-1),0)</f>
        <v>0</v>
      </c>
      <c r="VJ18" s="992">
        <f t="shared" si="282"/>
        <v>0</v>
      </c>
      <c r="VK18" s="992">
        <f t="shared" si="282"/>
        <v>0</v>
      </c>
      <c r="VL18" s="992">
        <f t="shared" si="282"/>
        <v>0</v>
      </c>
      <c r="VM18" s="992">
        <f t="shared" si="282"/>
        <v>0</v>
      </c>
      <c r="VN18" s="992">
        <f t="shared" si="282"/>
        <v>0</v>
      </c>
      <c r="VO18" s="992">
        <f t="shared" si="282"/>
        <v>0</v>
      </c>
      <c r="VP18" s="992">
        <f t="shared" si="282"/>
        <v>0</v>
      </c>
      <c r="VQ18" s="992">
        <f t="shared" si="282"/>
        <v>0</v>
      </c>
      <c r="VR18" s="992">
        <f t="shared" si="282"/>
        <v>0</v>
      </c>
      <c r="VS18" s="992">
        <f t="shared" si="282"/>
        <v>0</v>
      </c>
      <c r="VT18" s="992">
        <f t="shared" si="282"/>
        <v>-9.585889570551398E-5</v>
      </c>
      <c r="VU18" s="999"/>
      <c r="VV18" s="996">
        <f t="shared" ref="VV18:WG18" si="283">IFERROR(IF(OR(VV13="",VV13=0,VV13="n/a",VV15="",VV15=0,VV13="n/a",VV15=VV13),0,VV15-VV13),0)</f>
        <v>0</v>
      </c>
      <c r="VW18" s="997">
        <f t="shared" si="283"/>
        <v>0</v>
      </c>
      <c r="VX18" s="997">
        <f t="shared" si="283"/>
        <v>0</v>
      </c>
      <c r="VY18" s="997">
        <f t="shared" si="283"/>
        <v>0</v>
      </c>
      <c r="VZ18" s="997">
        <f t="shared" si="283"/>
        <v>0</v>
      </c>
      <c r="WA18" s="997">
        <f t="shared" si="283"/>
        <v>0</v>
      </c>
      <c r="WB18" s="997">
        <f t="shared" si="283"/>
        <v>0</v>
      </c>
      <c r="WC18" s="997">
        <f t="shared" si="283"/>
        <v>0</v>
      </c>
      <c r="WD18" s="997">
        <f t="shared" si="283"/>
        <v>0</v>
      </c>
      <c r="WE18" s="997">
        <f t="shared" si="283"/>
        <v>0</v>
      </c>
      <c r="WF18" s="997">
        <f t="shared" si="283"/>
        <v>0</v>
      </c>
      <c r="WG18" s="997">
        <f t="shared" si="283"/>
        <v>-4.8633763076152969E-3</v>
      </c>
      <c r="WH18" s="999"/>
      <c r="WI18" s="992">
        <f t="shared" ref="WI18:WT18" si="284">IFERROR(IF(OR(WI13="",WI13=0,WI13="n/a",WI15="",WI15=0,WI13="n/a",WI15=WI13),0,WI13/WI15-1),0)</f>
        <v>0</v>
      </c>
      <c r="WJ18" s="992">
        <f t="shared" si="284"/>
        <v>0</v>
      </c>
      <c r="WK18" s="992">
        <f t="shared" si="284"/>
        <v>0</v>
      </c>
      <c r="WL18" s="992">
        <f t="shared" si="284"/>
        <v>0</v>
      </c>
      <c r="WM18" s="992">
        <f t="shared" si="284"/>
        <v>0</v>
      </c>
      <c r="WN18" s="992">
        <f t="shared" si="284"/>
        <v>0</v>
      </c>
      <c r="WO18" s="992">
        <f t="shared" si="284"/>
        <v>0</v>
      </c>
      <c r="WP18" s="992">
        <f t="shared" si="284"/>
        <v>0</v>
      </c>
      <c r="WQ18" s="992">
        <f t="shared" si="284"/>
        <v>0</v>
      </c>
      <c r="WR18" s="992">
        <f t="shared" si="284"/>
        <v>0</v>
      </c>
      <c r="WS18" s="992">
        <f t="shared" si="284"/>
        <v>0</v>
      </c>
      <c r="WT18" s="992">
        <f t="shared" si="284"/>
        <v>1.8762582182834775E-2</v>
      </c>
      <c r="WU18" s="999"/>
      <c r="WV18" s="992">
        <f t="shared" ref="WV18:XF18" si="285">IFERROR(IF(OR(WV13="",WV13=0,WV13="n/a",WV15="",WV15=0,WV13="n/a",WV15=WV13),0,WV13/WV15-1),0)</f>
        <v>0</v>
      </c>
      <c r="WW18" s="992">
        <f t="shared" si="285"/>
        <v>0</v>
      </c>
      <c r="WX18" s="992">
        <f t="shared" si="285"/>
        <v>0</v>
      </c>
      <c r="WY18" s="992">
        <f t="shared" si="285"/>
        <v>0</v>
      </c>
      <c r="WZ18" s="992">
        <f t="shared" si="285"/>
        <v>0</v>
      </c>
      <c r="XA18" s="992">
        <f t="shared" si="285"/>
        <v>0</v>
      </c>
      <c r="XB18" s="992">
        <f t="shared" si="285"/>
        <v>0</v>
      </c>
      <c r="XC18" s="992">
        <f t="shared" si="285"/>
        <v>0</v>
      </c>
      <c r="XD18" s="992">
        <f t="shared" si="285"/>
        <v>0</v>
      </c>
      <c r="XE18" s="992">
        <f t="shared" si="285"/>
        <v>0</v>
      </c>
      <c r="XF18" s="992">
        <f t="shared" si="285"/>
        <v>-6.6322623057836205E-3</v>
      </c>
      <c r="XG18" s="999"/>
      <c r="XH18" s="997">
        <f t="shared" ref="XH18:XR18" si="286">IFERROR(IF(OR(XH13="",XH13=0,XH13="n/a",XH15="",XH15=0,XH13="n/a",XH15=XH13),0,XH15-XH13),0)</f>
        <v>9.0938189372641309E-5</v>
      </c>
      <c r="XI18" s="997">
        <f t="shared" si="286"/>
        <v>8.8611723886786176E-5</v>
      </c>
      <c r="XJ18" s="997">
        <f t="shared" si="286"/>
        <v>8.628525840094492E-5</v>
      </c>
      <c r="XK18" s="997">
        <f t="shared" si="286"/>
        <v>8.3958792915103664E-5</v>
      </c>
      <c r="XL18" s="997">
        <f t="shared" si="286"/>
        <v>8.163232742924853E-5</v>
      </c>
      <c r="XM18" s="997">
        <f t="shared" si="286"/>
        <v>7.9305861943393396E-5</v>
      </c>
      <c r="XN18" s="997">
        <f t="shared" si="286"/>
        <v>7.6979396457552141E-5</v>
      </c>
      <c r="XO18" s="997">
        <f t="shared" si="286"/>
        <v>7.4652930971697007E-5</v>
      </c>
      <c r="XP18" s="997">
        <f t="shared" si="286"/>
        <v>7.2326465485855751E-5</v>
      </c>
      <c r="XQ18" s="997">
        <f t="shared" si="286"/>
        <v>7.0000000000000617E-5</v>
      </c>
      <c r="XR18" s="997">
        <f t="shared" si="286"/>
        <v>7.0000000000000617E-5</v>
      </c>
      <c r="XS18" s="999"/>
      <c r="XT18" s="992">
        <f t="shared" ref="XT18:YD18" si="287">IFERROR(IF(OR(XT13="",XT13=0,XT13="n/a",XT15="",XT15=0,XT13="n/a",XT15=XT13),0,XT13/XT15-1),0)</f>
        <v>-6.6287599058663105E-3</v>
      </c>
      <c r="XU18" s="992">
        <f t="shared" si="287"/>
        <v>-6.7114484369533711E-3</v>
      </c>
      <c r="XV18" s="992">
        <f t="shared" si="287"/>
        <v>-6.7921077674485408E-3</v>
      </c>
      <c r="XW18" s="992">
        <f t="shared" si="287"/>
        <v>-6.8707337248117284E-3</v>
      </c>
      <c r="XX18" s="992">
        <f t="shared" si="287"/>
        <v>-6.9473221093458992E-3</v>
      </c>
      <c r="XY18" s="992">
        <f t="shared" si="287"/>
        <v>-7.0218686940370922E-3</v>
      </c>
      <c r="XZ18" s="992">
        <f t="shared" si="287"/>
        <v>-7.0943692243934375E-3</v>
      </c>
      <c r="YA18" s="992">
        <f t="shared" si="287"/>
        <v>-7.1648194182846181E-3</v>
      </c>
      <c r="YB18" s="992">
        <f t="shared" si="287"/>
        <v>-7.2332149657768907E-3</v>
      </c>
      <c r="YC18" s="992">
        <f t="shared" si="287"/>
        <v>-7.2994843011625621E-3</v>
      </c>
      <c r="YD18" s="992">
        <f t="shared" si="287"/>
        <v>-7.3635933666056363E-3</v>
      </c>
      <c r="YE18" s="999"/>
      <c r="YF18" s="992">
        <f t="shared" ref="YF18:YP18" si="288">IFERROR(IF(OR(YF13="",YF13=0,YF13="n/a",YF15="",YF15=0,YF13="n/a",YF15=YF13),0,YF13/YF15-1),0)</f>
        <v>4.9129098628286627E-4</v>
      </c>
      <c r="YG18" s="992">
        <f t="shared" si="288"/>
        <v>8.3247240650230481E-5</v>
      </c>
      <c r="YH18" s="992">
        <f t="shared" si="288"/>
        <v>1.6242844289782177E-4</v>
      </c>
      <c r="YI18" s="992">
        <f t="shared" si="288"/>
        <v>2.3752854237968357E-4</v>
      </c>
      <c r="YJ18" s="992">
        <f t="shared" si="288"/>
        <v>3.0853245520967576E-4</v>
      </c>
      <c r="YK18" s="992">
        <f t="shared" si="288"/>
        <v>3.7542507817223125E-4</v>
      </c>
      <c r="YL18" s="992">
        <f t="shared" si="288"/>
        <v>4.3819128891930959E-4</v>
      </c>
      <c r="YM18" s="992">
        <f t="shared" si="288"/>
        <v>4.9681594618156133E-4</v>
      </c>
      <c r="YN18" s="992">
        <f t="shared" si="288"/>
        <v>5.5128388995639988E-4</v>
      </c>
      <c r="YO18" s="992">
        <f t="shared" si="288"/>
        <v>6.0097007593218343E-4</v>
      </c>
      <c r="YP18" s="992">
        <f t="shared" si="288"/>
        <v>6.4603413997565973E-4</v>
      </c>
      <c r="YQ18" s="1000"/>
      <c r="YR18" s="992">
        <f t="shared" ref="YR18:YS18" si="289">IFERROR(IF(OR(YR13="",YR13=0,YR13="n/a",YR15="",YR15=0,YR13="n/a",YR15=YR13),0,YR13/YR15-1),0)</f>
        <v>-4.9303327545420217E-3</v>
      </c>
      <c r="YS18" s="992">
        <f t="shared" si="289"/>
        <v>0</v>
      </c>
      <c r="YT18" s="992">
        <f t="shared" ref="YT18" si="290">IFERROR(IF(OR(YT13="",YT13=0,YT13="n/a",YT15="",YT15=0,YT13="n/a",YT15=YT13),0,YT13/YT15-1),0)</f>
        <v>-4.8877841968320013E-3</v>
      </c>
      <c r="YU18" s="1000"/>
      <c r="YV18" s="992">
        <f t="shared" ref="YV18" si="291">IFERROR(IF(OR(YV13="",YV13=0,YV13="n/a",YV15="",YV15=0,YV13="n/a",YV15=YV13),0,YV13/YV15-1),0)</f>
        <v>-1.3992281832043707E-3</v>
      </c>
      <c r="YW18" s="992">
        <f>IFERROR(IF(OR(YW13="",YW13=0,YW13="n/a",YW15="",YW15=0,YW13="n/a",YW15=YW13),0,YW13/YW15-1),0)</f>
        <v>-6.8148163227558123E-2</v>
      </c>
      <c r="YX18" s="992">
        <f>IFERROR(IF(OR(YX13="",YX13=0,YX13="n/a",YX15="",YX15=0,YX13="n/a",YX15=YX13),0,YX13/YX15-1),0)</f>
        <v>-6.9452036580140986E-2</v>
      </c>
      <c r="YY18" s="999"/>
      <c r="YZ18" s="996">
        <f t="shared" ref="YZ18:AAQ18" si="292">IFERROR(IF(OR(YZ13="",YZ13=0,YZ13="n/a",YZ15="",YZ15=0,YZ13="n/a",YZ15=YZ13),0,YZ15-YZ13),0)</f>
        <v>0</v>
      </c>
      <c r="ZA18" s="996">
        <f t="shared" si="292"/>
        <v>0</v>
      </c>
      <c r="ZB18" s="999"/>
      <c r="ZC18" s="999"/>
      <c r="ZD18" s="999"/>
      <c r="ZE18" s="997">
        <f t="shared" ref="ZE18:ZH18" si="293">IFERROR(IF(OR(ZE13="",ZE13=0,ZE13="n/a",ZE15="",ZE15=0,ZE13="n/a",ZE15=ZE13),0,ZE15-ZE13),0)</f>
        <v>0</v>
      </c>
      <c r="ZF18" s="997">
        <f t="shared" si="293"/>
        <v>0</v>
      </c>
      <c r="ZG18" s="997">
        <f t="shared" si="293"/>
        <v>0</v>
      </c>
      <c r="ZH18" s="997">
        <f t="shared" si="293"/>
        <v>0</v>
      </c>
      <c r="ZI18" s="996">
        <f t="shared" si="292"/>
        <v>0</v>
      </c>
      <c r="ZJ18" s="999"/>
      <c r="ZK18" s="997">
        <f t="shared" ref="ZK18:AAG18" si="294">IFERROR(IF(OR(ZK13="",ZK13=0,ZK13="n/a",ZK15="",ZK15=0,ZK13="n/a",ZK15=ZK13),0,ZK15-ZK13),0)</f>
        <v>0</v>
      </c>
      <c r="ZL18" s="997">
        <f t="shared" si="294"/>
        <v>0</v>
      </c>
      <c r="ZM18" s="997">
        <f t="shared" si="294"/>
        <v>0</v>
      </c>
      <c r="ZN18" s="997">
        <f t="shared" si="294"/>
        <v>0</v>
      </c>
      <c r="ZO18" s="997">
        <f t="shared" si="294"/>
        <v>0</v>
      </c>
      <c r="ZP18" s="997">
        <f t="shared" si="294"/>
        <v>0</v>
      </c>
      <c r="ZQ18" s="997">
        <f t="shared" si="294"/>
        <v>0</v>
      </c>
      <c r="ZR18" s="997">
        <f t="shared" si="294"/>
        <v>0</v>
      </c>
      <c r="ZS18" s="997">
        <f t="shared" si="294"/>
        <v>0</v>
      </c>
      <c r="ZT18" s="997">
        <f t="shared" si="294"/>
        <v>0</v>
      </c>
      <c r="ZU18" s="997">
        <f t="shared" si="294"/>
        <v>-2.4159374433144198E-3</v>
      </c>
      <c r="ZV18" s="997">
        <f t="shared" si="294"/>
        <v>0</v>
      </c>
      <c r="ZW18" s="997">
        <f t="shared" si="294"/>
        <v>0</v>
      </c>
      <c r="ZX18" s="997">
        <f t="shared" si="294"/>
        <v>0</v>
      </c>
      <c r="ZY18" s="997">
        <f t="shared" si="294"/>
        <v>0</v>
      </c>
      <c r="ZZ18" s="997">
        <f t="shared" si="294"/>
        <v>0</v>
      </c>
      <c r="AAA18" s="997">
        <f t="shared" si="294"/>
        <v>0</v>
      </c>
      <c r="AAB18" s="997">
        <f t="shared" si="294"/>
        <v>0</v>
      </c>
      <c r="AAC18" s="997">
        <f t="shared" si="294"/>
        <v>0</v>
      </c>
      <c r="AAD18" s="997">
        <f t="shared" si="294"/>
        <v>0</v>
      </c>
      <c r="AAE18" s="997">
        <f t="shared" si="294"/>
        <v>0</v>
      </c>
      <c r="AAF18" s="997">
        <f t="shared" si="294"/>
        <v>0</v>
      </c>
      <c r="AAG18" s="997">
        <f t="shared" si="294"/>
        <v>0</v>
      </c>
      <c r="AAH18" s="1001"/>
      <c r="AAI18" s="992">
        <f t="shared" ref="AAI18" si="295">IFERROR(IF(OR(AAI13="",AAI13=0,AAI13="n/a",AAI15="",AAI15=0,AAI13="n/a",AAI15=AAI13),0,AAI13/AAI15-1),0)</f>
        <v>0</v>
      </c>
      <c r="AAJ18" s="997">
        <f t="shared" si="292"/>
        <v>-2.1510571102112408E-16</v>
      </c>
      <c r="AAK18" s="996">
        <f t="shared" si="292"/>
        <v>0</v>
      </c>
      <c r="AAL18" s="997">
        <f t="shared" si="292"/>
        <v>-8.3266726846886741E-17</v>
      </c>
      <c r="AAM18" s="997">
        <f t="shared" si="292"/>
        <v>0</v>
      </c>
      <c r="AAN18" s="997">
        <f t="shared" si="292"/>
        <v>-2.0122792321330962E-16</v>
      </c>
      <c r="AAO18" s="997">
        <f t="shared" si="292"/>
        <v>-1.1102230246251565E-16</v>
      </c>
      <c r="AAP18" s="997">
        <f t="shared" si="292"/>
        <v>0</v>
      </c>
      <c r="AAQ18" s="997">
        <f t="shared" si="292"/>
        <v>0</v>
      </c>
      <c r="AAR18" s="1001"/>
      <c r="AAS18" s="1001"/>
      <c r="AAT18" s="992">
        <f t="shared" ref="AAT18" si="296">IFERROR(IF(OR(AAT13="",AAT13=0,AAT13="n/a",AAT15="",AAT15=0,AAT13="n/a",AAT15=AAT13),0,AAT13/AAT15-1),0)</f>
        <v>0</v>
      </c>
      <c r="AAU18" s="992">
        <f t="shared" ref="AAU18:ABD18" si="297">IFERROR(IF(OR(AAU13="",AAU13=0,AAU13="n/a",AAU15="",AAU15=0,AAU13="n/a",AAU15=AAU13),0,AAU13/AAU15-1),0)</f>
        <v>0</v>
      </c>
      <c r="AAV18" s="992">
        <f t="shared" si="297"/>
        <v>0</v>
      </c>
      <c r="AAW18" s="992">
        <f t="shared" si="297"/>
        <v>0</v>
      </c>
      <c r="AAX18" s="992">
        <f t="shared" si="297"/>
        <v>0</v>
      </c>
      <c r="AAY18" s="992">
        <f t="shared" si="297"/>
        <v>0</v>
      </c>
      <c r="AAZ18" s="992">
        <f t="shared" si="297"/>
        <v>0</v>
      </c>
      <c r="ABA18" s="992">
        <f t="shared" si="297"/>
        <v>0</v>
      </c>
      <c r="ABB18" s="992">
        <f t="shared" si="297"/>
        <v>0</v>
      </c>
      <c r="ABC18" s="992">
        <f t="shared" si="297"/>
        <v>0</v>
      </c>
      <c r="ABD18" s="992">
        <f t="shared" si="297"/>
        <v>0</v>
      </c>
      <c r="ABE18" s="1001"/>
      <c r="ABF18" s="992">
        <f t="shared" ref="ABF18:ABH18" si="298">IFERROR(IF(OR(ABF13="",ABF13=0,ABF13="n/a",ABF15="",ABF15=0,ABF13="n/a",ABF15=ABF13),0,ABF13/ABF15-1),0)</f>
        <v>0</v>
      </c>
      <c r="ABG18" s="992">
        <f t="shared" si="298"/>
        <v>0</v>
      </c>
      <c r="ABH18" s="992">
        <f t="shared" si="298"/>
        <v>0</v>
      </c>
      <c r="ABI18" s="1001"/>
      <c r="ABJ18" s="1001"/>
      <c r="ABK18" s="996">
        <f t="shared" ref="ABK18:ACJ18" si="299">IFERROR(IF(OR(ABK13="",ABK13=0,ABK13="n/a",ABK15="",ABK15=0,ABK13="n/a",ABK15=ABK13),0,ABK15-ABK13),0)</f>
        <v>0</v>
      </c>
      <c r="ABL18" s="996">
        <f t="shared" si="299"/>
        <v>0</v>
      </c>
      <c r="ABM18" s="996">
        <f t="shared" si="299"/>
        <v>0</v>
      </c>
      <c r="ABN18" s="996">
        <f t="shared" si="299"/>
        <v>0</v>
      </c>
      <c r="ABO18" s="996">
        <f t="shared" si="299"/>
        <v>0</v>
      </c>
      <c r="ABP18" s="996">
        <f t="shared" si="299"/>
        <v>0</v>
      </c>
      <c r="ABQ18" s="996">
        <f t="shared" si="299"/>
        <v>0</v>
      </c>
      <c r="ABR18" s="996">
        <f t="shared" si="299"/>
        <v>0</v>
      </c>
      <c r="ABS18" s="996">
        <f t="shared" si="299"/>
        <v>0</v>
      </c>
      <c r="ABT18" s="996">
        <f t="shared" si="299"/>
        <v>0</v>
      </c>
      <c r="ABU18" s="1001"/>
      <c r="ABV18" s="996">
        <f t="shared" si="299"/>
        <v>0</v>
      </c>
      <c r="ABW18" s="996">
        <f t="shared" si="299"/>
        <v>0</v>
      </c>
      <c r="ABX18" s="996">
        <f t="shared" si="299"/>
        <v>0</v>
      </c>
      <c r="ABY18" s="996">
        <f t="shared" si="299"/>
        <v>0</v>
      </c>
      <c r="ABZ18" s="996">
        <f t="shared" si="299"/>
        <v>0</v>
      </c>
      <c r="ACA18" s="1001"/>
      <c r="ACB18" s="992">
        <f t="shared" ref="ACB18" si="300">IFERROR(IF(OR(ACB13="",ACB13=0,ACB13="n/a",ACB15="",ACB15=0,ACB13="n/a",ACB15=ACB13),0,ACB13/ACB15-1),0)</f>
        <v>0</v>
      </c>
      <c r="ACC18" s="996">
        <f t="shared" si="299"/>
        <v>0</v>
      </c>
      <c r="ACD18" s="996">
        <f t="shared" si="299"/>
        <v>0</v>
      </c>
      <c r="ACE18" s="996">
        <f t="shared" si="299"/>
        <v>0</v>
      </c>
      <c r="ACF18" s="996">
        <f t="shared" si="299"/>
        <v>0</v>
      </c>
      <c r="ACG18" s="996">
        <f t="shared" si="299"/>
        <v>0</v>
      </c>
      <c r="ACH18" s="996">
        <f t="shared" si="299"/>
        <v>0</v>
      </c>
      <c r="ACI18" s="996">
        <f t="shared" si="299"/>
        <v>0</v>
      </c>
      <c r="ACJ18" s="996">
        <f t="shared" si="299"/>
        <v>0</v>
      </c>
      <c r="ACK18" s="1001"/>
      <c r="ACL18" s="992">
        <f t="shared" ref="ACL18:ACO18" si="301">IFERROR(IF(OR(ACL13="",ACL13=0,ACL13="n/a",ACL15="",ACL15=0,ACL13="n/a",ACL15=ACL13),0,ACL13/ACL15-1),0)</f>
        <v>-0.4279499608783377</v>
      </c>
      <c r="ACM18" s="992">
        <f t="shared" si="301"/>
        <v>-0.42794996087833759</v>
      </c>
      <c r="ACN18" s="992">
        <f t="shared" si="301"/>
        <v>-0.42794996087833759</v>
      </c>
      <c r="ACO18" s="992">
        <f t="shared" si="301"/>
        <v>-0.4279499608783377</v>
      </c>
      <c r="ACP18" s="992">
        <f t="shared" ref="ACP18:ACV18" si="302">IFERROR(IF(OR(ACP13="",ACP13=0,ACP13="n/a",ACP15="",ACP15=0,ACP13="n/a",ACP15=ACP13),0,ACP13/ACP15-1),0)</f>
        <v>-0.42794996087833759</v>
      </c>
      <c r="ACQ18" s="992">
        <f t="shared" si="302"/>
        <v>-0.42794996087833759</v>
      </c>
      <c r="ACR18" s="992">
        <f t="shared" si="302"/>
        <v>-0.42794996087833759</v>
      </c>
      <c r="ACS18" s="992">
        <f t="shared" si="302"/>
        <v>-0.4279499608783377</v>
      </c>
      <c r="ACT18" s="992">
        <f t="shared" si="302"/>
        <v>-0.4279499608783377</v>
      </c>
      <c r="ACU18" s="992">
        <f t="shared" si="302"/>
        <v>-0.41205968201384569</v>
      </c>
      <c r="ACV18" s="992">
        <f t="shared" si="302"/>
        <v>-0.42678754992155132</v>
      </c>
      <c r="ACW18" s="992">
        <f t="shared" ref="ACW18" si="303">IFERROR(IF(OR(ACW13="",ACW13=0,ACW13="n/a",ACW15="",ACW15=0,ACW13="n/a",ACW15=ACW13),0,ACW13/ACW15-1),0)</f>
        <v>-0.42678754992155143</v>
      </c>
      <c r="ACX18" s="1004"/>
      <c r="ACY18" s="1004"/>
      <c r="ACZ18" s="1004"/>
      <c r="ADA18" s="997">
        <f t="shared" ref="ADA18:ADP18" si="304">IFERROR(IF(OR(ADA13="",ADA13=0,ADA13="n/a",ADA15="",ADA15=0,ADA13="n/a",ADA15=ADA13),0,ADA15-ADA13),0)</f>
        <v>0</v>
      </c>
      <c r="ADB18" s="997">
        <f t="shared" si="304"/>
        <v>0</v>
      </c>
      <c r="ADC18" s="997">
        <f t="shared" si="304"/>
        <v>0</v>
      </c>
      <c r="ADD18" s="997">
        <f t="shared" si="304"/>
        <v>0</v>
      </c>
      <c r="ADE18" s="997">
        <f t="shared" si="304"/>
        <v>0</v>
      </c>
      <c r="ADF18" s="997">
        <f t="shared" si="304"/>
        <v>0</v>
      </c>
      <c r="ADG18" s="997">
        <f t="shared" si="304"/>
        <v>0</v>
      </c>
      <c r="ADH18" s="997">
        <f t="shared" si="304"/>
        <v>0</v>
      </c>
      <c r="ADI18" s="997">
        <f t="shared" si="304"/>
        <v>0</v>
      </c>
      <c r="ADJ18" s="997">
        <f t="shared" si="304"/>
        <v>0</v>
      </c>
      <c r="ADK18" s="997">
        <f t="shared" si="304"/>
        <v>0</v>
      </c>
      <c r="ADL18" s="997">
        <f t="shared" si="304"/>
        <v>0</v>
      </c>
      <c r="ADM18" s="997">
        <f t="shared" si="304"/>
        <v>0</v>
      </c>
      <c r="ADN18" s="997">
        <f t="shared" si="304"/>
        <v>0</v>
      </c>
      <c r="ADO18" s="997">
        <f t="shared" si="304"/>
        <v>0</v>
      </c>
      <c r="ADP18" s="997">
        <f t="shared" si="304"/>
        <v>0</v>
      </c>
      <c r="ADQ18" s="1004"/>
      <c r="ADR18" s="992">
        <f t="shared" ref="ADR18" si="305">IFERROR(IF(OR(ADR13="",ADR13=0,ADR13="n/a",ADR15="",ADR15=0,ADR13="n/a",ADR15=ADR13),0,ADR13/ADR15-1),0)</f>
        <v>0</v>
      </c>
      <c r="ADS18" s="1002">
        <f t="shared" ref="ADS18:AFV18" si="306">IFERROR(IF(OR(ADS13="",ADS13=0,ADS13="n/a",ADS15="",ADS15=0,ADS13="n/a",ADS15=ADS13),0,ADS15-ADS13),0)</f>
        <v>0</v>
      </c>
      <c r="ADT18" s="1002">
        <f t="shared" si="306"/>
        <v>-0.10000000000000003</v>
      </c>
      <c r="ADU18" s="996">
        <f t="shared" si="306"/>
        <v>2.0486710834637323E-2</v>
      </c>
      <c r="ADV18" s="1002">
        <f t="shared" si="306"/>
        <v>-2.04867108346376E-2</v>
      </c>
      <c r="ADW18" s="1002">
        <f t="shared" si="306"/>
        <v>3.6054565868681249E-2</v>
      </c>
      <c r="ADX18" s="1002">
        <f t="shared" si="306"/>
        <v>2.0486710834637156E-2</v>
      </c>
      <c r="ADY18" s="1002">
        <f t="shared" si="306"/>
        <v>0</v>
      </c>
      <c r="ADZ18" s="1002">
        <f t="shared" si="306"/>
        <v>0</v>
      </c>
      <c r="AEA18" s="1004"/>
      <c r="AEB18" s="997">
        <f t="shared" ref="AEB18:AEK18" si="307">IFERROR(IF(OR(AEB13="",AEB13=0,AEB13="n/a",AEB15="",AEB15=0,AEB13="n/a",AEB15=AEB13),0,AEB15-AEB13),0)</f>
        <v>-1.7238088083691816E-2</v>
      </c>
      <c r="AEC18" s="997">
        <f t="shared" si="307"/>
        <v>-3.2100015269453608E-2</v>
      </c>
      <c r="AED18" s="997">
        <f t="shared" si="307"/>
        <v>-4.5694144582352381E-2</v>
      </c>
      <c r="AEE18" s="997">
        <f t="shared" si="307"/>
        <v>-5.7553313473624412E-2</v>
      </c>
      <c r="AEF18" s="997">
        <f t="shared" si="307"/>
        <v>-6.8288116893405165E-2</v>
      </c>
      <c r="AEG18" s="997">
        <f t="shared" si="307"/>
        <v>-7.8474265555242173E-2</v>
      </c>
      <c r="AEH18" s="997">
        <f t="shared" si="307"/>
        <v>-8.8101853835921562E-2</v>
      </c>
      <c r="AEI18" s="997">
        <f t="shared" si="307"/>
        <v>-9.6880148363740343E-2</v>
      </c>
      <c r="AEJ18" s="997">
        <f t="shared" si="307"/>
        <v>-0.10270907548162134</v>
      </c>
      <c r="AEK18" s="997">
        <f t="shared" si="307"/>
        <v>-0.19199778212948729</v>
      </c>
      <c r="AEL18" s="1004"/>
      <c r="AEM18" s="992">
        <f t="shared" ref="AEM18:AEW18" si="308">IFERROR(IF(OR(AEM13="",AEM13=0,AEM13="n/a",AEM15="",AEM15=0,AEM13="n/a",AEM15=AEM13),0,AEM13/AEM15-1),0)</f>
        <v>-6.5553849112768847E-2</v>
      </c>
      <c r="AEN18" s="992">
        <f t="shared" si="308"/>
        <v>-0.11561103995748101</v>
      </c>
      <c r="AEO18" s="992">
        <f t="shared" si="308"/>
        <v>-0.15676234840073489</v>
      </c>
      <c r="AEP18" s="992">
        <f t="shared" si="308"/>
        <v>-0.188999826223195</v>
      </c>
      <c r="AEQ18" s="992">
        <f t="shared" si="308"/>
        <v>-0.21810458376843567</v>
      </c>
      <c r="AER18" s="992">
        <f t="shared" si="308"/>
        <v>-0.24441319493402547</v>
      </c>
      <c r="AES18" s="992">
        <f t="shared" si="308"/>
        <v>-0.26822058692705208</v>
      </c>
      <c r="AET18" s="992">
        <f t="shared" si="308"/>
        <v>-0.28305455413912206</v>
      </c>
      <c r="AEU18" s="992">
        <f t="shared" si="308"/>
        <v>-0.29317717647331809</v>
      </c>
      <c r="AEV18" s="992">
        <f t="shared" si="308"/>
        <v>-0.30198532610729867</v>
      </c>
      <c r="AEW18" s="992">
        <f t="shared" si="308"/>
        <v>-0.23137990072238845</v>
      </c>
      <c r="AEX18" s="1004"/>
      <c r="AEY18" s="992">
        <f t="shared" ref="AEY18" si="309">IFERROR(IF(OR(AEY13="",AEY13=0,AEY13="n/a",AEY15="",AEY15=0,AEY13="n/a",AEY15=AEY13),0,AEY13/AEY15-1),0)</f>
        <v>1.6936278099644042E-4</v>
      </c>
      <c r="AEZ18" s="992">
        <f t="shared" ref="AEZ18:AFI18" si="310">IFERROR(IF(OR(AEZ13="",AEZ13=0,AEZ13="n/a",AEZ15="",AEZ15=0,AEZ13="n/a",AEZ15=AEZ13),0,AEZ13/AEZ15-1),0)</f>
        <v>1.6936278099666247E-4</v>
      </c>
      <c r="AFA18" s="992">
        <f t="shared" si="310"/>
        <v>1.6936278099644042E-4</v>
      </c>
      <c r="AFB18" s="992">
        <f t="shared" si="310"/>
        <v>1.6936278099644042E-4</v>
      </c>
      <c r="AFC18" s="992">
        <f t="shared" si="310"/>
        <v>1.6936278099644042E-4</v>
      </c>
      <c r="AFD18" s="992">
        <f t="shared" si="310"/>
        <v>1.6936278099666247E-4</v>
      </c>
      <c r="AFE18" s="992">
        <f t="shared" si="310"/>
        <v>1.6936278099666247E-4</v>
      </c>
      <c r="AFF18" s="992">
        <f t="shared" si="310"/>
        <v>1.6936278099666247E-4</v>
      </c>
      <c r="AFG18" s="992">
        <f t="shared" si="310"/>
        <v>1.6936278099666247E-4</v>
      </c>
      <c r="AFH18" s="992">
        <f t="shared" si="310"/>
        <v>-2.145844077292125E-3</v>
      </c>
      <c r="AFI18" s="992">
        <f t="shared" si="310"/>
        <v>0</v>
      </c>
      <c r="AFJ18" s="1004"/>
      <c r="AFK18" s="992">
        <f t="shared" ref="AFK18:AFU18" si="311">IFERROR(IF(OR(AFK13="",AFK13=0,AFK13="n/a",AFK15="",AFK15=0,AFK13="n/a",AFK15=AFK13),0,AFK13/AFK15-1),0)</f>
        <v>1.6936278099644042E-4</v>
      </c>
      <c r="AFL18" s="992">
        <f t="shared" si="311"/>
        <v>1.6936278099666247E-4</v>
      </c>
      <c r="AFM18" s="992">
        <f t="shared" si="311"/>
        <v>1.6936278099644042E-4</v>
      </c>
      <c r="AFN18" s="992">
        <f t="shared" si="311"/>
        <v>1.6936278099644042E-4</v>
      </c>
      <c r="AFO18" s="992">
        <f t="shared" si="311"/>
        <v>1.6936278099644042E-4</v>
      </c>
      <c r="AFP18" s="992">
        <f t="shared" si="311"/>
        <v>1.6936278099666247E-4</v>
      </c>
      <c r="AFQ18" s="992">
        <f t="shared" si="311"/>
        <v>1.6936278099666247E-4</v>
      </c>
      <c r="AFR18" s="992">
        <f t="shared" si="311"/>
        <v>1.6936278099666247E-4</v>
      </c>
      <c r="AFS18" s="992">
        <f t="shared" si="311"/>
        <v>1.6936278099666247E-4</v>
      </c>
      <c r="AFT18" s="992">
        <f t="shared" si="311"/>
        <v>-2.145844077292125E-3</v>
      </c>
      <c r="AFU18" s="992">
        <f t="shared" si="311"/>
        <v>0</v>
      </c>
      <c r="AFV18" s="997">
        <f t="shared" si="306"/>
        <v>0</v>
      </c>
      <c r="AFW18" s="1004"/>
      <c r="AFX18" s="996">
        <f t="shared" ref="AFX18" si="312">IFERROR(IF(OR(AFX13="",AFX13=0,AFX13="n/a",AFX15="",AFX15=0,AFX13="n/a",AFX15=AFX13),0,AFX15-AFX13),0)</f>
        <v>0</v>
      </c>
      <c r="AFY18" s="1004"/>
      <c r="AFZ18" s="992">
        <f t="shared" ref="AFZ18:AGD18" si="313">IFERROR(IF(OR(AFZ13="",AFZ13=0,AFZ13="n/a",AFZ15="",AFZ15=0,AFZ13="n/a",AFZ15=AFZ13),0,AFZ13/AFZ15-1),0)</f>
        <v>-1.0747603284466667E-4</v>
      </c>
      <c r="AGA18" s="992">
        <f t="shared" si="313"/>
        <v>-1.0747603284466667E-4</v>
      </c>
      <c r="AGB18" s="992">
        <f t="shared" si="313"/>
        <v>-3.3755236559187884E-2</v>
      </c>
      <c r="AGC18" s="992">
        <f t="shared" si="313"/>
        <v>-9.9094328106347218E-3</v>
      </c>
      <c r="AGD18" s="992">
        <f t="shared" si="313"/>
        <v>-3.8425247820767949E-2</v>
      </c>
      <c r="AGE18" s="1004"/>
      <c r="AGF18" s="992">
        <f t="shared" ref="AGF18:AGJ18" si="314">IFERROR(IF(OR(AGF13="",AGF13=0,AGF13="n/a",AGF15="",AGF15=0,AGF13="n/a",AGF15=AGF13),0,AGF13/AGF15-1),0)</f>
        <v>0</v>
      </c>
      <c r="AGG18" s="992">
        <f t="shared" si="314"/>
        <v>3.3071149993637583E-3</v>
      </c>
      <c r="AGH18" s="992">
        <f t="shared" si="314"/>
        <v>-3.6233274777725311E-2</v>
      </c>
      <c r="AGI18" s="992">
        <f t="shared" si="314"/>
        <v>-3.4801649024199577E-2</v>
      </c>
      <c r="AGJ18" s="992">
        <f t="shared" si="314"/>
        <v>-3.8425247820768171E-2</v>
      </c>
      <c r="AGK18" s="1004"/>
      <c r="AGL18" s="1004"/>
      <c r="AGM18" s="997">
        <f t="shared" ref="AGM18:AIB18" si="315">IFERROR(IF(OR(AGM13="",AGM13=0,AGM13="n/a",AGM15="",AGM15=0,AGM13="n/a",AGM15=AGM13),0,AGM15-AGM13),0)</f>
        <v>0</v>
      </c>
      <c r="AGN18" s="997">
        <f t="shared" si="315"/>
        <v>0</v>
      </c>
      <c r="AGO18" s="997">
        <f t="shared" si="315"/>
        <v>0</v>
      </c>
      <c r="AGP18" s="997">
        <f t="shared" si="315"/>
        <v>0</v>
      </c>
      <c r="AGQ18" s="997">
        <f t="shared" si="315"/>
        <v>0</v>
      </c>
      <c r="AGR18" s="997">
        <f t="shared" si="315"/>
        <v>-9.6687597728452937E-3</v>
      </c>
      <c r="AGS18" s="997">
        <f t="shared" si="315"/>
        <v>0</v>
      </c>
      <c r="AGT18" s="997">
        <f t="shared" si="315"/>
        <v>0</v>
      </c>
      <c r="AGU18" s="997">
        <f t="shared" si="315"/>
        <v>0</v>
      </c>
      <c r="AGV18" s="997">
        <f t="shared" si="315"/>
        <v>0</v>
      </c>
      <c r="AGW18" s="997">
        <f t="shared" si="315"/>
        <v>0</v>
      </c>
      <c r="AGX18" s="997">
        <f t="shared" si="315"/>
        <v>0</v>
      </c>
      <c r="AGY18" s="997">
        <f t="shared" si="315"/>
        <v>0</v>
      </c>
      <c r="AGZ18" s="997">
        <f t="shared" si="315"/>
        <v>0</v>
      </c>
      <c r="AHA18" s="997">
        <f t="shared" si="315"/>
        <v>0</v>
      </c>
      <c r="AHB18" s="997">
        <f t="shared" si="315"/>
        <v>0</v>
      </c>
      <c r="AHC18" s="997">
        <f t="shared" si="315"/>
        <v>0</v>
      </c>
      <c r="AHD18" s="1004"/>
      <c r="AHE18" s="996">
        <f t="shared" si="315"/>
        <v>0</v>
      </c>
      <c r="AHF18" s="996">
        <f t="shared" si="315"/>
        <v>0</v>
      </c>
      <c r="AHG18" s="996">
        <f t="shared" si="315"/>
        <v>0</v>
      </c>
      <c r="AHH18" s="996">
        <f t="shared" si="315"/>
        <v>0</v>
      </c>
      <c r="AHI18" s="996">
        <f t="shared" si="315"/>
        <v>0</v>
      </c>
      <c r="AHJ18" s="996">
        <f t="shared" si="315"/>
        <v>0</v>
      </c>
      <c r="AHK18" s="996">
        <f t="shared" si="315"/>
        <v>0</v>
      </c>
      <c r="AHL18" s="996">
        <f t="shared" si="315"/>
        <v>0</v>
      </c>
      <c r="AHM18" s="996">
        <f t="shared" si="315"/>
        <v>0</v>
      </c>
      <c r="AHN18" s="996">
        <f t="shared" si="315"/>
        <v>0</v>
      </c>
      <c r="AHO18" s="996">
        <f t="shared" si="315"/>
        <v>0</v>
      </c>
      <c r="AHP18" s="996">
        <f t="shared" si="315"/>
        <v>0</v>
      </c>
      <c r="AHQ18" s="1004"/>
      <c r="AHR18" s="997">
        <f t="shared" si="315"/>
        <v>1.0000000000000286E-4</v>
      </c>
      <c r="AHS18" s="997">
        <f t="shared" si="315"/>
        <v>1.0000000000000286E-4</v>
      </c>
      <c r="AHT18" s="997">
        <f t="shared" si="315"/>
        <v>1.0000000000000286E-4</v>
      </c>
      <c r="AHU18" s="997">
        <f t="shared" si="315"/>
        <v>1.0000000000000286E-4</v>
      </c>
      <c r="AHV18" s="997">
        <f t="shared" si="315"/>
        <v>1.0000000000000286E-4</v>
      </c>
      <c r="AHW18" s="997">
        <f t="shared" si="315"/>
        <v>1.0000000000000286E-4</v>
      </c>
      <c r="AHX18" s="997">
        <f t="shared" si="315"/>
        <v>1.0000000000000286E-4</v>
      </c>
      <c r="AHY18" s="997">
        <f t="shared" si="315"/>
        <v>1.0000000000000286E-4</v>
      </c>
      <c r="AHZ18" s="997">
        <f t="shared" si="315"/>
        <v>1.0000000000000286E-4</v>
      </c>
      <c r="AIA18" s="997">
        <f t="shared" si="315"/>
        <v>9.9999999999988987E-5</v>
      </c>
      <c r="AIB18" s="997">
        <f t="shared" si="315"/>
        <v>9.9999999999988987E-5</v>
      </c>
    </row>
    <row r="19" spans="1:912" x14ac:dyDescent="0.45">
      <c r="Q19" s="213"/>
      <c r="X19" s="213"/>
      <c r="AB19" s="213"/>
      <c r="AG19" s="213"/>
      <c r="AO19" s="213"/>
      <c r="AR19" s="213"/>
      <c r="AU19" s="213"/>
    </row>
    <row r="20" spans="1:912" x14ac:dyDescent="0.45">
      <c r="A20" s="125" t="s">
        <v>230</v>
      </c>
      <c r="B20" s="937">
        <f>B2</f>
        <v>46129</v>
      </c>
      <c r="CI20" s="258" t="s">
        <v>304</v>
      </c>
      <c r="CK20" s="137" t="str">
        <f>$CK$11</f>
        <v>Revenue Countries Fiscal Year</v>
      </c>
      <c r="CL20" s="137"/>
      <c r="CM20" s="137"/>
      <c r="CN20" s="137"/>
      <c r="CO20" s="137"/>
      <c r="CP20" s="137"/>
      <c r="CQ20" s="137"/>
      <c r="CR20" s="137"/>
      <c r="CS20" s="137"/>
      <c r="CT20" s="137"/>
      <c r="CV20" s="315" t="str">
        <f>$CV$11</f>
        <v>Revenue Fiscal Year of Countries</v>
      </c>
      <c r="CW20" s="137"/>
      <c r="CX20" s="137"/>
      <c r="CY20" s="137"/>
      <c r="CZ20" s="137"/>
      <c r="DA20" s="137"/>
      <c r="DB20" s="137"/>
      <c r="DC20" s="137"/>
      <c r="DD20" s="137"/>
      <c r="DE20" s="137"/>
      <c r="DF20" s="137"/>
      <c r="DH20" s="137" t="str">
        <f>$DH$11</f>
        <v>Industries Fiscal Year</v>
      </c>
      <c r="DI20" s="137"/>
      <c r="DJ20" s="137"/>
      <c r="DK20" s="137"/>
      <c r="DL20" s="137"/>
      <c r="DM20" s="137"/>
      <c r="DN20" s="137"/>
      <c r="DO20" s="137"/>
      <c r="DP20" s="137"/>
      <c r="DQ20" s="137"/>
      <c r="DS20" s="315" t="str">
        <f>$DS$11</f>
        <v>Revenue Fiscal Year of Industries</v>
      </c>
      <c r="DT20" s="137"/>
      <c r="DU20" s="137"/>
      <c r="DV20" s="137"/>
      <c r="DW20" s="137"/>
      <c r="DX20" s="137"/>
      <c r="DY20" s="137"/>
      <c r="DZ20" s="137"/>
      <c r="EA20" s="137"/>
      <c r="EB20" s="137"/>
      <c r="EC20" s="137"/>
    </row>
    <row r="21" spans="1:912" x14ac:dyDescent="0.45">
      <c r="A21" s="125"/>
      <c r="B21" s="938">
        <v>46129</v>
      </c>
      <c r="CJ21" s="291">
        <v>1</v>
      </c>
      <c r="CK21" s="375" t="str">
        <f>$CK$13</f>
        <v>United States</v>
      </c>
      <c r="CL21" s="375"/>
      <c r="CM21" s="375"/>
      <c r="CN21" s="375"/>
      <c r="CO21" s="375"/>
      <c r="CP21" s="375"/>
      <c r="CQ21" s="375"/>
      <c r="CR21" s="375"/>
      <c r="CS21" s="375"/>
      <c r="CT21" s="375"/>
      <c r="CU21" s="291">
        <v>1</v>
      </c>
      <c r="CV21" s="111">
        <f>$CV$13/SUM($CV$13:$DF$13)</f>
        <v>0.37210274374769864</v>
      </c>
      <c r="CW21" s="112"/>
      <c r="CX21" s="112"/>
      <c r="CY21" s="112"/>
      <c r="CZ21" s="112"/>
      <c r="DA21" s="112"/>
      <c r="DB21" s="112"/>
      <c r="DC21" s="112"/>
      <c r="DD21" s="112"/>
      <c r="DE21" s="112"/>
      <c r="DF21" s="112"/>
      <c r="DG21" s="291">
        <v>1</v>
      </c>
      <c r="DH21" s="375" t="str">
        <f>$DH$13</f>
        <v>Interactive Media and Services</v>
      </c>
      <c r="DI21" s="375"/>
      <c r="DJ21" s="375"/>
      <c r="DK21" s="375"/>
      <c r="DL21" s="375"/>
      <c r="DM21" s="375"/>
      <c r="DN21" s="375"/>
      <c r="DO21" s="375"/>
      <c r="DP21" s="375"/>
      <c r="DQ21" s="375"/>
      <c r="DR21" s="291">
        <v>1</v>
      </c>
      <c r="DS21" s="111">
        <f>$DS$13/SUM($DS$13:$EC$13)</f>
        <v>0.98901804285301986</v>
      </c>
      <c r="DT21" s="112"/>
      <c r="DU21" s="112"/>
      <c r="DV21" s="112"/>
      <c r="DW21" s="112"/>
      <c r="DX21" s="112"/>
      <c r="DY21" s="112"/>
      <c r="DZ21" s="112"/>
      <c r="EA21" s="112"/>
      <c r="EB21" s="112"/>
      <c r="EC21" s="112"/>
    </row>
    <row r="22" spans="1:912" x14ac:dyDescent="0.45">
      <c r="CJ22" s="291">
        <f>CJ21+1</f>
        <v>2</v>
      </c>
      <c r="CK22" s="375" t="str">
        <f>$CL$13</f>
        <v>Canada</v>
      </c>
      <c r="CL22" s="375"/>
      <c r="CM22" s="375"/>
      <c r="CN22" s="375"/>
      <c r="CO22" s="375"/>
      <c r="CP22" s="375"/>
      <c r="CQ22" s="375"/>
      <c r="CR22" s="375"/>
      <c r="CS22" s="375"/>
      <c r="CT22" s="375"/>
      <c r="CU22" s="291">
        <f>CU21+1</f>
        <v>2</v>
      </c>
      <c r="CV22" s="111">
        <f>$CW$13/SUM($CV$13:$DF$13)</f>
        <v>2.0331797418468796E-2</v>
      </c>
      <c r="CW22" s="112"/>
      <c r="CX22" s="112"/>
      <c r="CY22" s="112"/>
      <c r="CZ22" s="112"/>
      <c r="DA22" s="112"/>
      <c r="DB22" s="112"/>
      <c r="DC22" s="112"/>
      <c r="DD22" s="112"/>
      <c r="DE22" s="112"/>
      <c r="DF22" s="112"/>
      <c r="DG22" s="291">
        <f>DG21+1</f>
        <v>2</v>
      </c>
      <c r="DH22" s="375" t="str">
        <f>$DI$13</f>
        <v>Technology Hardware, Storage &amp; Peripherals</v>
      </c>
      <c r="DI22" s="375"/>
      <c r="DJ22" s="375"/>
      <c r="DK22" s="375"/>
      <c r="DL22" s="375"/>
      <c r="DM22" s="375"/>
      <c r="DN22" s="375"/>
      <c r="DO22" s="375"/>
      <c r="DP22" s="375"/>
      <c r="DQ22" s="375"/>
      <c r="DR22" s="291">
        <f>DR21+1</f>
        <v>2</v>
      </c>
      <c r="DS22" s="111">
        <f>$DT$13/SUM($DS$13:$EC$13)</f>
        <v>1.0981957146980087E-2</v>
      </c>
      <c r="DT22" s="112"/>
      <c r="DU22" s="112"/>
      <c r="DV22" s="112"/>
      <c r="DW22" s="112"/>
      <c r="DX22" s="112"/>
      <c r="DY22" s="112"/>
      <c r="DZ22" s="112"/>
      <c r="EA22" s="112"/>
      <c r="EB22" s="112"/>
      <c r="EC22" s="112"/>
    </row>
    <row r="23" spans="1:912" x14ac:dyDescent="0.45">
      <c r="CJ23" s="291">
        <f t="shared" ref="CJ23:CJ30" si="316">CJ22+1</f>
        <v>3</v>
      </c>
      <c r="CK23" s="375" t="str">
        <f>$CM$13</f>
        <v>Europe</v>
      </c>
      <c r="CL23" s="375"/>
      <c r="CM23" s="375"/>
      <c r="CN23" s="375"/>
      <c r="CO23" s="375"/>
      <c r="CP23" s="375"/>
      <c r="CQ23" s="375"/>
      <c r="CR23" s="375"/>
      <c r="CS23" s="375"/>
      <c r="CT23" s="375"/>
      <c r="CU23" s="291">
        <f t="shared" ref="CU23:CU30" si="317">CU22+1</f>
        <v>3</v>
      </c>
      <c r="CV23" s="111">
        <f>$CX$13/SUM($CV$13:$DF$13)</f>
        <v>0.23172576455718877</v>
      </c>
      <c r="CW23" s="112"/>
      <c r="CX23" s="112"/>
      <c r="CY23" s="112"/>
      <c r="CZ23" s="112"/>
      <c r="DA23" s="112"/>
      <c r="DB23" s="112"/>
      <c r="DC23" s="112"/>
      <c r="DD23" s="112"/>
      <c r="DE23" s="112"/>
      <c r="DF23" s="112"/>
      <c r="DG23" s="291">
        <f t="shared" ref="DG23:DG30" si="318">DG22+1</f>
        <v>3</v>
      </c>
      <c r="DH23" s="375" t="str">
        <f>$DJ$13</f>
        <v>Interactive Media &amp; Services</v>
      </c>
      <c r="DI23" s="375"/>
      <c r="DJ23" s="375"/>
      <c r="DK23" s="375"/>
      <c r="DL23" s="375"/>
      <c r="DM23" s="375"/>
      <c r="DN23" s="375"/>
      <c r="DO23" s="375"/>
      <c r="DP23" s="375"/>
      <c r="DQ23" s="375"/>
      <c r="DR23" s="291">
        <f t="shared" ref="DR23:DR30" si="319">DR22+1</f>
        <v>3</v>
      </c>
      <c r="DS23" s="111">
        <f>$DU$13/SUM($DS$13:$EC$13)</f>
        <v>0</v>
      </c>
      <c r="DT23" s="112"/>
      <c r="DU23" s="112"/>
      <c r="DV23" s="112"/>
      <c r="DW23" s="112"/>
      <c r="DX23" s="112"/>
      <c r="DY23" s="112"/>
      <c r="DZ23" s="112"/>
      <c r="EA23" s="112"/>
      <c r="EB23" s="112"/>
      <c r="EC23" s="112"/>
    </row>
    <row r="24" spans="1:912" x14ac:dyDescent="0.45">
      <c r="CJ24" s="291">
        <f t="shared" si="316"/>
        <v>4</v>
      </c>
      <c r="CK24" s="375" t="str">
        <f>$CN$13</f>
        <v>Asia-Pacific</v>
      </c>
      <c r="CL24" s="375"/>
      <c r="CM24" s="375"/>
      <c r="CN24" s="375"/>
      <c r="CO24" s="375"/>
      <c r="CP24" s="375"/>
      <c r="CQ24" s="375"/>
      <c r="CR24" s="375"/>
      <c r="CS24" s="375"/>
      <c r="CT24" s="375"/>
      <c r="CU24" s="291">
        <f t="shared" si="317"/>
        <v>4</v>
      </c>
      <c r="CV24" s="111">
        <f>$CY$13/SUM($CV$13:$DF$13)</f>
        <v>0.26779156673268117</v>
      </c>
      <c r="CW24" s="112"/>
      <c r="CX24" s="112"/>
      <c r="CY24" s="112"/>
      <c r="CZ24" s="112"/>
      <c r="DA24" s="112"/>
      <c r="DB24" s="112"/>
      <c r="DC24" s="112"/>
      <c r="DD24" s="112"/>
      <c r="DE24" s="112"/>
      <c r="DF24" s="112"/>
      <c r="DG24" s="291">
        <f t="shared" si="318"/>
        <v>4</v>
      </c>
      <c r="DH24" s="375" t="str">
        <f>$DK$13</f>
        <v>0</v>
      </c>
      <c r="DI24" s="375"/>
      <c r="DJ24" s="375"/>
      <c r="DK24" s="375"/>
      <c r="DL24" s="375"/>
      <c r="DM24" s="375"/>
      <c r="DN24" s="375"/>
      <c r="DO24" s="375"/>
      <c r="DP24" s="375"/>
      <c r="DQ24" s="375"/>
      <c r="DR24" s="291">
        <f t="shared" si="319"/>
        <v>4</v>
      </c>
      <c r="DS24" s="111">
        <f>$DV$13/SUM($DS$13:$EC$13)</f>
        <v>0</v>
      </c>
      <c r="DT24" s="112"/>
      <c r="DU24" s="112"/>
      <c r="DV24" s="112"/>
      <c r="DW24" s="112"/>
      <c r="DX24" s="112"/>
      <c r="DY24" s="112"/>
      <c r="DZ24" s="112"/>
      <c r="EA24" s="112"/>
      <c r="EB24" s="112"/>
      <c r="EC24" s="112"/>
    </row>
    <row r="25" spans="1:912" x14ac:dyDescent="0.45">
      <c r="CJ25" s="291">
        <f t="shared" si="316"/>
        <v>5</v>
      </c>
      <c r="CK25" s="375" t="str">
        <f>$CO$13</f>
        <v>Rest of The World</v>
      </c>
      <c r="CL25" s="375"/>
      <c r="CM25" s="375"/>
      <c r="CN25" s="375"/>
      <c r="CO25" s="375"/>
      <c r="CP25" s="375"/>
      <c r="CQ25" s="375"/>
      <c r="CR25" s="375"/>
      <c r="CS25" s="375"/>
      <c r="CT25" s="375"/>
      <c r="CU25" s="291">
        <f t="shared" si="317"/>
        <v>5</v>
      </c>
      <c r="CV25" s="111">
        <f>$CZ$13/SUM($CV$13:$DF$13)</f>
        <v>0.10804812754396266</v>
      </c>
      <c r="CW25" s="112"/>
      <c r="CX25" s="112"/>
      <c r="CY25" s="112"/>
      <c r="CZ25" s="112"/>
      <c r="DA25" s="112"/>
      <c r="DB25" s="112"/>
      <c r="DC25" s="112"/>
      <c r="DD25" s="112"/>
      <c r="DE25" s="112"/>
      <c r="DF25" s="112"/>
      <c r="DG25" s="291">
        <f t="shared" si="318"/>
        <v>5</v>
      </c>
      <c r="DH25" s="375" t="str">
        <f>$DL$13</f>
        <v>0</v>
      </c>
      <c r="DI25" s="375"/>
      <c r="DJ25" s="375"/>
      <c r="DK25" s="375"/>
      <c r="DL25" s="375"/>
      <c r="DM25" s="375"/>
      <c r="DN25" s="375"/>
      <c r="DO25" s="375"/>
      <c r="DP25" s="375"/>
      <c r="DQ25" s="375"/>
      <c r="DR25" s="291">
        <f t="shared" si="319"/>
        <v>5</v>
      </c>
      <c r="DS25" s="111">
        <f>$DW$13/SUM($DS$13:$EC$13)</f>
        <v>0</v>
      </c>
      <c r="DT25" s="112"/>
      <c r="DU25" s="112"/>
      <c r="DV25" s="112"/>
      <c r="DW25" s="112"/>
      <c r="DX25" s="112"/>
      <c r="DY25" s="112"/>
      <c r="DZ25" s="112"/>
      <c r="EA25" s="112"/>
      <c r="EB25" s="112"/>
      <c r="EC25" s="112"/>
    </row>
    <row r="26" spans="1:912" x14ac:dyDescent="0.45">
      <c r="CJ26" s="291">
        <f t="shared" si="316"/>
        <v>6</v>
      </c>
      <c r="CK26" s="375" t="str">
        <f>$CP$13</f>
        <v>Segment Adjustment</v>
      </c>
      <c r="CL26" s="375"/>
      <c r="CM26" s="375"/>
      <c r="CN26" s="375"/>
      <c r="CO26" s="375"/>
      <c r="CP26" s="375"/>
      <c r="CQ26" s="375"/>
      <c r="CR26" s="375"/>
      <c r="CS26" s="375"/>
      <c r="CT26" s="375"/>
      <c r="CU26" s="291">
        <f t="shared" si="317"/>
        <v>6</v>
      </c>
      <c r="CV26" s="111">
        <f>$DA$13/SUM($CV$13:$DF$13)</f>
        <v>0</v>
      </c>
      <c r="CW26" s="112"/>
      <c r="CX26" s="112"/>
      <c r="CY26" s="112"/>
      <c r="CZ26" s="112"/>
      <c r="DA26" s="112"/>
      <c r="DB26" s="112"/>
      <c r="DC26" s="112"/>
      <c r="DD26" s="112"/>
      <c r="DE26" s="112"/>
      <c r="DF26" s="112"/>
      <c r="DG26" s="291">
        <f t="shared" si="318"/>
        <v>6</v>
      </c>
      <c r="DH26" s="375" t="str">
        <f>$DM$13</f>
        <v>0</v>
      </c>
      <c r="DI26" s="375"/>
      <c r="DJ26" s="375"/>
      <c r="DK26" s="375"/>
      <c r="DL26" s="375"/>
      <c r="DM26" s="375"/>
      <c r="DN26" s="375"/>
      <c r="DO26" s="375"/>
      <c r="DP26" s="375"/>
      <c r="DQ26" s="375"/>
      <c r="DR26" s="291">
        <f t="shared" si="319"/>
        <v>6</v>
      </c>
      <c r="DS26" s="111">
        <f>$DX$13/SUM($DS$13:$EC$13)</f>
        <v>0</v>
      </c>
      <c r="DT26" s="112"/>
      <c r="DU26" s="112"/>
      <c r="DV26" s="112"/>
      <c r="DW26" s="112"/>
      <c r="DX26" s="112"/>
      <c r="DY26" s="112"/>
      <c r="DZ26" s="112"/>
      <c r="EA26" s="112"/>
      <c r="EB26" s="112"/>
      <c r="EC26" s="112"/>
    </row>
    <row r="27" spans="1:912" x14ac:dyDescent="0.45">
      <c r="CJ27" s="291">
        <f t="shared" si="316"/>
        <v>7</v>
      </c>
      <c r="CK27" s="375" t="str">
        <f>$CQ$13</f>
        <v>United States and Canada</v>
      </c>
      <c r="CL27" s="375"/>
      <c r="CM27" s="375"/>
      <c r="CN27" s="375"/>
      <c r="CO27" s="375"/>
      <c r="CP27" s="375"/>
      <c r="CQ27" s="375"/>
      <c r="CR27" s="375"/>
      <c r="CS27" s="375"/>
      <c r="CT27" s="375"/>
      <c r="CU27" s="291">
        <f t="shared" si="317"/>
        <v>7</v>
      </c>
      <c r="CV27" s="111">
        <f>$DB$13/SUM($CV$13:$DF$13)</f>
        <v>0</v>
      </c>
      <c r="CW27" s="112"/>
      <c r="CX27" s="112"/>
      <c r="CY27" s="112"/>
      <c r="CZ27" s="112"/>
      <c r="DA27" s="112"/>
      <c r="DB27" s="112"/>
      <c r="DC27" s="112"/>
      <c r="DD27" s="112"/>
      <c r="DE27" s="112"/>
      <c r="DF27" s="112"/>
      <c r="DG27" s="291">
        <f t="shared" si="318"/>
        <v>7</v>
      </c>
      <c r="DH27" s="375" t="str">
        <f>$DN$13</f>
        <v>0</v>
      </c>
      <c r="DI27" s="375"/>
      <c r="DJ27" s="375"/>
      <c r="DK27" s="375"/>
      <c r="DL27" s="375"/>
      <c r="DM27" s="375"/>
      <c r="DN27" s="375"/>
      <c r="DO27" s="375"/>
      <c r="DP27" s="375"/>
      <c r="DQ27" s="375"/>
      <c r="DR27" s="291">
        <f t="shared" si="319"/>
        <v>7</v>
      </c>
      <c r="DS27" s="111">
        <f>$DY$13/SUM($DS$13:$EC$13)</f>
        <v>0</v>
      </c>
      <c r="DT27" s="112"/>
      <c r="DU27" s="112"/>
      <c r="DV27" s="112"/>
      <c r="DW27" s="112"/>
      <c r="DX27" s="112"/>
      <c r="DY27" s="112"/>
      <c r="DZ27" s="112"/>
      <c r="EA27" s="112"/>
      <c r="EB27" s="112"/>
      <c r="EC27" s="112"/>
    </row>
    <row r="28" spans="1:912" x14ac:dyDescent="0.45">
      <c r="CJ28" s="291">
        <f t="shared" si="316"/>
        <v>8</v>
      </c>
      <c r="CK28" s="375" t="str">
        <f>$CR$13</f>
        <v>Asia-Pacific (Excl.China)</v>
      </c>
      <c r="CL28" s="375"/>
      <c r="CM28" s="375"/>
      <c r="CN28" s="375"/>
      <c r="CO28" s="375"/>
      <c r="CP28" s="375"/>
      <c r="CQ28" s="375"/>
      <c r="CR28" s="375"/>
      <c r="CS28" s="375"/>
      <c r="CT28" s="375"/>
      <c r="CU28" s="291">
        <f t="shared" si="317"/>
        <v>8</v>
      </c>
      <c r="CV28" s="111">
        <f>$DC$13/SUM($CV$13:$DF$13)</f>
        <v>0</v>
      </c>
      <c r="CW28" s="112"/>
      <c r="CX28" s="112"/>
      <c r="CY28" s="112"/>
      <c r="CZ28" s="112"/>
      <c r="DA28" s="112"/>
      <c r="DB28" s="112"/>
      <c r="DC28" s="112"/>
      <c r="DD28" s="112"/>
      <c r="DE28" s="112"/>
      <c r="DF28" s="112"/>
      <c r="DG28" s="291">
        <f t="shared" si="318"/>
        <v>8</v>
      </c>
      <c r="DH28" s="375" t="str">
        <f>$DO$13</f>
        <v>0</v>
      </c>
      <c r="DI28" s="375"/>
      <c r="DJ28" s="375"/>
      <c r="DK28" s="375"/>
      <c r="DL28" s="375"/>
      <c r="DM28" s="375"/>
      <c r="DN28" s="375"/>
      <c r="DO28" s="375"/>
      <c r="DP28" s="375"/>
      <c r="DQ28" s="375"/>
      <c r="DR28" s="291">
        <f t="shared" si="319"/>
        <v>8</v>
      </c>
      <c r="DS28" s="111">
        <f>$DZ$13/SUM($DS$13:$EC$13)</f>
        <v>0</v>
      </c>
      <c r="DT28" s="112"/>
      <c r="DU28" s="112"/>
      <c r="DV28" s="112"/>
      <c r="DW28" s="112"/>
      <c r="DX28" s="112"/>
      <c r="DY28" s="112"/>
      <c r="DZ28" s="112"/>
      <c r="EA28" s="112"/>
      <c r="EB28" s="112"/>
      <c r="EC28" s="112"/>
    </row>
    <row r="29" spans="1:912" x14ac:dyDescent="0.45">
      <c r="CJ29" s="291">
        <f t="shared" si="316"/>
        <v>9</v>
      </c>
      <c r="CK29" s="375" t="str">
        <f>$CS$13</f>
        <v>China</v>
      </c>
      <c r="CL29" s="375"/>
      <c r="CM29" s="375"/>
      <c r="CN29" s="375"/>
      <c r="CO29" s="375"/>
      <c r="CP29" s="375"/>
      <c r="CQ29" s="375"/>
      <c r="CR29" s="375"/>
      <c r="CS29" s="375"/>
      <c r="CT29" s="375"/>
      <c r="CU29" s="291">
        <f t="shared" si="317"/>
        <v>9</v>
      </c>
      <c r="CV29" s="111">
        <f>$DD$13/SUM($CV$13:$DF$13)</f>
        <v>0</v>
      </c>
      <c r="CW29" s="112"/>
      <c r="CX29" s="112"/>
      <c r="CY29" s="112"/>
      <c r="CZ29" s="112"/>
      <c r="DA29" s="112"/>
      <c r="DB29" s="112"/>
      <c r="DC29" s="112"/>
      <c r="DD29" s="112"/>
      <c r="DE29" s="112"/>
      <c r="DF29" s="112"/>
      <c r="DG29" s="291">
        <f t="shared" si="318"/>
        <v>9</v>
      </c>
      <c r="DH29" s="375" t="str">
        <f>$DP$13</f>
        <v>0</v>
      </c>
      <c r="DI29" s="375"/>
      <c r="DJ29" s="375"/>
      <c r="DK29" s="375"/>
      <c r="DL29" s="375"/>
      <c r="DM29" s="375"/>
      <c r="DN29" s="375"/>
      <c r="DO29" s="375"/>
      <c r="DP29" s="375"/>
      <c r="DQ29" s="375"/>
      <c r="DR29" s="291">
        <f t="shared" si="319"/>
        <v>9</v>
      </c>
      <c r="DS29" s="111">
        <f>$EA$13/SUM($DS$13:$EC$13)</f>
        <v>0</v>
      </c>
      <c r="DT29" s="112"/>
      <c r="DU29" s="112"/>
      <c r="DV29" s="112"/>
      <c r="DW29" s="112"/>
      <c r="DX29" s="112"/>
      <c r="DY29" s="112"/>
      <c r="DZ29" s="112"/>
      <c r="EA29" s="112"/>
      <c r="EB29" s="112"/>
      <c r="EC29" s="112"/>
    </row>
    <row r="30" spans="1:912" x14ac:dyDescent="0.45">
      <c r="CJ30" s="291">
        <f t="shared" si="316"/>
        <v>10</v>
      </c>
      <c r="CK30" s="375" t="str">
        <f>$CT$13</f>
        <v>Sweden</v>
      </c>
      <c r="CL30" s="375"/>
      <c r="CM30" s="375"/>
      <c r="CN30" s="375"/>
      <c r="CO30" s="375"/>
      <c r="CP30" s="375"/>
      <c r="CQ30" s="375"/>
      <c r="CR30" s="375"/>
      <c r="CS30" s="375"/>
      <c r="CT30" s="375"/>
      <c r="CU30" s="291">
        <f t="shared" si="317"/>
        <v>10</v>
      </c>
      <c r="CV30" s="111">
        <f>$DE$13/SUM($CV$13:$DF$13)</f>
        <v>0</v>
      </c>
      <c r="CW30" s="112"/>
      <c r="CX30" s="112"/>
      <c r="CY30" s="112"/>
      <c r="CZ30" s="112"/>
      <c r="DA30" s="112"/>
      <c r="DB30" s="112"/>
      <c r="DC30" s="112"/>
      <c r="DD30" s="112"/>
      <c r="DE30" s="112"/>
      <c r="DF30" s="112"/>
      <c r="DG30" s="291">
        <f t="shared" si="318"/>
        <v>10</v>
      </c>
      <c r="DH30" s="375" t="str">
        <f>$DQ$13</f>
        <v>0</v>
      </c>
      <c r="DI30" s="375"/>
      <c r="DJ30" s="375"/>
      <c r="DK30" s="375"/>
      <c r="DL30" s="375"/>
      <c r="DM30" s="375"/>
      <c r="DN30" s="375"/>
      <c r="DO30" s="375"/>
      <c r="DP30" s="375"/>
      <c r="DQ30" s="375"/>
      <c r="DR30" s="291">
        <f t="shared" si="319"/>
        <v>10</v>
      </c>
      <c r="DS30" s="111">
        <f>$EB$13/SUM($DS$13:$EC$13)</f>
        <v>0</v>
      </c>
      <c r="DT30" s="112"/>
      <c r="DU30" s="112"/>
      <c r="DV30" s="112"/>
      <c r="DW30" s="112"/>
      <c r="DX30" s="112"/>
      <c r="DY30" s="112"/>
      <c r="DZ30" s="112"/>
      <c r="EA30" s="112"/>
      <c r="EB30" s="112"/>
      <c r="EC30" s="112"/>
    </row>
    <row r="31" spans="1:912" x14ac:dyDescent="0.45">
      <c r="CU31" s="291" t="s">
        <v>302</v>
      </c>
      <c r="CV31" s="111">
        <f>1-SUM(CV21:CV30)</f>
        <v>0</v>
      </c>
      <c r="DR31" s="291" t="s">
        <v>302</v>
      </c>
      <c r="DS31" s="111">
        <f>1-SUM(DS21:DS30)</f>
        <v>0</v>
      </c>
    </row>
    <row r="32" spans="1:912" x14ac:dyDescent="0.45">
      <c r="CI32" s="258" t="s">
        <v>303</v>
      </c>
      <c r="CK32" s="137" t="str">
        <f>$CK$11</f>
        <v>Revenue Countries Fiscal Year</v>
      </c>
      <c r="CL32" s="137"/>
      <c r="CM32" s="137"/>
      <c r="CN32" s="137"/>
      <c r="CO32" s="137"/>
      <c r="CP32" s="137"/>
      <c r="CQ32" s="137"/>
      <c r="CR32" s="137"/>
      <c r="CS32" s="137"/>
      <c r="CT32" s="137"/>
      <c r="CV32" s="315" t="str">
        <f>$CV$11</f>
        <v>Revenue Fiscal Year of Countries</v>
      </c>
      <c r="CW32" s="137"/>
      <c r="CX32" s="137"/>
      <c r="CY32" s="137"/>
      <c r="CZ32" s="137"/>
      <c r="DA32" s="137"/>
      <c r="DB32" s="137"/>
      <c r="DC32" s="137"/>
      <c r="DD32" s="137"/>
      <c r="DE32" s="137"/>
      <c r="DF32" s="137"/>
      <c r="DH32" s="137" t="str">
        <f>$DH$11</f>
        <v>Industries Fiscal Year</v>
      </c>
      <c r="DI32" s="137"/>
      <c r="DJ32" s="137"/>
      <c r="DK32" s="137"/>
      <c r="DL32" s="137"/>
      <c r="DM32" s="137"/>
      <c r="DN32" s="137"/>
      <c r="DO32" s="137"/>
      <c r="DP32" s="137"/>
      <c r="DQ32" s="137"/>
      <c r="DS32" s="315" t="str">
        <f>$DS$11</f>
        <v>Revenue Fiscal Year of Industries</v>
      </c>
      <c r="DT32" s="137"/>
      <c r="DU32" s="137"/>
      <c r="DV32" s="137"/>
      <c r="DW32" s="137"/>
      <c r="DX32" s="137"/>
      <c r="DY32" s="137"/>
      <c r="DZ32" s="137"/>
      <c r="EA32" s="137"/>
      <c r="EB32" s="137"/>
      <c r="EC32" s="137"/>
    </row>
    <row r="33" spans="88:133" x14ac:dyDescent="0.45">
      <c r="CJ33" s="291">
        <v>1</v>
      </c>
      <c r="CK33" s="375" t="str">
        <f>$CK$14</f>
        <v>United States</v>
      </c>
      <c r="CL33" s="375"/>
      <c r="CM33" s="375"/>
      <c r="CN33" s="375"/>
      <c r="CO33" s="375"/>
      <c r="CP33" s="375"/>
      <c r="CQ33" s="375"/>
      <c r="CR33" s="375"/>
      <c r="CS33" s="375"/>
      <c r="CT33" s="375"/>
      <c r="CU33" s="291">
        <v>1</v>
      </c>
      <c r="CV33" s="111">
        <f>$CV$14/SUM($CV$14:$DF$14)</f>
        <v>0.37210274374769864</v>
      </c>
      <c r="CW33" s="112"/>
      <c r="CX33" s="112"/>
      <c r="CY33" s="112"/>
      <c r="CZ33" s="112"/>
      <c r="DA33" s="112"/>
      <c r="DB33" s="112"/>
      <c r="DC33" s="112"/>
      <c r="DD33" s="112"/>
      <c r="DE33" s="112"/>
      <c r="DF33" s="112"/>
      <c r="DG33" s="291">
        <v>1</v>
      </c>
      <c r="DH33" s="375" t="str">
        <f>$DH$14</f>
        <v>Interactive Media and Services</v>
      </c>
      <c r="DI33" s="375"/>
      <c r="DJ33" s="375"/>
      <c r="DK33" s="375"/>
      <c r="DL33" s="375"/>
      <c r="DM33" s="375"/>
      <c r="DN33" s="375"/>
      <c r="DO33" s="375"/>
      <c r="DP33" s="375"/>
      <c r="DQ33" s="375"/>
      <c r="DR33" s="291">
        <v>1</v>
      </c>
      <c r="DS33" s="111">
        <f>$DS$14/SUM($DS$14:$EC$14)</f>
        <v>0.98901804285301986</v>
      </c>
      <c r="DT33" s="112"/>
      <c r="DU33" s="112"/>
      <c r="DV33" s="112"/>
      <c r="DW33" s="112"/>
      <c r="DX33" s="112"/>
      <c r="DY33" s="112"/>
      <c r="DZ33" s="112"/>
      <c r="EA33" s="112"/>
      <c r="EB33" s="112"/>
      <c r="EC33" s="112"/>
    </row>
    <row r="34" spans="88:133" x14ac:dyDescent="0.45">
      <c r="CJ34" s="291">
        <f>CJ33+1</f>
        <v>2</v>
      </c>
      <c r="CK34" s="375" t="str">
        <f>$CL$14</f>
        <v>Canada</v>
      </c>
      <c r="CL34" s="375"/>
      <c r="CM34" s="375"/>
      <c r="CN34" s="375"/>
      <c r="CO34" s="375"/>
      <c r="CP34" s="375"/>
      <c r="CQ34" s="375"/>
      <c r="CR34" s="375"/>
      <c r="CS34" s="375"/>
      <c r="CT34" s="375"/>
      <c r="CU34" s="291">
        <f>CU33+1</f>
        <v>2</v>
      </c>
      <c r="CV34" s="111">
        <f>$CW$14/SUM($CV$14:$DF$14)</f>
        <v>2.0331797418468796E-2</v>
      </c>
      <c r="CW34" s="112"/>
      <c r="CX34" s="112"/>
      <c r="CY34" s="112"/>
      <c r="CZ34" s="112"/>
      <c r="DA34" s="112"/>
      <c r="DB34" s="112"/>
      <c r="DC34" s="112"/>
      <c r="DD34" s="112"/>
      <c r="DE34" s="112"/>
      <c r="DF34" s="112"/>
      <c r="DG34" s="291">
        <f>DG33+1</f>
        <v>2</v>
      </c>
      <c r="DH34" s="375" t="str">
        <f>$DI$14</f>
        <v>Technology Hardware, Storage &amp; Peripherals</v>
      </c>
      <c r="DI34" s="375"/>
      <c r="DJ34" s="375"/>
      <c r="DK34" s="375"/>
      <c r="DL34" s="375"/>
      <c r="DM34" s="375"/>
      <c r="DN34" s="375"/>
      <c r="DO34" s="375"/>
      <c r="DP34" s="375"/>
      <c r="DQ34" s="375"/>
      <c r="DR34" s="291">
        <f>DR33+1</f>
        <v>2</v>
      </c>
      <c r="DS34" s="111">
        <f>$DT$14/SUM($DS$14:$EC$14)</f>
        <v>1.0981957146980087E-2</v>
      </c>
      <c r="DT34" s="112"/>
      <c r="DU34" s="112"/>
      <c r="DV34" s="112"/>
      <c r="DW34" s="112"/>
      <c r="DX34" s="112"/>
      <c r="DY34" s="112"/>
      <c r="DZ34" s="112"/>
      <c r="EA34" s="112"/>
      <c r="EB34" s="112"/>
      <c r="EC34" s="112"/>
    </row>
    <row r="35" spans="88:133" x14ac:dyDescent="0.45">
      <c r="CJ35" s="291">
        <f t="shared" ref="CJ35:CJ42" si="320">CJ34+1</f>
        <v>3</v>
      </c>
      <c r="CK35" s="375" t="str">
        <f>$CM$14</f>
        <v>Europe</v>
      </c>
      <c r="CL35" s="375"/>
      <c r="CM35" s="375"/>
      <c r="CN35" s="375"/>
      <c r="CO35" s="375"/>
      <c r="CP35" s="375"/>
      <c r="CQ35" s="375"/>
      <c r="CR35" s="375"/>
      <c r="CS35" s="375"/>
      <c r="CT35" s="375"/>
      <c r="CU35" s="291">
        <f t="shared" ref="CU35:CU42" si="321">CU34+1</f>
        <v>3</v>
      </c>
      <c r="CV35" s="111">
        <f>$CX$14/SUM($CV$14:$DF$14)</f>
        <v>0.23172576455718877</v>
      </c>
      <c r="CW35" s="112"/>
      <c r="CX35" s="112"/>
      <c r="CY35" s="112"/>
      <c r="CZ35" s="112"/>
      <c r="DA35" s="112"/>
      <c r="DB35" s="112"/>
      <c r="DC35" s="112"/>
      <c r="DD35" s="112"/>
      <c r="DE35" s="112"/>
      <c r="DF35" s="112"/>
      <c r="DG35" s="291">
        <f t="shared" ref="DG35:DG42" si="322">DG34+1</f>
        <v>3</v>
      </c>
      <c r="DH35" s="375" t="str">
        <f>$DJ$14</f>
        <v>Interactive Media &amp; Services</v>
      </c>
      <c r="DI35" s="375"/>
      <c r="DJ35" s="375"/>
      <c r="DK35" s="375"/>
      <c r="DL35" s="375"/>
      <c r="DM35" s="375"/>
      <c r="DN35" s="375"/>
      <c r="DO35" s="375"/>
      <c r="DP35" s="375"/>
      <c r="DQ35" s="375"/>
      <c r="DR35" s="291">
        <f t="shared" ref="DR35:DR42" si="323">DR34+1</f>
        <v>3</v>
      </c>
      <c r="DS35" s="111">
        <f>$DU$14/SUM($DS$14:$EC$14)</f>
        <v>0</v>
      </c>
      <c r="DT35" s="112"/>
      <c r="DU35" s="112"/>
      <c r="DV35" s="112"/>
      <c r="DW35" s="112"/>
      <c r="DX35" s="112"/>
      <c r="DY35" s="112"/>
      <c r="DZ35" s="112"/>
      <c r="EA35" s="112"/>
      <c r="EB35" s="112"/>
      <c r="EC35" s="112"/>
    </row>
    <row r="36" spans="88:133" x14ac:dyDescent="0.45">
      <c r="CJ36" s="291">
        <f t="shared" si="320"/>
        <v>4</v>
      </c>
      <c r="CK36" s="375" t="str">
        <f>$CN$14</f>
        <v>Asia-Pacific</v>
      </c>
      <c r="CL36" s="375"/>
      <c r="CM36" s="375"/>
      <c r="CN36" s="375"/>
      <c r="CO36" s="375"/>
      <c r="CP36" s="375"/>
      <c r="CQ36" s="375"/>
      <c r="CR36" s="375"/>
      <c r="CS36" s="375"/>
      <c r="CT36" s="375"/>
      <c r="CU36" s="291">
        <f t="shared" si="321"/>
        <v>4</v>
      </c>
      <c r="CV36" s="111">
        <f>$CY$14/SUM($CV$14:$DF$14)</f>
        <v>0.26779156673268117</v>
      </c>
      <c r="CW36" s="112"/>
      <c r="CX36" s="112"/>
      <c r="CY36" s="112"/>
      <c r="CZ36" s="112"/>
      <c r="DA36" s="112"/>
      <c r="DB36" s="112"/>
      <c r="DC36" s="112"/>
      <c r="DD36" s="112"/>
      <c r="DE36" s="112"/>
      <c r="DF36" s="112"/>
      <c r="DG36" s="291">
        <f t="shared" si="322"/>
        <v>4</v>
      </c>
      <c r="DH36" s="375" t="str">
        <f>$DK$14</f>
        <v>0</v>
      </c>
      <c r="DI36" s="375"/>
      <c r="DJ36" s="375"/>
      <c r="DK36" s="375"/>
      <c r="DL36" s="375"/>
      <c r="DM36" s="375"/>
      <c r="DN36" s="375"/>
      <c r="DO36" s="375"/>
      <c r="DP36" s="375"/>
      <c r="DQ36" s="375"/>
      <c r="DR36" s="291">
        <f t="shared" si="323"/>
        <v>4</v>
      </c>
      <c r="DS36" s="111">
        <f>$DV$14/SUM($DS$14:$EC$14)</f>
        <v>0</v>
      </c>
      <c r="DT36" s="112"/>
      <c r="DU36" s="112"/>
      <c r="DV36" s="112"/>
      <c r="DW36" s="112"/>
      <c r="DX36" s="112"/>
      <c r="DY36" s="112"/>
      <c r="DZ36" s="112"/>
      <c r="EA36" s="112"/>
      <c r="EB36" s="112"/>
      <c r="EC36" s="112"/>
    </row>
    <row r="37" spans="88:133" x14ac:dyDescent="0.45">
      <c r="CJ37" s="291">
        <f t="shared" si="320"/>
        <v>5</v>
      </c>
      <c r="CK37" s="375" t="str">
        <f>$CO$14</f>
        <v>Rest of The World</v>
      </c>
      <c r="CL37" s="375"/>
      <c r="CM37" s="375"/>
      <c r="CN37" s="375"/>
      <c r="CO37" s="375"/>
      <c r="CP37" s="375"/>
      <c r="CQ37" s="375"/>
      <c r="CR37" s="375"/>
      <c r="CS37" s="375"/>
      <c r="CT37" s="375"/>
      <c r="CU37" s="291">
        <f t="shared" si="321"/>
        <v>5</v>
      </c>
      <c r="CV37" s="111">
        <f>$CZ$14/SUM($CV$14:$DF$14)</f>
        <v>0.10804812754396266</v>
      </c>
      <c r="CW37" s="112"/>
      <c r="CX37" s="112"/>
      <c r="CY37" s="112"/>
      <c r="CZ37" s="112"/>
      <c r="DA37" s="112"/>
      <c r="DB37" s="112"/>
      <c r="DC37" s="112"/>
      <c r="DD37" s="112"/>
      <c r="DE37" s="112"/>
      <c r="DF37" s="112"/>
      <c r="DG37" s="291">
        <f t="shared" si="322"/>
        <v>5</v>
      </c>
      <c r="DH37" s="375" t="str">
        <f>$DL$14</f>
        <v>0</v>
      </c>
      <c r="DI37" s="375"/>
      <c r="DJ37" s="375"/>
      <c r="DK37" s="375"/>
      <c r="DL37" s="375"/>
      <c r="DM37" s="375"/>
      <c r="DN37" s="375"/>
      <c r="DO37" s="375"/>
      <c r="DP37" s="375"/>
      <c r="DQ37" s="375"/>
      <c r="DR37" s="291">
        <f t="shared" si="323"/>
        <v>5</v>
      </c>
      <c r="DS37" s="111">
        <f>$DW$14/SUM($DS$14:$EC$14)</f>
        <v>0</v>
      </c>
      <c r="DT37" s="112"/>
      <c r="DU37" s="112"/>
      <c r="DV37" s="112"/>
      <c r="DW37" s="112"/>
      <c r="DX37" s="112"/>
      <c r="DY37" s="112"/>
      <c r="DZ37" s="112"/>
      <c r="EA37" s="112"/>
      <c r="EB37" s="112"/>
      <c r="EC37" s="112"/>
    </row>
    <row r="38" spans="88:133" x14ac:dyDescent="0.45">
      <c r="CJ38" s="291">
        <f t="shared" si="320"/>
        <v>6</v>
      </c>
      <c r="CK38" s="375" t="str">
        <f>$CP$14</f>
        <v>Segment Adjustment</v>
      </c>
      <c r="CL38" s="375"/>
      <c r="CM38" s="375"/>
      <c r="CN38" s="375"/>
      <c r="CO38" s="375"/>
      <c r="CP38" s="375"/>
      <c r="CQ38" s="375"/>
      <c r="CR38" s="375"/>
      <c r="CS38" s="375"/>
      <c r="CT38" s="375"/>
      <c r="CU38" s="291">
        <f t="shared" si="321"/>
        <v>6</v>
      </c>
      <c r="CV38" s="111">
        <f>$DA$14/SUM($CV$14:$DF$14)</f>
        <v>0</v>
      </c>
      <c r="CW38" s="112"/>
      <c r="CX38" s="112"/>
      <c r="CY38" s="112"/>
      <c r="CZ38" s="112"/>
      <c r="DA38" s="112"/>
      <c r="DB38" s="112"/>
      <c r="DC38" s="112"/>
      <c r="DD38" s="112"/>
      <c r="DE38" s="112"/>
      <c r="DF38" s="112"/>
      <c r="DG38" s="291">
        <f t="shared" si="322"/>
        <v>6</v>
      </c>
      <c r="DH38" s="375" t="str">
        <f>$DM$14</f>
        <v>0</v>
      </c>
      <c r="DI38" s="375"/>
      <c r="DJ38" s="375"/>
      <c r="DK38" s="375"/>
      <c r="DL38" s="375"/>
      <c r="DM38" s="375"/>
      <c r="DN38" s="375"/>
      <c r="DO38" s="375"/>
      <c r="DP38" s="375"/>
      <c r="DQ38" s="375"/>
      <c r="DR38" s="291">
        <f t="shared" si="323"/>
        <v>6</v>
      </c>
      <c r="DS38" s="111">
        <f>$DX$14/SUM($DS$14:$EC$14)</f>
        <v>0</v>
      </c>
      <c r="DT38" s="112"/>
      <c r="DU38" s="112"/>
      <c r="DV38" s="112"/>
      <c r="DW38" s="112"/>
      <c r="DX38" s="112"/>
      <c r="DY38" s="112"/>
      <c r="DZ38" s="112"/>
      <c r="EA38" s="112"/>
      <c r="EB38" s="112"/>
      <c r="EC38" s="112"/>
    </row>
    <row r="39" spans="88:133" x14ac:dyDescent="0.45">
      <c r="CJ39" s="291">
        <f t="shared" si="320"/>
        <v>7</v>
      </c>
      <c r="CK39" s="375" t="str">
        <f>$CQ$14</f>
        <v>United States and Canada</v>
      </c>
      <c r="CL39" s="375"/>
      <c r="CM39" s="375"/>
      <c r="CN39" s="375"/>
      <c r="CO39" s="375"/>
      <c r="CP39" s="375"/>
      <c r="CQ39" s="375"/>
      <c r="CR39" s="375"/>
      <c r="CS39" s="375"/>
      <c r="CT39" s="375"/>
      <c r="CU39" s="291">
        <f t="shared" si="321"/>
        <v>7</v>
      </c>
      <c r="CV39" s="111">
        <f>$DB$14/SUM($CV$14:$DF$14)</f>
        <v>0</v>
      </c>
      <c r="CW39" s="112"/>
      <c r="CX39" s="112"/>
      <c r="CY39" s="112"/>
      <c r="CZ39" s="112"/>
      <c r="DA39" s="112"/>
      <c r="DB39" s="112"/>
      <c r="DC39" s="112"/>
      <c r="DD39" s="112"/>
      <c r="DE39" s="112"/>
      <c r="DF39" s="112"/>
      <c r="DG39" s="291">
        <f t="shared" si="322"/>
        <v>7</v>
      </c>
      <c r="DH39" s="375" t="str">
        <f>$DN$14</f>
        <v>0</v>
      </c>
      <c r="DI39" s="375"/>
      <c r="DJ39" s="375"/>
      <c r="DK39" s="375"/>
      <c r="DL39" s="375"/>
      <c r="DM39" s="375"/>
      <c r="DN39" s="375"/>
      <c r="DO39" s="375"/>
      <c r="DP39" s="375"/>
      <c r="DQ39" s="375"/>
      <c r="DR39" s="291">
        <f t="shared" si="323"/>
        <v>7</v>
      </c>
      <c r="DS39" s="111">
        <f>$DY$14/SUM($DS$14:$EC$14)</f>
        <v>0</v>
      </c>
      <c r="DT39" s="112"/>
      <c r="DU39" s="112"/>
      <c r="DV39" s="112"/>
      <c r="DW39" s="112"/>
      <c r="DX39" s="112"/>
      <c r="DY39" s="112"/>
      <c r="DZ39" s="112"/>
      <c r="EA39" s="112"/>
      <c r="EB39" s="112"/>
      <c r="EC39" s="112"/>
    </row>
    <row r="40" spans="88:133" x14ac:dyDescent="0.45">
      <c r="CJ40" s="291">
        <f t="shared" si="320"/>
        <v>8</v>
      </c>
      <c r="CK40" s="375" t="str">
        <f>$CR$14</f>
        <v>Asia-Pacific (Excl.China)</v>
      </c>
      <c r="CL40" s="375"/>
      <c r="CM40" s="375"/>
      <c r="CN40" s="375"/>
      <c r="CO40" s="375"/>
      <c r="CP40" s="375"/>
      <c r="CQ40" s="375"/>
      <c r="CR40" s="375"/>
      <c r="CS40" s="375"/>
      <c r="CT40" s="375"/>
      <c r="CU40" s="291">
        <f t="shared" si="321"/>
        <v>8</v>
      </c>
      <c r="CV40" s="111">
        <f>$DC$14/SUM($CV$14:$DF$14)</f>
        <v>0</v>
      </c>
      <c r="CW40" s="112"/>
      <c r="CX40" s="112"/>
      <c r="CY40" s="112"/>
      <c r="CZ40" s="112"/>
      <c r="DA40" s="112"/>
      <c r="DB40" s="112"/>
      <c r="DC40" s="112"/>
      <c r="DD40" s="112"/>
      <c r="DE40" s="112"/>
      <c r="DF40" s="112"/>
      <c r="DG40" s="291">
        <f t="shared" si="322"/>
        <v>8</v>
      </c>
      <c r="DH40" s="375" t="str">
        <f>$DO$14</f>
        <v>0</v>
      </c>
      <c r="DI40" s="375"/>
      <c r="DJ40" s="375"/>
      <c r="DK40" s="375"/>
      <c r="DL40" s="375"/>
      <c r="DM40" s="375"/>
      <c r="DN40" s="375"/>
      <c r="DO40" s="375"/>
      <c r="DP40" s="375"/>
      <c r="DQ40" s="375"/>
      <c r="DR40" s="291">
        <f t="shared" si="323"/>
        <v>8</v>
      </c>
      <c r="DS40" s="111">
        <f>$DZ$14/SUM($DS$14:$EC$14)</f>
        <v>0</v>
      </c>
      <c r="DT40" s="112"/>
      <c r="DU40" s="112"/>
      <c r="DV40" s="112"/>
      <c r="DW40" s="112"/>
      <c r="DX40" s="112"/>
      <c r="DY40" s="112"/>
      <c r="DZ40" s="112"/>
      <c r="EA40" s="112"/>
      <c r="EB40" s="112"/>
      <c r="EC40" s="112"/>
    </row>
    <row r="41" spans="88:133" x14ac:dyDescent="0.45">
      <c r="CJ41" s="291">
        <f t="shared" si="320"/>
        <v>9</v>
      </c>
      <c r="CK41" s="375" t="str">
        <f>$CS$14</f>
        <v>China</v>
      </c>
      <c r="CL41" s="375"/>
      <c r="CM41" s="375"/>
      <c r="CN41" s="375"/>
      <c r="CO41" s="375"/>
      <c r="CP41" s="375"/>
      <c r="CQ41" s="375"/>
      <c r="CR41" s="375"/>
      <c r="CS41" s="375"/>
      <c r="CT41" s="375"/>
      <c r="CU41" s="291">
        <f t="shared" si="321"/>
        <v>9</v>
      </c>
      <c r="CV41" s="111">
        <f>$DD$14/SUM($CV$14:$DF$14)</f>
        <v>0</v>
      </c>
      <c r="CW41" s="112"/>
      <c r="CX41" s="112"/>
      <c r="CY41" s="112"/>
      <c r="CZ41" s="112"/>
      <c r="DA41" s="112"/>
      <c r="DB41" s="112"/>
      <c r="DC41" s="112"/>
      <c r="DD41" s="112"/>
      <c r="DE41" s="112"/>
      <c r="DF41" s="112"/>
      <c r="DG41" s="291">
        <f t="shared" si="322"/>
        <v>9</v>
      </c>
      <c r="DH41" s="375" t="str">
        <f>$DP$14</f>
        <v>0</v>
      </c>
      <c r="DI41" s="375"/>
      <c r="DJ41" s="375"/>
      <c r="DK41" s="375"/>
      <c r="DL41" s="375"/>
      <c r="DM41" s="375"/>
      <c r="DN41" s="375"/>
      <c r="DO41" s="375"/>
      <c r="DP41" s="375"/>
      <c r="DQ41" s="375"/>
      <c r="DR41" s="291">
        <f t="shared" si="323"/>
        <v>9</v>
      </c>
      <c r="DS41" s="111">
        <f>$EA$14/SUM($DS$14:$EC$14)</f>
        <v>0</v>
      </c>
      <c r="DT41" s="112"/>
      <c r="DU41" s="112"/>
      <c r="DV41" s="112"/>
      <c r="DW41" s="112"/>
      <c r="DX41" s="112"/>
      <c r="DY41" s="112"/>
      <c r="DZ41" s="112"/>
      <c r="EA41" s="112"/>
      <c r="EB41" s="112"/>
      <c r="EC41" s="112"/>
    </row>
    <row r="42" spans="88:133" x14ac:dyDescent="0.45">
      <c r="CJ42" s="291">
        <f t="shared" si="320"/>
        <v>10</v>
      </c>
      <c r="CK42" s="375" t="str">
        <f>$CT$14</f>
        <v>Sweden</v>
      </c>
      <c r="CL42" s="375"/>
      <c r="CM42" s="375"/>
      <c r="CN42" s="375"/>
      <c r="CO42" s="375"/>
      <c r="CP42" s="375"/>
      <c r="CQ42" s="375"/>
      <c r="CR42" s="375"/>
      <c r="CS42" s="375"/>
      <c r="CT42" s="375"/>
      <c r="CU42" s="291">
        <f t="shared" si="321"/>
        <v>10</v>
      </c>
      <c r="CV42" s="111">
        <f>$DE$14/SUM($CV$14:$DF$14)</f>
        <v>0</v>
      </c>
      <c r="CW42" s="112"/>
      <c r="CX42" s="112"/>
      <c r="CY42" s="112"/>
      <c r="CZ42" s="112"/>
      <c r="DA42" s="112"/>
      <c r="DB42" s="112"/>
      <c r="DC42" s="112"/>
      <c r="DD42" s="112"/>
      <c r="DE42" s="112"/>
      <c r="DF42" s="112"/>
      <c r="DG42" s="291">
        <f t="shared" si="322"/>
        <v>10</v>
      </c>
      <c r="DH42" s="375" t="str">
        <f>$DQ$14</f>
        <v>0</v>
      </c>
      <c r="DI42" s="375"/>
      <c r="DJ42" s="375"/>
      <c r="DK42" s="375"/>
      <c r="DL42" s="375"/>
      <c r="DM42" s="375"/>
      <c r="DN42" s="375"/>
      <c r="DO42" s="375"/>
      <c r="DP42" s="375"/>
      <c r="DQ42" s="375"/>
      <c r="DR42" s="291">
        <f t="shared" si="323"/>
        <v>10</v>
      </c>
      <c r="DS42" s="111">
        <f>$EB$14/SUM($DS$14:$EC$14)</f>
        <v>0</v>
      </c>
      <c r="DT42" s="112"/>
      <c r="DU42" s="112"/>
      <c r="DV42" s="112"/>
      <c r="DW42" s="112"/>
      <c r="DX42" s="112"/>
      <c r="DY42" s="112"/>
      <c r="DZ42" s="112"/>
      <c r="EA42" s="112"/>
      <c r="EB42" s="112"/>
      <c r="EC42" s="112"/>
    </row>
    <row r="43" spans="88:133" x14ac:dyDescent="0.45">
      <c r="CU43" s="291" t="s">
        <v>302</v>
      </c>
      <c r="CV43" s="111">
        <f>1-SUM(CV33:CV42)</f>
        <v>0</v>
      </c>
      <c r="DR43" s="291" t="s">
        <v>302</v>
      </c>
      <c r="DS43" s="111">
        <f>1-SUM(DS33:DS42)</f>
        <v>0</v>
      </c>
    </row>
  </sheetData>
  <conditionalFormatting sqref="A16:XFD18">
    <cfRule type="cellIs" dxfId="73" priority="1" operator="greaterThan">
      <formula>0.001</formula>
    </cfRule>
    <cfRule type="cellIs" dxfId="72" priority="2" operator="lessThan">
      <formula>-0.001</formula>
    </cfRule>
  </conditionalFormatting>
  <conditionalFormatting sqref="B12:B15">
    <cfRule type="cellIs" dxfId="71" priority="142" operator="equal">
      <formula>$C$7</formula>
    </cfRule>
  </conditionalFormatting>
  <conditionalFormatting sqref="B20">
    <cfRule type="cellIs" dxfId="70" priority="163" operator="equal">
      <formula>$C$7</formula>
    </cfRule>
  </conditionalFormatting>
  <conditionalFormatting sqref="AF12:AF15 AH12:AH15">
    <cfRule type="cellIs" dxfId="69" priority="135" operator="equal">
      <formula>0</formula>
    </cfRule>
  </conditionalFormatting>
  <conditionalFormatting sqref="BT12:BT15 ET12:ET15 FQ12:FQ15 IL12:IL15 IN12:IR15 IT12:IV15 NU12:NU15 SI12:ST15 TI12:TT15">
    <cfRule type="cellIs" dxfId="68" priority="141" operator="lessThan">
      <formula>0</formula>
    </cfRule>
  </conditionalFormatting>
  <conditionalFormatting sqref="IZ7:JC8">
    <cfRule type="cellIs" dxfId="67" priority="181" operator="lessThan">
      <formula>0</formula>
    </cfRule>
  </conditionalFormatting>
  <conditionalFormatting sqref="IZ12:JC15 JI12:JL15 YR12:YR15 YT12:YT15 YV12:YW15">
    <cfRule type="cellIs" dxfId="66" priority="146" operator="lessThan">
      <formula>0</formula>
    </cfRule>
  </conditionalFormatting>
  <conditionalFormatting sqref="JC12:JD15 ZK12:AAG15">
    <cfRule type="cellIs" dxfId="65" priority="129" operator="greaterThan">
      <formula>1</formula>
    </cfRule>
  </conditionalFormatting>
  <conditionalFormatting sqref="KN13:KX15">
    <cfRule type="cellIs" dxfId="64" priority="155" operator="between">
      <formula>0.001</formula>
      <formula>$LA$10</formula>
    </cfRule>
  </conditionalFormatting>
  <conditionalFormatting sqref="KX12">
    <cfRule type="cellIs" dxfId="63" priority="133" operator="between">
      <formula>0.001</formula>
      <formula>$LA$10</formula>
    </cfRule>
  </conditionalFormatting>
  <conditionalFormatting sqref="KZ8:LB8">
    <cfRule type="cellIs" dxfId="62" priority="168" operator="lessThan">
      <formula>0</formula>
    </cfRule>
  </conditionalFormatting>
  <conditionalFormatting sqref="NQ12:NQ15">
    <cfRule type="cellIs" dxfId="61" priority="148" operator="greaterThan">
      <formula>$NQ$10</formula>
    </cfRule>
    <cfRule type="cellIs" dxfId="60" priority="147" operator="lessThan">
      <formula>$NS$9</formula>
    </cfRule>
  </conditionalFormatting>
  <conditionalFormatting sqref="NS8:NT8">
    <cfRule type="cellIs" dxfId="59" priority="167" operator="lessThan">
      <formula>0</formula>
    </cfRule>
  </conditionalFormatting>
  <conditionalFormatting sqref="NU12:NW15 AAJ12:AAJ15">
    <cfRule type="cellIs" dxfId="58" priority="140" operator="greaterThan">
      <formula>0.2</formula>
    </cfRule>
  </conditionalFormatting>
  <conditionalFormatting sqref="NV12:NW15">
    <cfRule type="cellIs" dxfId="57" priority="132" operator="lessThan">
      <formula>$NW$10</formula>
    </cfRule>
  </conditionalFormatting>
  <conditionalFormatting sqref="NY8">
    <cfRule type="cellIs" dxfId="56" priority="172" operator="lessThan">
      <formula>0</formula>
    </cfRule>
  </conditionalFormatting>
  <conditionalFormatting sqref="OE8">
    <cfRule type="cellIs" dxfId="55" priority="171" operator="lessThan">
      <formula>0</formula>
    </cfRule>
  </conditionalFormatting>
  <conditionalFormatting sqref="OH12:OI15">
    <cfRule type="cellIs" dxfId="54" priority="134" operator="lessThan">
      <formula>$NW$10</formula>
    </cfRule>
  </conditionalFormatting>
  <conditionalFormatting sqref="SI7:ST8">
    <cfRule type="cellIs" dxfId="53" priority="180" operator="lessThan">
      <formula>0</formula>
    </cfRule>
  </conditionalFormatting>
  <conditionalFormatting sqref="TI7:TT8">
    <cfRule type="cellIs" dxfId="52" priority="179" operator="lessThan">
      <formula>0</formula>
    </cfRule>
  </conditionalFormatting>
  <conditionalFormatting sqref="TV8">
    <cfRule type="cellIs" dxfId="51" priority="178" operator="lessThan">
      <formula>0</formula>
    </cfRule>
  </conditionalFormatting>
  <conditionalFormatting sqref="UW8">
    <cfRule type="cellIs" dxfId="50" priority="177" operator="lessThan">
      <formula>0</formula>
    </cfRule>
  </conditionalFormatting>
  <conditionalFormatting sqref="VI8">
    <cfRule type="cellIs" dxfId="49" priority="176" operator="lessThan">
      <formula>0</formula>
    </cfRule>
  </conditionalFormatting>
  <conditionalFormatting sqref="WI8">
    <cfRule type="cellIs" dxfId="48" priority="164" operator="lessThan">
      <formula>0</formula>
    </cfRule>
  </conditionalFormatting>
  <conditionalFormatting sqref="WI12:WR15">
    <cfRule type="cellIs" dxfId="47" priority="127" operator="greaterThan">
      <formula>0</formula>
    </cfRule>
  </conditionalFormatting>
  <conditionalFormatting sqref="WS12:WT15">
    <cfRule type="cellIs" dxfId="46" priority="128" operator="greaterThan">
      <formula>0</formula>
    </cfRule>
  </conditionalFormatting>
  <conditionalFormatting sqref="WT8">
    <cfRule type="cellIs" dxfId="45" priority="170" operator="lessThan">
      <formula>0</formula>
    </cfRule>
  </conditionalFormatting>
  <conditionalFormatting sqref="XH12:XR15">
    <cfRule type="cellIs" dxfId="44" priority="131" operator="lessThan">
      <formula>$NV$10</formula>
    </cfRule>
    <cfRule type="cellIs" dxfId="43" priority="130" operator="lessThan">
      <formula>$NW$10</formula>
    </cfRule>
  </conditionalFormatting>
  <conditionalFormatting sqref="YS8">
    <cfRule type="cellIs" dxfId="42" priority="175" operator="lessThan">
      <formula>0</formula>
    </cfRule>
  </conditionalFormatting>
  <conditionalFormatting sqref="YW12:YW15">
    <cfRule type="cellIs" dxfId="41" priority="137" operator="between">
      <formula>0.0001</formula>
      <formula>0.8</formula>
    </cfRule>
    <cfRule type="cellIs" dxfId="40" priority="136" operator="greaterThan">
      <formula>3</formula>
    </cfRule>
  </conditionalFormatting>
  <conditionalFormatting sqref="YX4:YX6">
    <cfRule type="cellIs" dxfId="39" priority="43" operator="lessThan">
      <formula>0</formula>
    </cfRule>
    <cfRule type="cellIs" dxfId="38" priority="42" operator="between">
      <formula>0.0001</formula>
      <formula>0.8</formula>
    </cfRule>
    <cfRule type="cellIs" dxfId="37" priority="41" operator="greaterThan">
      <formula>3</formula>
    </cfRule>
  </conditionalFormatting>
  <conditionalFormatting sqref="YZ12:YZ15">
    <cfRule type="cellIs" dxfId="36" priority="138" operator="equal">
      <formula>"YCV"</formula>
    </cfRule>
  </conditionalFormatting>
  <conditionalFormatting sqref="AAL12:AAL15">
    <cfRule type="cellIs" dxfId="35" priority="139" operator="greaterThan">
      <formula>0.1</formula>
    </cfRule>
  </conditionalFormatting>
  <conditionalFormatting sqref="ABZ8">
    <cfRule type="cellIs" dxfId="34" priority="165" operator="lessThan">
      <formula>0</formula>
    </cfRule>
  </conditionalFormatting>
  <conditionalFormatting sqref="ACX12">
    <cfRule type="cellIs" dxfId="33" priority="124" operator="greaterThan">
      <formula>0.5</formula>
    </cfRule>
  </conditionalFormatting>
  <conditionalFormatting sqref="ACX12:ACX15">
    <cfRule type="cellIs" dxfId="32" priority="125" operator="greaterThan">
      <formula>1</formula>
    </cfRule>
    <cfRule type="cellIs" dxfId="31" priority="123" operator="lessThan">
      <formula>-0.5</formula>
    </cfRule>
    <cfRule type="cellIs" dxfId="30" priority="145" operator="greaterThan">
      <formula>0.5</formula>
    </cfRule>
  </conditionalFormatting>
  <conditionalFormatting sqref="ADQ12:ADQ15 AEA12:AEA15">
    <cfRule type="cellIs" dxfId="29" priority="75" operator="lessThan">
      <formula>-0.5</formula>
    </cfRule>
    <cfRule type="cellIs" dxfId="28" priority="76" operator="greaterThan">
      <formula>0.5</formula>
    </cfRule>
    <cfRule type="cellIs" dxfId="27" priority="74" operator="greaterThan">
      <formula>1</formula>
    </cfRule>
  </conditionalFormatting>
  <conditionalFormatting sqref="AEK8">
    <cfRule type="cellIs" dxfId="26" priority="166" operator="lessThan">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C5D7-467F-4507-A971-6D2E33D4E84F}">
  <sheetPr>
    <tabColor theme="2" tint="-9.9978637043366805E-2"/>
  </sheetPr>
  <dimension ref="A1:N1039"/>
  <sheetViews>
    <sheetView showGridLines="0" showZeros="0" view="pageBreakPreview" topLeftCell="A169" zoomScale="175" zoomScaleNormal="175" zoomScaleSheetLayoutView="175" workbookViewId="0">
      <selection activeCell="H172" sqref="H172"/>
    </sheetView>
  </sheetViews>
  <sheetFormatPr baseColWidth="10" defaultColWidth="11.46484375" defaultRowHeight="14.1" customHeight="1" x14ac:dyDescent="0.45"/>
  <cols>
    <col min="1" max="1" width="9.53125" style="7" customWidth="1"/>
    <col min="2" max="14" width="6.86328125" style="7" customWidth="1"/>
    <col min="15" max="16384" width="11.46484375" style="7"/>
  </cols>
  <sheetData>
    <row r="1" spans="1:14" ht="18" customHeight="1" x14ac:dyDescent="0.45">
      <c r="A1" s="88"/>
      <c r="B1" s="88"/>
      <c r="C1" s="88"/>
      <c r="D1" s="88"/>
      <c r="E1" s="88"/>
      <c r="F1" s="88"/>
      <c r="G1" s="88"/>
      <c r="H1" s="88"/>
      <c r="I1" s="88"/>
      <c r="J1" s="88"/>
      <c r="K1" s="88"/>
      <c r="L1" s="88"/>
      <c r="M1" s="88"/>
      <c r="N1" s="88"/>
    </row>
    <row r="2" spans="1:14" s="1077" customFormat="1" ht="30" customHeight="1" x14ac:dyDescent="0.45">
      <c r="A2" s="1075" t="s">
        <v>350</v>
      </c>
      <c r="B2" s="1076"/>
      <c r="C2" s="1076"/>
      <c r="D2" s="1076"/>
      <c r="E2" s="1076"/>
      <c r="F2" s="1076"/>
      <c r="G2" s="1072" t="str">
        <f>'DIY Grundmodell'!A2</f>
        <v>Meta Platforms, Inc.</v>
      </c>
      <c r="H2" s="1076"/>
      <c r="I2" s="1076"/>
      <c r="J2" s="1076"/>
      <c r="K2" s="1153">
        <f>'DIY Grundmodell'!N2</f>
        <v>46129</v>
      </c>
      <c r="L2" s="1153"/>
      <c r="M2" s="1153"/>
      <c r="N2" s="1153"/>
    </row>
    <row r="3" spans="1:14" ht="5" customHeight="1" x14ac:dyDescent="0.45">
      <c r="A3" s="115"/>
      <c r="B3" s="1074"/>
      <c r="C3" s="1074"/>
      <c r="D3" s="1074"/>
      <c r="E3" s="1074"/>
      <c r="F3" s="1074"/>
      <c r="G3" s="1074"/>
      <c r="H3" s="1074"/>
      <c r="I3" s="1074"/>
      <c r="J3" s="1074"/>
      <c r="K3" s="1074"/>
      <c r="L3" s="1074"/>
      <c r="M3" s="1074"/>
      <c r="N3" s="1074"/>
    </row>
    <row r="4" spans="1:14" ht="175.5" customHeight="1" x14ac:dyDescent="0.45">
      <c r="A4" s="1134" t="str">
        <f>_xlfn.TEXTBEFORE(pay!$B$3,"Aktuelle Entwicklungen")</f>
        <v xml:space="preserve">Das Unternehmen
Meta Platforms, Inc. ist ein globaler Plattformkonzern für digitale Kommunikation, Werbung und künstliche Intelligenz und prägt mit Facebook, Instagram und WhatsApp zentrale Nutzungsgewohnheiten im Internet. Auf Basis der letzten vier Quartale steht das Unternehmen für einen Jahresumsatz von USD 200.966 Millionen, ein operatives Ergebnis von USD 84.076 Millionen und eine operative Marge von 41,8%. Strategisch richtet Meta den Konzern derzeit noch stärker auf KI-gestützte Produkterlebnisse, automatisierte Werbelösungen und den Ausbau von Echtzeitinhalten aus, während sich die Branche insgesamt mit hohem Tempo in Richtung KI-basierter Werbeaussteuerung und intensiverem Wettbewerb um digitale Werbebudgets bewegt.
</v>
      </c>
      <c r="B4" s="1134"/>
      <c r="C4" s="1134"/>
      <c r="D4" s="1134"/>
      <c r="E4" s="1134"/>
      <c r="F4" s="1134"/>
      <c r="G4" s="1013"/>
      <c r="H4" s="1144" t="str">
        <f>MID(pay!$B$3,FIND("Aktuelle Entwicklungen",pay!$B$3),9999)</f>
        <v>Aktuelle Entwicklungen
Meta erweitert aktuell die Fähigkeiten von Meta AI durch neue Inhalte und Partnerschaften mit internationalen Medienhäusern und verankert KI damit tiefer in den eigenen Apps und Endgeräten. Parallel verschärft sich im Branchenumfeld der Wettbewerb zwischen großen Plattformen, weil Werbekunden zunehmend Systeme bevorzugen, die Kampagnen automatisiert erstellen, personalisieren und optimieren; genau in diesem Wandel zählt Meta derzeit zu den strategisch am stärksten positionierten Anbietern.</v>
      </c>
      <c r="I4" s="1144"/>
      <c r="J4" s="1144"/>
      <c r="K4" s="1144"/>
      <c r="L4" s="1144"/>
      <c r="M4" s="1144"/>
      <c r="N4" s="1014"/>
    </row>
    <row r="5" spans="1:14" ht="14.1" customHeight="1" x14ac:dyDescent="0.45">
      <c r="A5" s="1078" t="str">
        <f>pay!B5</f>
        <v>Die Aktie ist überbewertet.</v>
      </c>
      <c r="B5" s="1078"/>
      <c r="C5" s="1078"/>
      <c r="D5" s="1078"/>
      <c r="E5" s="1078"/>
      <c r="F5" s="1078"/>
      <c r="G5" s="1078"/>
      <c r="H5" s="1100" t="s">
        <v>843</v>
      </c>
      <c r="I5" s="1078"/>
      <c r="J5" s="1078"/>
      <c r="K5" s="1078"/>
      <c r="L5" s="1078"/>
      <c r="M5" s="1078"/>
      <c r="N5" s="1078"/>
    </row>
    <row r="6" spans="1:14" ht="42.6" customHeight="1" x14ac:dyDescent="0.45">
      <c r="A6" s="1134" t="str">
        <f>pay!B6</f>
        <v>Meta wird weiterhin erheblich investieren und wachsen. Nach der jüngsten Erholung des Börsenkurses, halten wir den aktuellen Kursanstieg jedoch für zu teuer.</v>
      </c>
      <c r="B6" s="1134"/>
      <c r="C6" s="1134"/>
      <c r="D6" s="1134"/>
      <c r="E6" s="1134"/>
      <c r="F6" s="1134"/>
      <c r="G6" s="1073"/>
      <c r="H6" s="1101"/>
      <c r="I6" s="1073"/>
      <c r="J6" s="1073"/>
      <c r="K6" s="1073"/>
      <c r="L6" s="1073"/>
      <c r="M6" s="1073"/>
      <c r="N6" s="1073"/>
    </row>
    <row r="7" spans="1:14" s="850" customFormat="1" ht="20" customHeight="1" x14ac:dyDescent="0.45">
      <c r="A7" s="1102" t="str">
        <f>pay!B7</f>
        <v>Überblick zur Unternehmensbewertung</v>
      </c>
      <c r="B7" s="1102"/>
      <c r="C7" s="1102"/>
      <c r="D7" s="1102"/>
      <c r="E7" s="1102"/>
      <c r="F7" s="1102"/>
      <c r="G7" s="1102"/>
      <c r="H7" s="1102"/>
      <c r="I7" s="1102"/>
      <c r="J7" s="1102"/>
      <c r="K7" s="1102"/>
      <c r="L7" s="1157">
        <f>pay!E40</f>
        <v>46129</v>
      </c>
      <c r="M7" s="1157"/>
      <c r="N7" s="1158"/>
    </row>
    <row r="8" spans="1:14" s="850" customFormat="1" ht="5" customHeight="1" x14ac:dyDescent="0.45">
      <c r="A8" s="1081"/>
      <c r="B8" s="1081"/>
      <c r="C8" s="1081"/>
      <c r="D8" s="1081"/>
      <c r="E8" s="1081"/>
      <c r="F8" s="1081"/>
      <c r="G8" s="1081"/>
      <c r="H8" s="1081"/>
      <c r="I8" s="1081"/>
      <c r="J8" s="1081"/>
      <c r="K8" s="1081"/>
      <c r="L8" s="1081"/>
      <c r="M8" s="1081"/>
      <c r="N8" s="1081"/>
    </row>
    <row r="9" spans="1:14" s="850" customFormat="1" ht="14.1" customHeight="1" x14ac:dyDescent="0.45">
      <c r="A9" s="1080" t="str">
        <f>pay!B9</f>
        <v>ISIN</v>
      </c>
      <c r="B9" s="1081"/>
      <c r="C9" s="1081"/>
      <c r="D9" s="1081"/>
      <c r="E9" s="1081"/>
      <c r="F9" s="1082" t="str">
        <f>pay!F9</f>
        <v>US30303M1027</v>
      </c>
      <c r="G9" s="1082"/>
      <c r="H9" s="1085" t="str">
        <f>pay!B13</f>
        <v>Aktienwert in USD</v>
      </c>
      <c r="I9" s="1081"/>
      <c r="J9" s="1081"/>
      <c r="K9" s="1081"/>
      <c r="L9" s="1154">
        <f>pay!F13</f>
        <v>609.63164007663352</v>
      </c>
      <c r="M9" s="1154"/>
      <c r="N9" s="1083"/>
    </row>
    <row r="10" spans="1:14" s="850" customFormat="1" ht="14.1" customHeight="1" x14ac:dyDescent="0.45">
      <c r="A10" s="1080" t="str">
        <f>pay!B10</f>
        <v>Internet</v>
      </c>
      <c r="B10" s="1081"/>
      <c r="C10" s="1081"/>
      <c r="D10" s="1081"/>
      <c r="E10" s="1081"/>
      <c r="F10" s="1082" t="str">
        <f>pay!F10</f>
        <v>www.meta.com</v>
      </c>
      <c r="G10" s="1082"/>
      <c r="H10" s="1085" t="str">
        <f>pay!B14</f>
        <v>Aktienkurs in USD</v>
      </c>
      <c r="I10" s="1081"/>
      <c r="J10" s="1081"/>
      <c r="K10" s="1081"/>
      <c r="L10" s="1154">
        <f>pay!F14</f>
        <v>676.87</v>
      </c>
      <c r="M10" s="1154"/>
      <c r="N10" s="1083"/>
    </row>
    <row r="11" spans="1:14" s="850" customFormat="1" ht="14.1" customHeight="1" x14ac:dyDescent="0.45">
      <c r="A11" s="1080" t="str">
        <f>pay!B11</f>
        <v>Firmensitz</v>
      </c>
      <c r="B11" s="1081"/>
      <c r="C11" s="1081"/>
      <c r="D11" s="1081"/>
      <c r="E11" s="1081"/>
      <c r="F11" s="1082" t="str">
        <f>pay!F11</f>
        <v>Vereinigte Staaten</v>
      </c>
      <c r="G11" s="1082"/>
      <c r="H11" s="1081" t="str">
        <f>pay!B15</f>
        <v>Verhältnis Kurs / Wert</v>
      </c>
      <c r="I11" s="1081"/>
      <c r="J11" s="1081"/>
      <c r="K11" s="1081"/>
      <c r="L11" s="1155">
        <f>pay!F15</f>
        <v>1.1102934222950014</v>
      </c>
      <c r="M11" s="1155"/>
      <c r="N11" s="1083"/>
    </row>
    <row r="12" spans="1:14" s="850" customFormat="1" ht="14.1" customHeight="1" x14ac:dyDescent="0.45">
      <c r="A12" s="1080" t="str">
        <f>pay!B12</f>
        <v>Primäre Industrie: Interaktive Medien und Dienstleistungen</v>
      </c>
      <c r="B12" s="1081"/>
      <c r="C12" s="1081"/>
      <c r="D12" s="1081"/>
      <c r="E12" s="1081"/>
      <c r="F12" s="1081"/>
      <c r="G12" s="1081"/>
      <c r="H12" s="1094"/>
      <c r="I12" s="1088"/>
      <c r="J12" s="1088"/>
      <c r="K12" s="1081"/>
      <c r="L12" s="1088"/>
      <c r="M12" s="1081"/>
      <c r="N12" s="1081"/>
    </row>
    <row r="13" spans="1:14" s="850" customFormat="1" ht="14.1" customHeight="1" x14ac:dyDescent="0.45">
      <c r="A13" s="1081"/>
      <c r="B13" s="1085"/>
      <c r="C13" s="1085"/>
      <c r="D13" s="1085"/>
      <c r="E13" s="1085"/>
      <c r="F13" s="1085"/>
      <c r="G13" s="1085"/>
      <c r="H13" s="1081" t="str">
        <f>pay!B16</f>
        <v>52 Wochen Tief in USD</v>
      </c>
      <c r="I13" s="1081"/>
      <c r="J13" s="1081"/>
      <c r="K13" s="1081"/>
      <c r="L13" s="1156">
        <f>pay!F16</f>
        <v>479.8</v>
      </c>
      <c r="M13" s="1156"/>
      <c r="N13" s="1084"/>
    </row>
    <row r="14" spans="1:14" s="850" customFormat="1" ht="14.1" customHeight="1" x14ac:dyDescent="0.45">
      <c r="A14" s="1092" t="str">
        <f>pay!B20</f>
        <v>Angaben zum Bewertungsstichtag in Mio. USD</v>
      </c>
      <c r="B14" s="1085"/>
      <c r="C14" s="1085"/>
      <c r="D14" s="1085"/>
      <c r="E14" s="1085"/>
      <c r="F14" s="1085"/>
      <c r="G14" s="1085"/>
      <c r="H14" s="1081" t="str">
        <f>pay!B17</f>
        <v>52 Wochen Hoch in USD</v>
      </c>
      <c r="I14" s="1085"/>
      <c r="J14" s="1085"/>
      <c r="K14" s="1085"/>
      <c r="L14" s="1156">
        <f>pay!F17</f>
        <v>796.25</v>
      </c>
      <c r="M14" s="1156"/>
      <c r="N14" s="1084"/>
    </row>
    <row r="15" spans="1:14" s="850" customFormat="1" ht="14.1" customHeight="1" x14ac:dyDescent="0.45">
      <c r="A15" s="1080" t="str">
        <f>pay!B21</f>
        <v xml:space="preserve">Marktkapitalisierung </v>
      </c>
      <c r="B15" s="1081"/>
      <c r="C15" s="1081"/>
      <c r="D15" s="1081"/>
      <c r="E15" s="1133">
        <f>pay!F21</f>
        <v>1712180.20692</v>
      </c>
      <c r="F15" s="1133"/>
      <c r="G15" s="1085"/>
      <c r="H15" s="1094"/>
      <c r="I15" s="1088"/>
      <c r="J15" s="1088"/>
      <c r="K15" s="1081"/>
      <c r="L15" s="1088"/>
      <c r="M15" s="1081"/>
      <c r="N15" s="1081"/>
    </row>
    <row r="16" spans="1:14" s="850" customFormat="1" ht="14.1" customHeight="1" x14ac:dyDescent="0.45">
      <c r="A16" s="1080" t="str">
        <f>pay!B22</f>
        <v>Umsatz der letzten vier Quartale</v>
      </c>
      <c r="B16" s="1088"/>
      <c r="C16" s="1088"/>
      <c r="D16" s="1088"/>
      <c r="E16" s="1133">
        <f>pay!F22</f>
        <v>200966</v>
      </c>
      <c r="F16" s="1133"/>
      <c r="G16" s="1085"/>
      <c r="H16" s="1081" t="str">
        <f>pay!B18</f>
        <v>Anzahl ausstehender Aktien in Mio.</v>
      </c>
      <c r="I16" s="1085"/>
      <c r="J16" s="1085"/>
      <c r="K16" s="1085"/>
      <c r="L16" s="1136">
        <f>pay!F18</f>
        <v>2529.55546</v>
      </c>
      <c r="M16" s="1136"/>
      <c r="N16" s="1086"/>
    </row>
    <row r="17" spans="1:14" s="850" customFormat="1" ht="14.1" customHeight="1" x14ac:dyDescent="0.45">
      <c r="A17" s="1091" t="str">
        <f>pay!B23</f>
        <v>EBIT der letzten vier Quartale</v>
      </c>
      <c r="B17" s="1088"/>
      <c r="C17" s="1088"/>
      <c r="D17" s="1088"/>
      <c r="E17" s="1133">
        <f>pay!F23</f>
        <v>84075.919760000004</v>
      </c>
      <c r="F17" s="1133"/>
      <c r="G17" s="1085"/>
      <c r="H17" s="1081" t="str">
        <f>pay!B19</f>
        <v>davon aktiv gehandelt (Freefloat)</v>
      </c>
      <c r="I17" s="1081"/>
      <c r="J17" s="1081"/>
      <c r="K17" s="1081"/>
      <c r="L17" s="1137">
        <f>pay!F19</f>
        <v>0.86334169999999999</v>
      </c>
      <c r="M17" s="1137"/>
      <c r="N17" s="1087"/>
    </row>
    <row r="18" spans="1:14" s="850" customFormat="1" ht="14.1" customHeight="1" x14ac:dyDescent="0.45">
      <c r="A18" s="1091" t="str">
        <f>pay!B24</f>
        <v>EBIT-Marge der letzten vier Quartale</v>
      </c>
      <c r="B18" s="1081"/>
      <c r="C18" s="1081"/>
      <c r="D18" s="1081"/>
      <c r="E18" s="1137">
        <f>pay!F24</f>
        <v>0.41835892519132589</v>
      </c>
      <c r="F18" s="1137"/>
      <c r="G18" s="1085"/>
      <c r="H18" s="1088"/>
      <c r="I18" s="1088"/>
      <c r="J18" s="1088"/>
      <c r="K18" s="1081"/>
      <c r="L18" s="1088"/>
      <c r="M18" s="1081"/>
      <c r="N18" s="1081"/>
    </row>
    <row r="19" spans="1:14" s="850" customFormat="1" ht="15" customHeight="1" x14ac:dyDescent="0.45">
      <c r="A19" s="1081"/>
      <c r="B19" s="1088"/>
      <c r="C19" s="1088"/>
      <c r="D19" s="1088"/>
      <c r="E19" s="1088"/>
      <c r="F19" s="1088"/>
      <c r="G19" s="1088"/>
      <c r="H19" s="1088"/>
      <c r="I19" s="1088"/>
      <c r="J19" s="1088"/>
      <c r="K19" s="1081"/>
      <c r="L19" s="1088"/>
      <c r="M19" s="1081"/>
      <c r="N19" s="1081"/>
    </row>
    <row r="20" spans="1:14" s="850" customFormat="1" ht="14.1" customHeight="1" x14ac:dyDescent="0.45">
      <c r="A20" s="1134" t="str">
        <f>_xlfn.TEXTBEFORE(pay!$B$26,"Aktienkursentwicklung")</f>
        <v xml:space="preserve">Werttreiber
Enorme Reichweite über Facebook, Instagram und WhatsApp schafft einen seltenen Zugang zu Nutzern in mehreren zentralen digitalen Kommunikationskanälen.
KI-gestützte Werbeautomatisierung verbessert die Aussteuerung, Personalisierung und Effizienz von Kampagnen und erhöht damit die Relevanz der Plattform für Werbekunden.
Die Einbindung von Meta AI in die eigenen Produkte stärkt die Nutzerbindung und erweitert die strategische Kontrolle über künftige Such-, Assistenz- und Empfehlungsszenarien.
Die Breite des App-Ökosystems schafft hohe Eintrittsbarrieren, weil Reichweite, Datenbasis und technische Infrastruktur nur schwer zu replizieren sind.
Die starke Stellung im digitalen Werbemarkt verbessert die Ausgangslage im Wettbewerb um Budgets, Aufmerksamkeit und Werbewirkung.
</v>
      </c>
      <c r="B20" s="1134"/>
      <c r="C20" s="1134"/>
      <c r="D20" s="1134"/>
      <c r="E20" s="1134"/>
      <c r="F20" s="1134"/>
      <c r="G20" s="1088"/>
      <c r="H20" s="1152" t="str">
        <f>pay!B37</f>
        <v>Analystenmeinungen</v>
      </c>
      <c r="I20" s="1152"/>
      <c r="J20" s="1152"/>
      <c r="K20" s="1152"/>
      <c r="L20" s="1152"/>
      <c r="M20" s="1152"/>
      <c r="N20" s="1081"/>
    </row>
    <row r="21" spans="1:14" ht="285" customHeight="1" x14ac:dyDescent="0.45">
      <c r="A21" s="1134"/>
      <c r="B21" s="1134"/>
      <c r="C21" s="1134"/>
      <c r="D21" s="1134"/>
      <c r="E21" s="1134"/>
      <c r="F21" s="1134"/>
      <c r="G21" s="1093"/>
      <c r="H21" s="1144" t="str">
        <f>pay!B38</f>
        <v>Bezogen auf den letzten Jahresabschluss per 31.12.25 erwarten Analysten (Median Consensus) für die nächsten 3 Fiskaljahre ein Umsatzwachstum von 24,8% (2026e), 18,9% (2027e) und 16,4% (2028e). Die EBIT-Marge für die nächsten drei Fiskaljahre wird in der Mitte aller Analysten auf 34,3%, 34,0% und 34,2% prognostiziert. Demnach würde das operative Ergebnis vor Zinsen und Steuern im Fiskaljahr 2028e USD 118.644 Mio. betragen (EBIT). Analysten der Finanzindustrie sehen Zielkurse für die Aktie zwischen USD 614,00 und USD 1.015,00; der Median beträgt USD 857,50.</v>
      </c>
      <c r="I21" s="1144"/>
      <c r="J21" s="1144"/>
      <c r="K21" s="1144"/>
      <c r="L21" s="1144"/>
      <c r="M21" s="1144"/>
      <c r="N21" s="1014"/>
    </row>
    <row r="22" spans="1:14" ht="20" customHeight="1" x14ac:dyDescent="0.45">
      <c r="A22" s="1130"/>
      <c r="B22" s="1130"/>
      <c r="C22" s="1130"/>
      <c r="D22" s="1130"/>
      <c r="E22" s="1130"/>
      <c r="F22" s="1130"/>
      <c r="G22" s="1131"/>
      <c r="H22" s="1132"/>
      <c r="I22" s="1132"/>
      <c r="J22" s="1132"/>
      <c r="K22" s="1132"/>
      <c r="L22" s="1132"/>
      <c r="M22" s="1132"/>
      <c r="N22" s="1132"/>
    </row>
    <row r="23" spans="1:14" s="850" customFormat="1" ht="5" customHeight="1" x14ac:dyDescent="0.45">
      <c r="A23" s="1081"/>
      <c r="B23" s="1081"/>
      <c r="C23" s="1081"/>
      <c r="D23" s="1081"/>
      <c r="E23" s="1081"/>
      <c r="F23" s="1081"/>
      <c r="G23" s="1081"/>
      <c r="H23" s="1081"/>
      <c r="I23" s="1081"/>
      <c r="J23" s="1081"/>
      <c r="K23" s="1081"/>
      <c r="L23" s="1081"/>
      <c r="M23" s="1081"/>
      <c r="N23" s="1081"/>
    </row>
    <row r="24" spans="1:14" s="850" customFormat="1" ht="14.1" customHeight="1" x14ac:dyDescent="0.45">
      <c r="A24" s="1134" t="str">
        <f>MID(pay!$B$26,FIND("Aktienkursentwicklung",pay!$B$26),9999)</f>
        <v>Aktienkursentwicklung
Die Aktie hat sich nach schwächeren Niveaus zu Monatsbeginn deutlich erholt und ist von Kursen um USD 573 Anfang April über einen kräftigen Zwischenschritt auf USD 612 bis auf den aktuellen Börsenkurs von USD 676,87 gestiegen.
Damit notiert das Papier klar unter dem 52-Wochen-Hoch von USD 796,25, bewegt sich aber zugleich spürbar über dem unteren Bereich der 52-Wochen-Spanne, was auf eine Erholung mit noch bestehendem Abstand zum früheren Spitzenkurs hindeutet.
Im aktuellen Kursbild zeigt sich damit ein Titel, der sich wieder gefestigt hat, dessen Bewertung am Markt aber noch nicht an das frühere Hoch heranreicht; genau diese Konstellation macht die weitere Kursentwicklung besonders beobachtenswert.</v>
      </c>
      <c r="B24" s="1134"/>
      <c r="C24" s="1134"/>
      <c r="D24" s="1134"/>
      <c r="E24" s="1134"/>
      <c r="F24" s="1134"/>
      <c r="G24" s="1088"/>
      <c r="H24" s="1094" t="str">
        <f>pay!B31</f>
        <v>Historische Geschäftsentwicklung</v>
      </c>
      <c r="I24" s="1088"/>
      <c r="J24" s="1088"/>
      <c r="K24" s="1081"/>
      <c r="L24" s="1088"/>
      <c r="M24" s="1081"/>
      <c r="N24" s="1081"/>
    </row>
    <row r="25" spans="1:14" ht="186.6" customHeight="1" x14ac:dyDescent="0.45">
      <c r="A25" s="1134"/>
      <c r="B25" s="1134"/>
      <c r="C25" s="1134"/>
      <c r="D25" s="1134"/>
      <c r="E25" s="1134"/>
      <c r="F25" s="1134"/>
      <c r="G25" s="1014"/>
      <c r="H25" s="1144" t="str">
        <f>pay!B32</f>
        <v xml:space="preserve">In den letzten drei Fiskaljahren veränderte sich der Umsatz um 15,7%, 21,9% und zuletzt 22,2%. Neben diesen Veränderungen beim Umsatz betrachten wir die erzielten operativen Margen. In den letzten drei Fiskaljahren betrug die EBIT-Marge 34,7%, 42,2% und zuletzt 41,4%. Die mittlere EBIT-Marge betrug über die letzten 10 Jahre 41,2%; über die letzten 5 Jahre hingegen 39,6% (Median). </v>
      </c>
      <c r="I25" s="1144"/>
      <c r="J25" s="1144"/>
      <c r="K25" s="1144"/>
      <c r="L25" s="1144"/>
      <c r="M25" s="1144"/>
      <c r="N25" s="1014"/>
    </row>
    <row r="26" spans="1:14" ht="18" customHeight="1" x14ac:dyDescent="0.45">
      <c r="A26" s="1080" t="str">
        <f>pay!B28</f>
        <v>3 Jahre Kursentwicklung in USD</v>
      </c>
      <c r="B26" s="900"/>
      <c r="C26" s="900"/>
      <c r="D26" s="900"/>
      <c r="E26" s="1079"/>
      <c r="F26" s="1079"/>
      <c r="G26" s="1079"/>
      <c r="H26" s="1080" t="str">
        <f>pay!B34</f>
        <v>Umsatz in Mio. USD  |  EBIT-Marge  |  10 Fiskaljahre</v>
      </c>
      <c r="I26" s="1079"/>
      <c r="J26" s="1079"/>
      <c r="K26" s="1079"/>
      <c r="L26" s="1079"/>
      <c r="M26" s="1079"/>
      <c r="N26" s="1079"/>
    </row>
    <row r="27" spans="1:14" ht="200" customHeight="1" x14ac:dyDescent="0.45">
      <c r="A27" s="1015"/>
      <c r="B27" s="859"/>
      <c r="C27" s="859"/>
      <c r="D27" s="859"/>
      <c r="E27" s="851"/>
      <c r="F27" s="851"/>
      <c r="G27" s="851"/>
      <c r="H27" s="851"/>
      <c r="I27" s="851"/>
      <c r="J27" s="851"/>
      <c r="K27" s="851"/>
      <c r="L27" s="851"/>
      <c r="M27" s="851"/>
      <c r="N27" s="851"/>
    </row>
    <row r="28" spans="1:14" ht="15" customHeight="1" x14ac:dyDescent="0.45">
      <c r="A28" s="115"/>
      <c r="B28" s="115"/>
      <c r="C28" s="115"/>
      <c r="D28" s="115"/>
      <c r="E28" s="115"/>
      <c r="F28" s="115"/>
      <c r="G28" s="115"/>
      <c r="H28" s="115"/>
      <c r="I28" s="115"/>
      <c r="J28" s="115"/>
      <c r="K28" s="115"/>
      <c r="L28" s="115"/>
      <c r="M28" s="115"/>
      <c r="N28" s="115"/>
    </row>
    <row r="29" spans="1:14" s="850" customFormat="1" ht="15" customHeight="1" x14ac:dyDescent="0.35">
      <c r="A29" s="1111" t="str">
        <f>pay!B2&amp;" "&amp;"Kennzahlen"</f>
        <v>Meta Platforms, Inc. Kennzahlen</v>
      </c>
      <c r="B29" s="1104"/>
      <c r="C29" s="1104"/>
      <c r="D29" s="1104"/>
      <c r="E29" s="1104"/>
      <c r="F29" s="1104"/>
      <c r="G29" s="1111" t="str">
        <f>pay!B51</f>
        <v>Kennzahlen der Peergroup</v>
      </c>
      <c r="H29" s="1095"/>
      <c r="I29" s="1095"/>
      <c r="J29" s="1095"/>
      <c r="K29" s="1104"/>
      <c r="L29" s="1110" t="str">
        <f>pay!D52</f>
        <v>Unternehmenswert</v>
      </c>
      <c r="M29" s="1103"/>
      <c r="N29" s="1105" t="str">
        <f>pay!F52</f>
        <v xml:space="preserve">Kurs / </v>
      </c>
    </row>
    <row r="30" spans="1:14" s="850" customFormat="1" ht="15" customHeight="1" x14ac:dyDescent="0.45">
      <c r="A30" s="1151">
        <f>pay!E40</f>
        <v>46129</v>
      </c>
      <c r="B30" s="1151"/>
      <c r="C30" s="1151"/>
      <c r="D30" s="1095"/>
      <c r="E30" s="1095"/>
      <c r="F30" s="1095"/>
      <c r="G30" s="1089"/>
      <c r="H30" s="1095"/>
      <c r="I30" s="1095"/>
      <c r="J30" s="1095"/>
      <c r="K30" s="1106"/>
      <c r="L30" s="1107" t="str">
        <f>pay!D53</f>
        <v>/ EBITDA LTM</v>
      </c>
      <c r="M30" s="1108" t="s">
        <v>351</v>
      </c>
      <c r="N30" s="1109" t="str">
        <f>pay!F53</f>
        <v xml:space="preserve"> Buchwert</v>
      </c>
    </row>
    <row r="31" spans="1:14" s="850" customFormat="1" ht="15" customHeight="1" x14ac:dyDescent="0.45">
      <c r="A31" s="1080" t="str">
        <f>pay!B41</f>
        <v>EBITDA Multiplikator Börse</v>
      </c>
      <c r="B31" s="1081"/>
      <c r="C31" s="1082"/>
      <c r="D31" s="1081"/>
      <c r="E31" s="1096">
        <f>pay!F41</f>
        <v>16.267199999999999</v>
      </c>
      <c r="F31" s="1104"/>
      <c r="G31" s="1080" t="str">
        <f>pay!B54</f>
        <v>Meta Platforms, Inc.</v>
      </c>
      <c r="H31" s="1082"/>
      <c r="I31" s="1081"/>
      <c r="J31" s="1081"/>
      <c r="K31" s="1087"/>
      <c r="L31" s="1086">
        <f>pay!D54</f>
        <v>16.267199999999999</v>
      </c>
      <c r="M31" s="1086">
        <f>pay!E54</f>
        <v>32.43985</v>
      </c>
      <c r="N31" s="1086">
        <f>pay!F54</f>
        <v>7.88279</v>
      </c>
    </row>
    <row r="32" spans="1:14" s="850" customFormat="1" ht="15" customHeight="1" x14ac:dyDescent="0.45">
      <c r="A32" s="1080" t="str">
        <f>pay!B42</f>
        <v>EBIT Multiplikator Börse</v>
      </c>
      <c r="B32" s="1081"/>
      <c r="C32" s="1082"/>
      <c r="D32" s="1081"/>
      <c r="E32" s="1096">
        <f>pay!F42</f>
        <v>20.67428</v>
      </c>
      <c r="F32" s="1104"/>
      <c r="G32" s="1080" t="str">
        <f>pay!B55</f>
        <v>Alphabet Inc.</v>
      </c>
      <c r="H32" s="1082"/>
      <c r="I32" s="1081"/>
      <c r="J32" s="1081"/>
      <c r="K32" s="1087"/>
      <c r="L32" s="1086">
        <f>pay!D55</f>
        <v>25.635290000000001</v>
      </c>
      <c r="M32" s="1086">
        <f>pay!E55</f>
        <v>48.993630000000003</v>
      </c>
      <c r="N32" s="1086">
        <f>pay!F55</f>
        <v>9.78125</v>
      </c>
    </row>
    <row r="33" spans="1:14" s="850" customFormat="1" ht="15" customHeight="1" x14ac:dyDescent="0.45">
      <c r="A33" s="1081"/>
      <c r="B33" s="1081"/>
      <c r="C33" s="1081"/>
      <c r="D33" s="1081"/>
      <c r="E33" s="1081"/>
      <c r="F33" s="1104"/>
      <c r="G33" s="1080" t="str">
        <f>pay!B56</f>
        <v>Reddit, Inc.</v>
      </c>
      <c r="H33" s="1082"/>
      <c r="I33" s="1081"/>
      <c r="J33" s="1081"/>
      <c r="K33" s="1087"/>
      <c r="L33" s="1086">
        <f>pay!D56</f>
        <v>60.899949999999997</v>
      </c>
      <c r="M33" s="1086">
        <f>pay!E56</f>
        <v>99.36242</v>
      </c>
      <c r="N33" s="1086">
        <f>pay!F56</f>
        <v>10.58724</v>
      </c>
    </row>
    <row r="34" spans="1:14" s="850" customFormat="1" ht="15" customHeight="1" x14ac:dyDescent="0.45">
      <c r="A34" s="1080" t="str">
        <f>pay!B43</f>
        <v>KGV verwässert vor Extras</v>
      </c>
      <c r="B34" s="1081"/>
      <c r="C34" s="1082"/>
      <c r="D34" s="1081"/>
      <c r="E34" s="1096">
        <f>pay!F43</f>
        <v>28.815239999999999</v>
      </c>
      <c r="F34" s="1104"/>
      <c r="G34" s="1080" t="str">
        <f>pay!B57</f>
        <v>Bumble Inc.</v>
      </c>
      <c r="H34" s="1082"/>
      <c r="I34" s="1081"/>
      <c r="J34" s="1081"/>
      <c r="K34" s="1087"/>
      <c r="L34" s="1086">
        <f>pay!D57</f>
        <v>3.9651800000000001</v>
      </c>
      <c r="M34" s="1086">
        <f>pay!E57</f>
        <v>1.45702</v>
      </c>
      <c r="N34" s="1086">
        <f>pay!F57</f>
        <v>0.98007</v>
      </c>
    </row>
    <row r="35" spans="1:14" s="850" customFormat="1" ht="15" customHeight="1" x14ac:dyDescent="0.45">
      <c r="A35" s="1080" t="str">
        <f>pay!B44</f>
        <v>KGV normalisiert (PE)</v>
      </c>
      <c r="B35" s="1081"/>
      <c r="C35" s="1082"/>
      <c r="D35" s="1081"/>
      <c r="E35" s="1096">
        <f>pay!F44</f>
        <v>32.43985</v>
      </c>
      <c r="F35" s="1104"/>
      <c r="G35" s="1080" t="str">
        <f>pay!B58</f>
        <v>Tencent Holdings</v>
      </c>
      <c r="H35" s="1082"/>
      <c r="I35" s="1081"/>
      <c r="J35" s="1081"/>
      <c r="K35" s="1087"/>
      <c r="L35" s="1086">
        <f>pay!D58</f>
        <v>13.874269999999999</v>
      </c>
      <c r="M35" s="1086">
        <f>pay!E58</f>
        <v>25.725239999999999</v>
      </c>
      <c r="N35" s="1086">
        <f>pay!F58</f>
        <v>3.5903399999999999</v>
      </c>
    </row>
    <row r="36" spans="1:14" s="850" customFormat="1" ht="15" customHeight="1" x14ac:dyDescent="0.45">
      <c r="A36" s="1080" t="str">
        <f>pay!B45</f>
        <v>Kurs-Buchwert-Verhältnis</v>
      </c>
      <c r="B36" s="1081"/>
      <c r="C36" s="1082"/>
      <c r="D36" s="1081"/>
      <c r="E36" s="1096">
        <f>pay!F45</f>
        <v>7.88279</v>
      </c>
      <c r="F36" s="1104"/>
      <c r="G36" s="1080" t="str">
        <f>pay!B59</f>
        <v>Amazon.com, Inc.</v>
      </c>
      <c r="H36" s="1082"/>
      <c r="I36" s="1081"/>
      <c r="J36" s="1081"/>
      <c r="K36" s="1087"/>
      <c r="L36" s="1086">
        <f>pay!D59</f>
        <v>16.931709999999999</v>
      </c>
      <c r="M36" s="1086">
        <f>pay!E59</f>
        <v>53.103560000000002</v>
      </c>
      <c r="N36" s="1086">
        <f>pay!F59</f>
        <v>6.51851</v>
      </c>
    </row>
    <row r="37" spans="1:14" s="850" customFormat="1" ht="15" customHeight="1" x14ac:dyDescent="0.45">
      <c r="A37" s="1080" t="str">
        <f>pay!B46</f>
        <v>Nettofinanzschulden / EBITDA</v>
      </c>
      <c r="B37" s="1081"/>
      <c r="C37" s="1082"/>
      <c r="D37" s="1081"/>
      <c r="E37" s="1096">
        <f>pay!F46</f>
        <v>3.4242138735131315E-2</v>
      </c>
      <c r="F37" s="1104"/>
      <c r="G37" s="1080" t="str">
        <f>pay!B60</f>
        <v>Yelp Inc.</v>
      </c>
      <c r="H37" s="1082"/>
      <c r="I37" s="1081"/>
      <c r="J37" s="1081"/>
      <c r="K37" s="1087"/>
      <c r="L37" s="1086">
        <f>pay!D60</f>
        <v>6.4804399999999998</v>
      </c>
      <c r="M37" s="1086">
        <f>pay!E60</f>
        <v>13.73282</v>
      </c>
      <c r="N37" s="1086">
        <f>pay!F60</f>
        <v>2.3126500000000001</v>
      </c>
    </row>
    <row r="38" spans="1:14" s="850" customFormat="1" ht="15" customHeight="1" x14ac:dyDescent="0.45">
      <c r="A38" s="1081"/>
      <c r="B38" s="1081"/>
      <c r="C38" s="1081"/>
      <c r="D38" s="1081"/>
      <c r="E38" s="1081"/>
      <c r="F38" s="1104"/>
      <c r="G38" s="1080" t="str">
        <f>pay!B61</f>
        <v>Grindr Inc.</v>
      </c>
      <c r="H38" s="1081"/>
      <c r="I38" s="1081"/>
      <c r="J38" s="1081"/>
      <c r="K38" s="1087"/>
      <c r="L38" s="1086">
        <f>pay!D61</f>
        <v>19.332920000000001</v>
      </c>
      <c r="M38" s="1086">
        <f>pay!E61</f>
        <v>32.449950000000001</v>
      </c>
      <c r="N38" s="1086">
        <f>pay!F61</f>
        <v>50.937060000000002</v>
      </c>
    </row>
    <row r="39" spans="1:14" s="850" customFormat="1" ht="15" customHeight="1" x14ac:dyDescent="0.45">
      <c r="A39" s="1080" t="str">
        <f>pay!B47</f>
        <v>Letzte Jahresdividende in USD</v>
      </c>
      <c r="B39" s="1081"/>
      <c r="C39" s="1082"/>
      <c r="D39" s="1081"/>
      <c r="E39" s="1084">
        <f>pay!F47</f>
        <v>2.1043478260869599</v>
      </c>
      <c r="F39" s="1104"/>
      <c r="G39" s="1080" t="str">
        <f>pay!B62</f>
        <v>IAC Inc.</v>
      </c>
      <c r="H39" s="1081"/>
      <c r="I39" s="1081"/>
      <c r="J39" s="1081"/>
      <c r="K39" s="1087"/>
      <c r="L39" s="1086">
        <f>pay!D62</f>
        <v>14.17113</v>
      </c>
      <c r="M39" s="1086">
        <f>pay!E62</f>
        <v>131.99507</v>
      </c>
      <c r="N39" s="1086">
        <f>pay!F62</f>
        <v>0.71057000000000003</v>
      </c>
    </row>
    <row r="40" spans="1:14" s="850" customFormat="1" ht="15" customHeight="1" x14ac:dyDescent="0.45">
      <c r="A40" s="1080" t="str">
        <f>pay!B48</f>
        <v>Erwartete Jahresdividende in USD</v>
      </c>
      <c r="B40" s="1081"/>
      <c r="C40" s="1081"/>
      <c r="D40" s="1081"/>
      <c r="E40" s="1084">
        <f>pay!F48</f>
        <v>2.2446199999999998</v>
      </c>
      <c r="F40" s="1104"/>
      <c r="G40" s="1080" t="str">
        <f>pay!B63</f>
        <v>Taboola.com Ltd.</v>
      </c>
      <c r="H40" s="1081"/>
      <c r="I40" s="1081"/>
      <c r="J40" s="1081"/>
      <c r="K40" s="1087"/>
      <c r="L40" s="1086">
        <f>pay!D63</f>
        <v>6.2693000000000003</v>
      </c>
      <c r="M40" s="1086">
        <f>pay!E63</f>
        <v>47.420380000000002</v>
      </c>
      <c r="N40" s="1086">
        <f>pay!F63</f>
        <v>1.1149899999999999</v>
      </c>
    </row>
    <row r="41" spans="1:14" s="850" customFormat="1" ht="15" customHeight="1" x14ac:dyDescent="0.45">
      <c r="A41" s="1080" t="str">
        <f>pay!B49</f>
        <v>Erwartete Dividendenrendite</v>
      </c>
      <c r="B41" s="1081"/>
      <c r="C41" s="1081"/>
      <c r="D41" s="1081"/>
      <c r="E41" s="1097">
        <f>pay!F49</f>
        <v>3.3161759274306733E-3</v>
      </c>
      <c r="F41" s="1095"/>
      <c r="G41" s="1080" t="str">
        <f>pay!B64</f>
        <v>Leafbuyer Technologies</v>
      </c>
      <c r="H41" s="1085"/>
      <c r="I41" s="1085"/>
      <c r="J41" s="1081"/>
      <c r="K41" s="1087"/>
      <c r="L41" s="1086" t="str">
        <f>pay!D64</f>
        <v>NA</v>
      </c>
      <c r="M41" s="1086">
        <f>pay!E64</f>
        <v>39.354840000000003</v>
      </c>
      <c r="N41" s="1086" t="str">
        <f>pay!F64</f>
        <v>NM</v>
      </c>
    </row>
    <row r="42" spans="1:14" s="850" customFormat="1" ht="14.1" customHeight="1" thickBot="1" x14ac:dyDescent="0.5">
      <c r="A42" s="1098"/>
      <c r="B42" s="1099"/>
      <c r="C42" s="1099"/>
      <c r="D42" s="1099"/>
      <c r="E42" s="1099"/>
      <c r="F42" s="1104"/>
      <c r="G42" s="1104"/>
      <c r="H42" s="1104"/>
      <c r="I42" s="1104"/>
      <c r="J42" s="1104"/>
      <c r="K42" s="1104"/>
      <c r="L42" s="1104"/>
      <c r="M42" s="1104"/>
      <c r="N42" s="1104"/>
    </row>
    <row r="43" spans="1:14" s="272" customFormat="1" ht="20.100000000000001" customHeight="1" x14ac:dyDescent="0.45">
      <c r="A43" s="1018" t="str">
        <f>'DIY Grundmodell'!Q2</f>
        <v>Meta Platforms, Inc.</v>
      </c>
      <c r="B43" s="1019"/>
      <c r="C43" s="1020"/>
      <c r="D43" s="1020" t="s">
        <v>357</v>
      </c>
      <c r="E43" s="1020"/>
      <c r="F43" s="1020"/>
      <c r="G43" s="1020"/>
      <c r="H43" s="1020"/>
      <c r="I43" s="1020"/>
      <c r="J43" s="1020"/>
      <c r="K43" s="1020"/>
      <c r="L43" s="1021" t="str">
        <f>'DIY Grundmodell'!AB2</f>
        <v>Datum</v>
      </c>
      <c r="M43" s="1022"/>
      <c r="N43" s="1023">
        <f>'DIY Grundmodell'!AD2</f>
        <v>46129</v>
      </c>
    </row>
    <row r="44" spans="1:14" ht="14.1" customHeight="1" x14ac:dyDescent="0.45">
      <c r="A44" s="1024" t="str">
        <f>'DIY Grundmodell'!Q3</f>
        <v>www.meta.com</v>
      </c>
      <c r="B44" s="8"/>
      <c r="C44" s="9"/>
      <c r="D44" s="102"/>
      <c r="E44" s="86"/>
      <c r="F44" s="86"/>
      <c r="G44" s="86"/>
      <c r="H44" s="86"/>
      <c r="I44" s="86"/>
      <c r="J44" s="86"/>
      <c r="K44" s="9"/>
      <c r="L44" s="10" t="str">
        <f>'DIY Grundmodell'!AB3</f>
        <v>Aktienkurs USD</v>
      </c>
      <c r="M44" s="11"/>
      <c r="N44" s="1025">
        <f>'DIY Grundmodell'!AD3</f>
        <v>676.87</v>
      </c>
    </row>
    <row r="45" spans="1:14" ht="14.1" customHeight="1" x14ac:dyDescent="0.45">
      <c r="A45" s="1024" t="str">
        <f>'DIY Grundmodell'!Q4</f>
        <v>LTM / Quartal</v>
      </c>
      <c r="C45" s="13">
        <f>'DIY Grundmodell'!S4</f>
        <v>46022</v>
      </c>
      <c r="D45" s="102"/>
      <c r="E45" s="86"/>
      <c r="F45" s="86"/>
      <c r="G45" s="86"/>
      <c r="H45" s="86"/>
      <c r="I45" s="86"/>
      <c r="J45" s="86"/>
      <c r="K45" s="9"/>
      <c r="L45" s="10" t="str">
        <f>'DIY Grundmodell'!AB4</f>
        <v>Aktienwert</v>
      </c>
      <c r="M45" s="11"/>
      <c r="N45" s="1025">
        <f>'DIY Grundmodell'!AD4</f>
        <v>609.63164007663329</v>
      </c>
    </row>
    <row r="46" spans="1:14" ht="14.1" customHeight="1" thickBot="1" x14ac:dyDescent="0.5">
      <c r="A46" s="1024" t="str">
        <f>'DIY Grundmodell'!Q5</f>
        <v>Letztes Fiskaljahr</v>
      </c>
      <c r="C46" s="13">
        <f>'DIY Grundmodell'!S5</f>
        <v>46022</v>
      </c>
      <c r="D46" s="102"/>
      <c r="E46" s="86"/>
      <c r="F46" s="86"/>
      <c r="G46" s="86"/>
      <c r="H46" s="86"/>
      <c r="I46" s="86"/>
      <c r="J46" s="86"/>
      <c r="K46" s="9"/>
      <c r="L46" s="15" t="str">
        <f>'DIY Grundmodell'!AB5</f>
        <v>Kurs/Wert</v>
      </c>
      <c r="M46" s="16"/>
      <c r="N46" s="1026">
        <f>'DIY Grundmodell'!AD5</f>
        <v>1.1102934222950018</v>
      </c>
    </row>
    <row r="47" spans="1:14" ht="14.1" customHeight="1" x14ac:dyDescent="0.45">
      <c r="A47" s="1024" t="str">
        <f>'DIY Grundmodell'!Q6</f>
        <v>Anzahl Aktien Mio.</v>
      </c>
      <c r="C47" s="17">
        <f>'DIY Grundmodell'!S6</f>
        <v>2529.55546</v>
      </c>
      <c r="D47" s="102"/>
      <c r="E47" s="86"/>
      <c r="F47" s="86"/>
      <c r="G47" s="86"/>
      <c r="H47" s="86"/>
      <c r="I47" s="86"/>
      <c r="J47" s="86"/>
      <c r="K47" s="9"/>
      <c r="L47" s="18" t="str">
        <f>'DIY Grundmodell'!AB6</f>
        <v>52W Tief</v>
      </c>
      <c r="M47" s="19"/>
      <c r="N47" s="1027">
        <f>'DIY Grundmodell'!AD6</f>
        <v>479.8</v>
      </c>
    </row>
    <row r="48" spans="1:14" ht="14.1" customHeight="1" thickBot="1" x14ac:dyDescent="0.5">
      <c r="A48" s="1024" t="str">
        <f>'DIY Grundmodell'!Q7</f>
        <v>Freefloat</v>
      </c>
      <c r="C48" s="20">
        <f>'DIY Grundmodell'!S7</f>
        <v>0.86334169999999999</v>
      </c>
      <c r="D48" s="102"/>
      <c r="E48" s="86"/>
      <c r="F48" s="86"/>
      <c r="G48" s="86"/>
      <c r="H48" s="86"/>
      <c r="I48" s="86"/>
      <c r="J48" s="86"/>
      <c r="K48" s="9"/>
      <c r="L48" s="15" t="str">
        <f>'DIY Grundmodell'!AB7</f>
        <v>52W Hoch</v>
      </c>
      <c r="M48" s="16"/>
      <c r="N48" s="1028">
        <f>'DIY Grundmodell'!AD7</f>
        <v>796.25</v>
      </c>
    </row>
    <row r="49" spans="1:14" ht="14.1" customHeight="1" x14ac:dyDescent="0.45">
      <c r="A49" s="1029" t="str">
        <f>'DIY Grundmodell'!Q8</f>
        <v>Unt.-Rating S&amp;P</v>
      </c>
      <c r="B49" s="5"/>
      <c r="C49" s="12" t="str">
        <f>'DIY Grundmodell'!S8</f>
        <v>AA-</v>
      </c>
      <c r="D49" s="102"/>
      <c r="E49" s="86"/>
      <c r="F49" s="86"/>
      <c r="G49" s="86"/>
      <c r="H49" s="86"/>
      <c r="I49" s="86"/>
      <c r="J49" s="86"/>
      <c r="K49" s="9"/>
      <c r="L49" s="21" t="str">
        <f>'DIY Grundmodell'!AB8</f>
        <v>TV/TEV</v>
      </c>
      <c r="M49" s="22"/>
      <c r="N49" s="1030">
        <f>'DIY Grundmodell'!AD8</f>
        <v>0.76698643092546925</v>
      </c>
    </row>
    <row r="50" spans="1:14" ht="14.1" customHeight="1" x14ac:dyDescent="0.45">
      <c r="A50" s="1024" t="str">
        <f>'DIY Grundmodell'!Q9</f>
        <v>Net Debt/EBITDA</v>
      </c>
      <c r="C50" s="23">
        <f>'DIY Grundmodell'!S9</f>
        <v>3.4242138735131315E-2</v>
      </c>
      <c r="D50" s="102"/>
      <c r="E50" s="86"/>
      <c r="F50" s="86"/>
      <c r="G50" s="86"/>
      <c r="H50" s="86"/>
      <c r="I50" s="86"/>
      <c r="J50" s="86"/>
      <c r="K50" s="9"/>
      <c r="L50" s="10" t="str">
        <f>'DIY Grundmodell'!AB9</f>
        <v>Dividende 2025</v>
      </c>
      <c r="M50" s="24"/>
      <c r="N50" s="1025">
        <f>'DIY Grundmodell'!AD9</f>
        <v>2.1043478260869564</v>
      </c>
    </row>
    <row r="51" spans="1:14" ht="14.1" customHeight="1" x14ac:dyDescent="0.45">
      <c r="A51" s="1024" t="str">
        <f>'DIY Grundmodell'!Q10</f>
        <v>Market Cap</v>
      </c>
      <c r="C51" s="25">
        <f>'DIY Grundmodell'!S10</f>
        <v>1712180.20692</v>
      </c>
      <c r="D51" s="102"/>
      <c r="E51" s="86"/>
      <c r="F51" s="86"/>
      <c r="G51" s="86"/>
      <c r="H51" s="86"/>
      <c r="I51" s="86"/>
      <c r="J51" s="86"/>
      <c r="K51" s="9"/>
      <c r="L51" s="10" t="str">
        <f>'DIY Grundmodell'!AB10</f>
        <v>Erw. Dividende</v>
      </c>
      <c r="M51" s="5"/>
      <c r="N51" s="1025">
        <f>'DIY Grundmodell'!AD10</f>
        <v>2.2446199999999998</v>
      </c>
    </row>
    <row r="52" spans="1:14" ht="14.1" customHeight="1" thickBot="1" x14ac:dyDescent="0.5">
      <c r="A52" s="1031" t="str">
        <f>'DIY Grundmodell'!Q11</f>
        <v>in Mio. USD</v>
      </c>
      <c r="B52" s="750"/>
      <c r="C52" s="751"/>
      <c r="D52" s="752"/>
      <c r="E52" s="753"/>
      <c r="F52" s="753"/>
      <c r="G52" s="753"/>
      <c r="H52" s="753"/>
      <c r="I52" s="753"/>
      <c r="J52" s="753"/>
      <c r="K52" s="751"/>
      <c r="L52" s="754" t="str">
        <f>'DIY Grundmodell'!AB11</f>
        <v>Erw. D-Rendite</v>
      </c>
      <c r="M52" s="755"/>
      <c r="N52" s="1032">
        <f>'DIY Grundmodell'!AD11</f>
        <v>3.3161759274306733E-3</v>
      </c>
    </row>
    <row r="53" spans="1:14" ht="3.4" customHeight="1" thickBot="1" x14ac:dyDescent="0.5">
      <c r="A53" s="1033"/>
      <c r="B53" s="57"/>
      <c r="C53" s="57"/>
      <c r="D53" s="57"/>
      <c r="E53" s="57"/>
      <c r="F53" s="57"/>
      <c r="G53" s="57"/>
      <c r="H53" s="57"/>
      <c r="I53" s="57"/>
      <c r="J53" s="57"/>
      <c r="K53" s="57"/>
      <c r="L53" s="57"/>
      <c r="M53" s="57"/>
      <c r="N53" s="1034"/>
    </row>
    <row r="54" spans="1:14" ht="14.1" customHeight="1" x14ac:dyDescent="0.45">
      <c r="A54" s="1035" t="str">
        <f>'DIY Grundmodell'!Q12</f>
        <v>Historie</v>
      </c>
      <c r="B54" s="69">
        <f>'DIY Grundmodell'!R12</f>
        <v>2016</v>
      </c>
      <c r="C54" s="69">
        <f>'DIY Grundmodell'!S12</f>
        <v>2017</v>
      </c>
      <c r="D54" s="69">
        <f>'DIY Grundmodell'!T12</f>
        <v>2018</v>
      </c>
      <c r="E54" s="69">
        <f>'DIY Grundmodell'!U12</f>
        <v>2019</v>
      </c>
      <c r="F54" s="69">
        <f>'DIY Grundmodell'!V12</f>
        <v>2020</v>
      </c>
      <c r="G54" s="69">
        <f>'DIY Grundmodell'!W12</f>
        <v>2021</v>
      </c>
      <c r="H54" s="69">
        <f>'DIY Grundmodell'!X12</f>
        <v>2022</v>
      </c>
      <c r="I54" s="69">
        <f>'DIY Grundmodell'!Y12</f>
        <v>2023</v>
      </c>
      <c r="J54" s="69">
        <f>'DIY Grundmodell'!Z12</f>
        <v>2024</v>
      </c>
      <c r="K54" s="70">
        <f>'DIY Grundmodell'!AA12</f>
        <v>2025</v>
      </c>
      <c r="L54" s="71" t="str">
        <f>'DIY Grundmodell'!AB12</f>
        <v>2026e</v>
      </c>
      <c r="M54" s="69" t="str">
        <f>'DIY Grundmodell'!AC12</f>
        <v>2027e</v>
      </c>
      <c r="N54" s="1036" t="str">
        <f>'DIY Grundmodell'!AD12</f>
        <v>2028e</v>
      </c>
    </row>
    <row r="55" spans="1:14" s="31" customFormat="1" ht="14.1" customHeight="1" x14ac:dyDescent="0.45">
      <c r="A55" s="1029" t="str">
        <f>'DIY Grundmodell'!Q13</f>
        <v>Umsatz</v>
      </c>
      <c r="B55" s="29">
        <f>'DIY Grundmodell'!R13</f>
        <v>27638</v>
      </c>
      <c r="C55" s="29">
        <f>'DIY Grundmodell'!S13</f>
        <v>40653</v>
      </c>
      <c r="D55" s="29">
        <f>'DIY Grundmodell'!T13</f>
        <v>55838</v>
      </c>
      <c r="E55" s="29">
        <f>'DIY Grundmodell'!U13</f>
        <v>70697</v>
      </c>
      <c r="F55" s="29">
        <f>'DIY Grundmodell'!V13</f>
        <v>85965</v>
      </c>
      <c r="G55" s="29">
        <f>'DIY Grundmodell'!W13</f>
        <v>117929</v>
      </c>
      <c r="H55" s="29">
        <f>'DIY Grundmodell'!X13</f>
        <v>116609</v>
      </c>
      <c r="I55" s="29">
        <f>'DIY Grundmodell'!Y13</f>
        <v>134902</v>
      </c>
      <c r="J55" s="29">
        <f>'DIY Grundmodell'!Z13</f>
        <v>164501</v>
      </c>
      <c r="K55" s="25">
        <f>'DIY Grundmodell'!AA13</f>
        <v>200966</v>
      </c>
      <c r="L55" s="28">
        <f>'DIY Grundmodell'!AB13</f>
        <v>250863.95</v>
      </c>
      <c r="M55" s="29">
        <f>'DIY Grundmodell'!AC13</f>
        <v>298236</v>
      </c>
      <c r="N55" s="1037">
        <f>'DIY Grundmodell'!AD13</f>
        <v>347061</v>
      </c>
    </row>
    <row r="56" spans="1:14" ht="14.1" customHeight="1" x14ac:dyDescent="0.45">
      <c r="A56" s="1038" t="str">
        <f>'DIY Grundmodell'!Q14</f>
        <v>Entw.</v>
      </c>
      <c r="B56" s="49">
        <f>'DIY Grundmodell'!R14</f>
        <v>0.54161088799643009</v>
      </c>
      <c r="C56" s="49">
        <f>'DIY Grundmodell'!S14</f>
        <v>0.47090961719371882</v>
      </c>
      <c r="D56" s="49">
        <f>'DIY Grundmodell'!T14</f>
        <v>0.37352716896661997</v>
      </c>
      <c r="E56" s="49">
        <f>'DIY Grundmodell'!U14</f>
        <v>0.26610910132884413</v>
      </c>
      <c r="F56" s="49">
        <f>'DIY Grundmodell'!V14</f>
        <v>0.21596390228722573</v>
      </c>
      <c r="G56" s="49">
        <f>'DIY Grundmodell'!W14</f>
        <v>0.37182574303495608</v>
      </c>
      <c r="H56" s="49">
        <f>'DIY Grundmodell'!X14</f>
        <v>-1.1193175554782941E-2</v>
      </c>
      <c r="I56" s="49">
        <f>'DIY Grundmodell'!Y14</f>
        <v>0.15687468377226454</v>
      </c>
      <c r="J56" s="49">
        <f>'DIY Grundmodell'!Z14</f>
        <v>0.21941112807816054</v>
      </c>
      <c r="K56" s="76">
        <f>'DIY Grundmodell'!AA14</f>
        <v>0.22167038498246217</v>
      </c>
      <c r="L56" s="729">
        <f>'DIY Grundmodell'!AB14</f>
        <v>0.24829050685190546</v>
      </c>
      <c r="M56" s="49">
        <f>'DIY Grundmodell'!AC14</f>
        <v>0.18883562185798319</v>
      </c>
      <c r="N56" s="1039">
        <f>'DIY Grundmodell'!AD14</f>
        <v>0.16371263026596394</v>
      </c>
    </row>
    <row r="57" spans="1:14" s="31" customFormat="1" ht="14.1" customHeight="1" x14ac:dyDescent="0.45">
      <c r="A57" s="1040" t="str">
        <f>'DIY Grundmodell'!Q15</f>
        <v>EBIT</v>
      </c>
      <c r="B57" s="33">
        <f>'DIY Grundmodell'!R15</f>
        <v>12427</v>
      </c>
      <c r="C57" s="33">
        <f>'DIY Grundmodell'!S15</f>
        <v>20203</v>
      </c>
      <c r="D57" s="33">
        <f>'DIY Grundmodell'!T15</f>
        <v>24913</v>
      </c>
      <c r="E57" s="33">
        <f>'DIY Grundmodell'!U15</f>
        <v>28986</v>
      </c>
      <c r="F57" s="33">
        <f>'DIY Grundmodell'!V15</f>
        <v>32671</v>
      </c>
      <c r="G57" s="33">
        <f>'DIY Grundmodell'!W15</f>
        <v>46753</v>
      </c>
      <c r="H57" s="33">
        <f>'DIY Grundmodell'!X15</f>
        <v>33555</v>
      </c>
      <c r="I57" s="33">
        <f>'DIY Grundmodell'!Y15</f>
        <v>46751</v>
      </c>
      <c r="J57" s="33">
        <f>'DIY Grundmodell'!Z15</f>
        <v>69380</v>
      </c>
      <c r="K57" s="34">
        <f>'DIY Grundmodell'!AA15</f>
        <v>83276</v>
      </c>
      <c r="L57" s="35">
        <f>'DIY Grundmodell'!AB15</f>
        <v>86128</v>
      </c>
      <c r="M57" s="33">
        <f>'DIY Grundmodell'!AC15</f>
        <v>101254.1</v>
      </c>
      <c r="N57" s="1041">
        <f>'DIY Grundmodell'!AD15</f>
        <v>118644</v>
      </c>
    </row>
    <row r="58" spans="1:14" ht="14.1" customHeight="1" thickBot="1" x14ac:dyDescent="0.5">
      <c r="A58" s="1042" t="str">
        <f>'DIY Grundmodell'!Q16</f>
        <v>/Umsatz</v>
      </c>
      <c r="B58" s="74">
        <f>'DIY Grundmodell'!R16</f>
        <v>0.44963456111151312</v>
      </c>
      <c r="C58" s="74">
        <f>'DIY Grundmodell'!S16</f>
        <v>0.49696209381841439</v>
      </c>
      <c r="D58" s="74">
        <f>'DIY Grundmodell'!T16</f>
        <v>0.44616569361366809</v>
      </c>
      <c r="E58" s="74">
        <f>'DIY Grundmodell'!U16</f>
        <v>0.41000325332050863</v>
      </c>
      <c r="F58" s="74">
        <f>'DIY Grundmodell'!V16</f>
        <v>0.3800500203571221</v>
      </c>
      <c r="G58" s="74">
        <f>'DIY Grundmodell'!W16</f>
        <v>0.39645040660058173</v>
      </c>
      <c r="H58" s="74">
        <f>'DIY Grundmodell'!X16</f>
        <v>0.28775651965114185</v>
      </c>
      <c r="I58" s="74">
        <f>'DIY Grundmodell'!Y16</f>
        <v>0.34655527716416362</v>
      </c>
      <c r="J58" s="74">
        <f>'DIY Grundmodell'!Z16</f>
        <v>0.42176035404040096</v>
      </c>
      <c r="K58" s="77">
        <f>'DIY Grundmodell'!AA16</f>
        <v>0.41437855159579234</v>
      </c>
      <c r="L58" s="37">
        <f>'DIY Grundmodell'!AB16</f>
        <v>0.34332553561402501</v>
      </c>
      <c r="M58" s="38">
        <f>'DIY Grundmodell'!AC16</f>
        <v>0.33950998538070526</v>
      </c>
      <c r="N58" s="1043">
        <f>'DIY Grundmodell'!AD16</f>
        <v>0.34185344939362244</v>
      </c>
    </row>
    <row r="59" spans="1:14" ht="14.1" customHeight="1" x14ac:dyDescent="0.45">
      <c r="A59" s="1044" t="str">
        <f>'DIY Grundmodell'!Q23</f>
        <v>Prognose</v>
      </c>
      <c r="B59" s="42" t="str">
        <f>'DIY Grundmodell'!R23</f>
        <v>LTM</v>
      </c>
      <c r="C59" s="43" t="str">
        <f>'DIY Grundmodell'!S23</f>
        <v>LTM+1</v>
      </c>
      <c r="D59" s="43" t="str">
        <f>'DIY Grundmodell'!T23</f>
        <v>LTM+2</v>
      </c>
      <c r="E59" s="43" t="str">
        <f>'DIY Grundmodell'!U23</f>
        <v>LTM+3</v>
      </c>
      <c r="F59" s="43" t="str">
        <f>'DIY Grundmodell'!V23</f>
        <v>LTM+4</v>
      </c>
      <c r="G59" s="43" t="str">
        <f>'DIY Grundmodell'!W23</f>
        <v>LTM+5</v>
      </c>
      <c r="H59" s="43" t="str">
        <f>'DIY Grundmodell'!X23</f>
        <v>LTM+6</v>
      </c>
      <c r="I59" s="43" t="str">
        <f>'DIY Grundmodell'!Y23</f>
        <v>LTM+7</v>
      </c>
      <c r="J59" s="43" t="str">
        <f>'DIY Grundmodell'!Z23</f>
        <v>LTM+8</v>
      </c>
      <c r="K59" s="43" t="str">
        <f>'DIY Grundmodell'!AA23</f>
        <v>LTM+9</v>
      </c>
      <c r="L59" s="43" t="str">
        <f>'DIY Grundmodell'!AB23</f>
        <v>LTM+10</v>
      </c>
      <c r="M59" s="44" t="str">
        <f>'DIY Grundmodell'!AC23</f>
        <v>ewig</v>
      </c>
      <c r="N59" s="1045" t="str">
        <f>'DIY Grundmodell'!AD23</f>
        <v>Median</v>
      </c>
    </row>
    <row r="60" spans="1:14" s="31" customFormat="1" ht="14.1" customHeight="1" x14ac:dyDescent="0.45">
      <c r="A60" s="1029" t="str">
        <f>'DIY Grundmodell'!Q24</f>
        <v>Umsatz</v>
      </c>
      <c r="B60" s="25">
        <f>'DIY Grundmodell'!R24</f>
        <v>200966</v>
      </c>
      <c r="C60" s="29">
        <f>'DIY Grundmodell'!S24</f>
        <v>250863.95000000004</v>
      </c>
      <c r="D60" s="29">
        <f>'DIY Grundmodell'!T24</f>
        <v>284024.38500000001</v>
      </c>
      <c r="E60" s="29">
        <f>'DIY Grundmodell'!U24</f>
        <v>316573.25038961595</v>
      </c>
      <c r="F60" s="29">
        <f>'DIY Grundmodell'!V24</f>
        <v>349874.00417806819</v>
      </c>
      <c r="G60" s="29">
        <f>'DIY Grundmodell'!W24</f>
        <v>382905.18109544076</v>
      </c>
      <c r="H60" s="29">
        <f>'DIY Grundmodell'!X24</f>
        <v>419054.79103589512</v>
      </c>
      <c r="I60" s="29">
        <f>'DIY Grundmodell'!Y24</f>
        <v>458617.24144799949</v>
      </c>
      <c r="J60" s="29">
        <f>'DIY Grundmodell'!Z24</f>
        <v>501914.73442754743</v>
      </c>
      <c r="K60" s="29">
        <f>'DIY Grundmodell'!AA24</f>
        <v>533196.26338642603</v>
      </c>
      <c r="L60" s="29">
        <f>'DIY Grundmodell'!AB24</f>
        <v>556230.34196471958</v>
      </c>
      <c r="M60" s="45">
        <f>'DIY Grundmodell'!AC24</f>
        <v>580259.49273759546</v>
      </c>
      <c r="N60" s="1046">
        <f>'DIY Grundmodell'!AD24</f>
        <v>400979.98606566794</v>
      </c>
    </row>
    <row r="61" spans="1:14" ht="14.1" customHeight="1" collapsed="1" x14ac:dyDescent="0.45">
      <c r="A61" s="1038" t="str">
        <f>'DIY Grundmodell'!Q25</f>
        <v>Entw.</v>
      </c>
      <c r="B61" s="76">
        <f>'DIY Grundmodell'!R25</f>
        <v>0.17965484855599906</v>
      </c>
      <c r="C61" s="49">
        <f>'DIY Grundmodell'!S25</f>
        <v>0.24829050685190546</v>
      </c>
      <c r="D61" s="49">
        <f>'DIY Grundmodell'!T25</f>
        <v>0.13218493530058822</v>
      </c>
      <c r="E61" s="49">
        <f>'DIY Grundmodell'!U25</f>
        <v>0.11459884118617475</v>
      </c>
      <c r="F61" s="49">
        <f>'DIY Grundmodell'!V25</f>
        <v>0.10519130642740031</v>
      </c>
      <c r="G61" s="49">
        <f>'DIY Grundmodell'!W25</f>
        <v>9.440877722530458E-2</v>
      </c>
      <c r="H61" s="49">
        <f>'DIY Grundmodell'!X25</f>
        <v>9.440877722530458E-2</v>
      </c>
      <c r="I61" s="49">
        <f>'DIY Grundmodell'!Y25</f>
        <v>9.440877722530458E-2</v>
      </c>
      <c r="J61" s="49">
        <f>'DIY Grundmodell'!Z25</f>
        <v>9.440877722530458E-2</v>
      </c>
      <c r="K61" s="49">
        <f>'DIY Grundmodell'!AA25</f>
        <v>6.2324388612652291E-2</v>
      </c>
      <c r="L61" s="95">
        <f>'DIY Grundmodell'!AB25</f>
        <v>4.3200000000000002E-2</v>
      </c>
      <c r="M61" s="97">
        <f>'DIY Grundmodell'!AC25</f>
        <v>4.3199999999999905E-2</v>
      </c>
      <c r="N61" s="1047">
        <f>'DIY Grundmodell'!AD25</f>
        <v>9.440877722530458E-2</v>
      </c>
    </row>
    <row r="62" spans="1:14" s="31" customFormat="1" ht="14.1" customHeight="1" x14ac:dyDescent="0.45">
      <c r="A62" s="1040" t="str">
        <f>'DIY Grundmodell'!Q26</f>
        <v>EBIT</v>
      </c>
      <c r="B62" s="34">
        <f>'DIY Grundmodell'!R26</f>
        <v>84075.919760000004</v>
      </c>
      <c r="C62" s="33">
        <f>'DIY Grundmodell'!S26</f>
        <v>77515.200000000012</v>
      </c>
      <c r="D62" s="33">
        <f>'DIY Grundmodell'!T26</f>
        <v>86786.203319202425</v>
      </c>
      <c r="E62" s="33">
        <f>'DIY Grundmodell'!U26</f>
        <v>97399.491868297016</v>
      </c>
      <c r="F62" s="33">
        <f>'DIY Grundmodell'!V26</f>
        <v>108878.24486030487</v>
      </c>
      <c r="G62" s="33">
        <f>'DIY Grundmodell'!W26</f>
        <v>120506.90239465765</v>
      </c>
      <c r="H62" s="33">
        <f>'DIY Grundmodell'!X26</f>
        <v>133360.82093517465</v>
      </c>
      <c r="I62" s="33">
        <f>'DIY Grundmodell'!Y26</f>
        <v>147567.7048437871</v>
      </c>
      <c r="J62" s="33">
        <f>'DIY Grundmodell'!Z26</f>
        <v>163268.45053529541</v>
      </c>
      <c r="K62" s="33">
        <f>'DIY Grundmodell'!AA26</f>
        <v>175323.37154193208</v>
      </c>
      <c r="L62" s="33">
        <f>'DIY Grundmodell'!AB26</f>
        <v>184857.84223259581</v>
      </c>
      <c r="M62" s="46">
        <f>'DIY Grundmodell'!AC26</f>
        <v>192843.70101704393</v>
      </c>
      <c r="N62" s="1048">
        <f>'DIY Grundmodell'!AD26</f>
        <v>126933.86166491616</v>
      </c>
    </row>
    <row r="63" spans="1:14" s="31" customFormat="1" ht="14.1" customHeight="1" x14ac:dyDescent="0.45">
      <c r="A63" s="1042" t="str">
        <f>'DIY Grundmodell'!Q27</f>
        <v>/Umsatz</v>
      </c>
      <c r="B63" s="77">
        <f>'DIY Grundmodell'!R27</f>
        <v>0.41835892519132589</v>
      </c>
      <c r="C63" s="74">
        <f>'DIY Grundmodell'!S27</f>
        <v>0.30899298205262254</v>
      </c>
      <c r="D63" s="74">
        <f>'DIY Grundmodell'!T27</f>
        <v>0.30555898684263472</v>
      </c>
      <c r="E63" s="74">
        <f>'DIY Grundmodell'!U27</f>
        <v>0.30766810445426018</v>
      </c>
      <c r="F63" s="74">
        <f>'DIY Grundmodell'!V27</f>
        <v>0.31119272526715458</v>
      </c>
      <c r="G63" s="74">
        <f>'DIY Grundmodell'!W27</f>
        <v>0.31471734608004898</v>
      </c>
      <c r="H63" s="74">
        <f>'DIY Grundmodell'!X27</f>
        <v>0.31824196689294337</v>
      </c>
      <c r="I63" s="74">
        <f>'DIY Grundmodell'!Y27</f>
        <v>0.32176658770583777</v>
      </c>
      <c r="J63" s="74">
        <f>'DIY Grundmodell'!Z27</f>
        <v>0.32529120851873217</v>
      </c>
      <c r="K63" s="74">
        <f>'DIY Grundmodell'!AA27</f>
        <v>0.32881582933162656</v>
      </c>
      <c r="L63" s="74">
        <f>'DIY Grundmodell'!AB27</f>
        <v>0.33234045014452107</v>
      </c>
      <c r="M63" s="98">
        <f>'DIY Grundmodell'!AC27</f>
        <v>0.33234045014452107</v>
      </c>
      <c r="N63" s="1049">
        <f>'DIY Grundmodell'!AD27</f>
        <v>0.31647965648649617</v>
      </c>
    </row>
    <row r="64" spans="1:14" ht="14.1" customHeight="1" x14ac:dyDescent="0.45">
      <c r="A64" s="1029" t="str">
        <f>'DIY Grundmodell'!Q28</f>
        <v>Sonst</v>
      </c>
      <c r="B64" s="25">
        <f>'DIY Grundmodell'!R28</f>
        <v>21773</v>
      </c>
      <c r="C64" s="29">
        <f>'DIY Grundmodell'!S28</f>
        <v>171</v>
      </c>
      <c r="D64" s="29">
        <f>'DIY Grundmodell'!T28</f>
        <v>178.38719999999998</v>
      </c>
      <c r="E64" s="29">
        <f>'DIY Grundmodell'!U28</f>
        <v>186.09352703999997</v>
      </c>
      <c r="F64" s="29">
        <f>'DIY Grundmodell'!V28</f>
        <v>194.13276740812796</v>
      </c>
      <c r="G64" s="29">
        <f>'DIY Grundmodell'!W28</f>
        <v>202.51930296015908</v>
      </c>
      <c r="H64" s="29">
        <f>'DIY Grundmodell'!X28</f>
        <v>211.26813684803793</v>
      </c>
      <c r="I64" s="29">
        <f>'DIY Grundmodell'!Y28</f>
        <v>220.39492035987314</v>
      </c>
      <c r="J64" s="29">
        <f>'DIY Grundmodell'!Z28</f>
        <v>229.91598091941964</v>
      </c>
      <c r="K64" s="29">
        <f>'DIY Grundmodell'!AA28</f>
        <v>239.84835129513854</v>
      </c>
      <c r="L64" s="29">
        <f>'DIY Grundmodell'!AB28</f>
        <v>250.20980007108849</v>
      </c>
      <c r="M64" s="45">
        <f>'DIY Grundmodell'!AC28</f>
        <v>261.01886343415947</v>
      </c>
      <c r="N64" s="1050">
        <f>'DIY Grundmodell'!AD28</f>
        <v>206.8937199040985</v>
      </c>
    </row>
    <row r="65" spans="1:14" ht="14.1" customHeight="1" x14ac:dyDescent="0.45">
      <c r="A65" s="1029" t="str">
        <f>'DIY Grundmodell'!Q29</f>
        <v>Steuer</v>
      </c>
      <c r="B65" s="25">
        <f>'DIY Grundmodell'!R29</f>
        <v>-25474</v>
      </c>
      <c r="C65" s="29">
        <f>'DIY Grundmodell'!S29</f>
        <v>-10708.828413667219</v>
      </c>
      <c r="D65" s="29">
        <f>'DIY Grundmodell'!T29</f>
        <v>-13071.53103193499</v>
      </c>
      <c r="E65" s="29">
        <f>'DIY Grundmodell'!U29</f>
        <v>-15884.013261887996</v>
      </c>
      <c r="F65" s="29">
        <f>'DIY Grundmodell'!V29</f>
        <v>-19112.915760616841</v>
      </c>
      <c r="G65" s="29">
        <f>'DIY Grundmodell'!W29</f>
        <v>-22656.302892991167</v>
      </c>
      <c r="H65" s="29">
        <f>'DIY Grundmodell'!X29</f>
        <v>-26735.031966914714</v>
      </c>
      <c r="I65" s="29">
        <f>'DIY Grundmodell'!Y29</f>
        <v>-31422.077279726724</v>
      </c>
      <c r="J65" s="29">
        <f>'DIY Grundmodell'!Z29</f>
        <v>-36799.748800466172</v>
      </c>
      <c r="K65" s="29">
        <f>'DIY Grundmodell'!AA29</f>
        <v>-41703.038383373612</v>
      </c>
      <c r="L65" s="29">
        <f>'DIY Grundmodell'!AB29</f>
        <v>-46277.013008166723</v>
      </c>
      <c r="M65" s="45">
        <f>'DIY Grundmodell'!AC29</f>
        <v>-48276.17997011952</v>
      </c>
      <c r="N65" s="1046">
        <f>'DIY Grundmodell'!AD29</f>
        <v>-24695.66742995294</v>
      </c>
    </row>
    <row r="66" spans="1:14" s="31" customFormat="1" ht="14.1" customHeight="1" x14ac:dyDescent="0.45">
      <c r="A66" s="1038" t="str">
        <f>'DIY Grundmodell'!Q30</f>
        <v>S-Quote</v>
      </c>
      <c r="B66" s="76">
        <f>'DIY Grundmodell'!R30</f>
        <v>0.2406637692454425</v>
      </c>
      <c r="C66" s="49">
        <f>'DIY Grundmodell'!S30</f>
        <v>0.13784724202840681</v>
      </c>
      <c r="D66" s="49">
        <f>'DIY Grundmodell'!T30</f>
        <v>0.15030865958080605</v>
      </c>
      <c r="E66" s="49">
        <f>'DIY Grundmodell'!U30</f>
        <v>0.16277007713320529</v>
      </c>
      <c r="F66" s="49">
        <f>'DIY Grundmodell'!V30</f>
        <v>0.17523149468560453</v>
      </c>
      <c r="G66" s="49">
        <f>'DIY Grundmodell'!W30</f>
        <v>0.18769291223800375</v>
      </c>
      <c r="H66" s="49">
        <f>'DIY Grundmodell'!X30</f>
        <v>0.20015432979040301</v>
      </c>
      <c r="I66" s="49">
        <f>'DIY Grundmodell'!Y30</f>
        <v>0.21261574734280225</v>
      </c>
      <c r="J66" s="49">
        <f>'DIY Grundmodell'!Z30</f>
        <v>0.22507716489520146</v>
      </c>
      <c r="K66" s="49">
        <f>'DIY Grundmodell'!AA30</f>
        <v>0.23753858244760076</v>
      </c>
      <c r="L66" s="49">
        <f>'DIY Grundmodell'!AB30</f>
        <v>0.25</v>
      </c>
      <c r="M66" s="75">
        <f>'DIY Grundmodell'!AC30</f>
        <v>0.25</v>
      </c>
      <c r="N66" s="1051">
        <f>'DIY Grundmodell'!AD30</f>
        <v>0.19392362101420338</v>
      </c>
    </row>
    <row r="67" spans="1:14" ht="14.1" customHeight="1" x14ac:dyDescent="0.45">
      <c r="A67" s="1052" t="str">
        <f>'DIY Grundmodell'!Q31</f>
        <v>EBIT-T</v>
      </c>
      <c r="B67" s="34"/>
      <c r="C67" s="33">
        <f>'DIY Grundmodell'!S31</f>
        <v>66977.371586332796</v>
      </c>
      <c r="D67" s="33">
        <f>'DIY Grundmodell'!T31</f>
        <v>73893.059487267426</v>
      </c>
      <c r="E67" s="33">
        <f>'DIY Grundmodell'!U31</f>
        <v>81701.572133449008</v>
      </c>
      <c r="F67" s="33">
        <f>'DIY Grundmodell'!V31</f>
        <v>89959.46186709615</v>
      </c>
      <c r="G67" s="33">
        <f>'DIY Grundmodell'!W31</f>
        <v>98053.118804626647</v>
      </c>
      <c r="H67" s="33">
        <f>'DIY Grundmodell'!X31</f>
        <v>106837.05710510796</v>
      </c>
      <c r="I67" s="33">
        <f>'DIY Grundmodell'!Y31</f>
        <v>116366.02248442023</v>
      </c>
      <c r="J67" s="33">
        <f>'DIY Grundmodell'!Z31</f>
        <v>126698.61771574865</v>
      </c>
      <c r="K67" s="33">
        <f>'DIY Grundmodell'!AA31</f>
        <v>133860.1815098536</v>
      </c>
      <c r="L67" s="33">
        <f>'DIY Grundmodell'!AB31</f>
        <v>138831.03902450018</v>
      </c>
      <c r="M67" s="46">
        <f>'DIY Grundmodell'!AC31</f>
        <v>144828.53991035855</v>
      </c>
      <c r="N67" s="1048">
        <f>'DIY Grundmodell'!AD31</f>
        <v>102445.08795486731</v>
      </c>
    </row>
    <row r="68" spans="1:14" s="31" customFormat="1" ht="14.1" customHeight="1" x14ac:dyDescent="0.45">
      <c r="A68" s="1042" t="str">
        <f>'DIY Grundmodell'!Q32</f>
        <v>Entw.</v>
      </c>
      <c r="B68" s="77"/>
      <c r="C68" s="74">
        <f>'DIY Grundmodell'!S32</f>
        <v>-0.16668816856890645</v>
      </c>
      <c r="D68" s="74">
        <f>'DIY Grundmodell'!T32</f>
        <v>0.10325409518378037</v>
      </c>
      <c r="E68" s="74">
        <f>'DIY Grundmodell'!U32</f>
        <v>0.10567315388432497</v>
      </c>
      <c r="F68" s="74">
        <f>'DIY Grundmodell'!V32</f>
        <v>0.10107381679460148</v>
      </c>
      <c r="G68" s="74">
        <f>'DIY Grundmodell'!W32</f>
        <v>8.9970046169105089E-2</v>
      </c>
      <c r="H68" s="74">
        <f>'DIY Grundmodell'!X32</f>
        <v>8.9583466671606216E-2</v>
      </c>
      <c r="I68" s="74">
        <f>'DIY Grundmodell'!Y32</f>
        <v>8.9191574885271629E-2</v>
      </c>
      <c r="J68" s="74">
        <f>'DIY Grundmodell'!Z32</f>
        <v>8.8793919485490758E-2</v>
      </c>
      <c r="K68" s="74">
        <f>'DIY Grundmodell'!AA32</f>
        <v>5.6524403527212108E-2</v>
      </c>
      <c r="L68" s="74">
        <f>'DIY Grundmodell'!AB32</f>
        <v>3.7134698747443906E-2</v>
      </c>
      <c r="M68" s="98">
        <f>'DIY Grundmodell'!AC32</f>
        <v>4.3199999999999683E-2</v>
      </c>
      <c r="N68" s="1049">
        <f>'DIY Grundmodell'!AD32</f>
        <v>8.9387520778438923E-2</v>
      </c>
    </row>
    <row r="69" spans="1:14" ht="14.1" customHeight="1" x14ac:dyDescent="0.45">
      <c r="A69" s="1053" t="s">
        <v>68</v>
      </c>
      <c r="B69" s="25"/>
      <c r="C69" s="29">
        <f>'DIY Grundmodell'!S33</f>
        <v>-62961.024085475874</v>
      </c>
      <c r="D69" s="29">
        <f>'DIY Grundmodell'!T33</f>
        <v>-69471.685815684832</v>
      </c>
      <c r="E69" s="29">
        <f>'DIY Grundmodell'!U33</f>
        <v>-63454.550622434559</v>
      </c>
      <c r="F69" s="29">
        <f>'DIY Grundmodell'!V33</f>
        <v>-50855.290879811721</v>
      </c>
      <c r="G69" s="29">
        <f>'DIY Grundmodell'!W33</f>
        <v>-50172.532614824369</v>
      </c>
      <c r="H69" s="29">
        <f>'DIY Grundmodell'!X33</f>
        <v>-23017.272680241913</v>
      </c>
      <c r="I69" s="29">
        <f>'DIY Grundmodell'!Y33</f>
        <v>-25190.305249044988</v>
      </c>
      <c r="J69" s="29">
        <f>'DIY Grundmodell'!Z33</f>
        <v>-18199.466271712517</v>
      </c>
      <c r="K69" s="29">
        <f>'DIY Grundmodell'!AA33</f>
        <v>-13401.133197060248</v>
      </c>
      <c r="L69" s="29">
        <f>'DIY Grundmodell'!AB33</f>
        <v>-13980.06215117327</v>
      </c>
      <c r="M69" s="45">
        <f>'DIY Grundmodell'!AC33</f>
        <v>-37711.656040744274</v>
      </c>
      <c r="N69" s="1046">
        <f>'DIY Grundmodell'!AD33</f>
        <v>-37681.418931934677</v>
      </c>
    </row>
    <row r="70" spans="1:14" ht="14.1" customHeight="1" x14ac:dyDescent="0.45">
      <c r="A70" s="1038" t="str">
        <f>'DIY Grundmodell'!Q34</f>
        <v>Umsatzzuwachs/Reinvest</v>
      </c>
      <c r="B70" s="76"/>
      <c r="C70" s="96">
        <f>'DIY Grundmodell'!S34</f>
        <v>0.52668195096352577</v>
      </c>
      <c r="D70" s="96">
        <f>'DIY Grundmodell'!T34</f>
        <v>0.46851987262798339</v>
      </c>
      <c r="E70" s="96">
        <f>'DIY Grundmodell'!U34</f>
        <v>0.52479693673346506</v>
      </c>
      <c r="F70" s="96">
        <f>'DIY Grundmodell'!V34</f>
        <v>0.6495130859724394</v>
      </c>
      <c r="G70" s="96">
        <f>'DIY Grundmodell'!W34</f>
        <v>0.72050598318358194</v>
      </c>
      <c r="H70" s="96">
        <f>'DIY Grundmodell'!X34</f>
        <v>1.7188157329371556</v>
      </c>
      <c r="I70" s="96">
        <f>'DIY Grundmodell'!Y34</f>
        <v>1.7188157329371556</v>
      </c>
      <c r="J70" s="96">
        <f>'DIY Grundmodell'!Z34</f>
        <v>1.7188157329371558</v>
      </c>
      <c r="K70" s="96">
        <f>'DIY Grundmodell'!AA34</f>
        <v>1.7188157329371556</v>
      </c>
      <c r="L70" s="96">
        <f>'DIY Grundmodell'!AB34</f>
        <v>1.7188157329371556</v>
      </c>
      <c r="M70" s="101">
        <f>'DIY Grundmodell'!AC34</f>
        <v>0.66470722100299839</v>
      </c>
      <c r="N70" s="1054">
        <f>'DIY Grundmodell'!AD34</f>
        <v>1.2196608580603687</v>
      </c>
    </row>
    <row r="71" spans="1:14" s="31" customFormat="1" ht="14.1" customHeight="1" x14ac:dyDescent="0.45">
      <c r="A71" s="1052" t="str">
        <f>'DIY Grundmodell'!Q35</f>
        <v>FCFF</v>
      </c>
      <c r="B71" s="34"/>
      <c r="C71" s="33">
        <f>'DIY Grundmodell'!S35</f>
        <v>4016.3475008569221</v>
      </c>
      <c r="D71" s="33">
        <f>'DIY Grundmodell'!T35</f>
        <v>4421.3736715825944</v>
      </c>
      <c r="E71" s="33">
        <f>'DIY Grundmodell'!U35</f>
        <v>18247.021511014449</v>
      </c>
      <c r="F71" s="33">
        <f>'DIY Grundmodell'!V35</f>
        <v>39104.170987284429</v>
      </c>
      <c r="G71" s="33">
        <f>'DIY Grundmodell'!W35</f>
        <v>47880.586189802278</v>
      </c>
      <c r="H71" s="33">
        <f>'DIY Grundmodell'!X35</f>
        <v>83819.784424866055</v>
      </c>
      <c r="I71" s="33">
        <f>'DIY Grundmodell'!Y35</f>
        <v>91175.717235375239</v>
      </c>
      <c r="J71" s="33">
        <f>'DIY Grundmodell'!Z35</f>
        <v>108499.15144403614</v>
      </c>
      <c r="K71" s="33">
        <f>'DIY Grundmodell'!AA35</f>
        <v>120459.04831279335</v>
      </c>
      <c r="L71" s="33">
        <f>'DIY Grundmodell'!AB35</f>
        <v>124850.9768733269</v>
      </c>
      <c r="M71" s="46">
        <f>'DIY Grundmodell'!AC35</f>
        <v>107116.88386961428</v>
      </c>
      <c r="N71" s="1048">
        <f>'DIY Grundmodell'!AD35</f>
        <v>65850.185307334163</v>
      </c>
    </row>
    <row r="72" spans="1:14" ht="14.1" customHeight="1" collapsed="1" x14ac:dyDescent="0.45">
      <c r="A72" s="1038" t="str">
        <f>'DIY Grundmodell'!Q36</f>
        <v>R-Rate</v>
      </c>
      <c r="B72" s="76"/>
      <c r="C72" s="49">
        <f>'DIY Grundmodell'!S36</f>
        <v>0.94244040786008509</v>
      </c>
      <c r="D72" s="49">
        <f>'DIY Grundmodell'!T36</f>
        <v>0.94244040786008521</v>
      </c>
      <c r="E72" s="49">
        <f>'DIY Grundmodell'!U36</f>
        <v>0.77843560152323699</v>
      </c>
      <c r="F72" s="49">
        <f>'DIY Grundmodell'!V36</f>
        <v>0.56653600437798057</v>
      </c>
      <c r="G72" s="49">
        <f>'DIY Grundmodell'!W36</f>
        <v>0.51274629762457291</v>
      </c>
      <c r="H72" s="49">
        <f>'DIY Grundmodell'!X36</f>
        <v>0.21586965876607608</v>
      </c>
      <c r="I72" s="49">
        <f>'DIY Grundmodell'!Y36</f>
        <v>0.21688552360829272</v>
      </c>
      <c r="J72" s="49">
        <f>'DIY Grundmodell'!Z36</f>
        <v>0.14390490312671897</v>
      </c>
      <c r="K72" s="49">
        <f>'DIY Grundmodell'!AA36</f>
        <v>0.10029261924648851</v>
      </c>
      <c r="L72" s="49">
        <f>'DIY Grundmodell'!AB36</f>
        <v>0.10088020276262612</v>
      </c>
      <c r="M72" s="75">
        <f>'DIY Grundmodell'!AC36</f>
        <v>0.26085842634393408</v>
      </c>
      <c r="N72" s="1051">
        <f>'DIY Grundmodell'!AD36</f>
        <v>0.36481591061643281</v>
      </c>
    </row>
    <row r="73" spans="1:14" s="31" customFormat="1" ht="14.1" customHeight="1" x14ac:dyDescent="0.45">
      <c r="A73" s="1038" t="str">
        <f>'DIY Grundmodell'!Q37</f>
        <v>ROCE</v>
      </c>
      <c r="B73" s="76"/>
      <c r="C73" s="49">
        <f>'DIY Grundmodell'!S37</f>
        <v>0.28916248094097335</v>
      </c>
      <c r="D73" s="49">
        <f>'DIY Grundmodell'!T37</f>
        <v>0.24530206867454502</v>
      </c>
      <c r="E73" s="49">
        <f>'DIY Grundmodell'!U37</f>
        <v>0.22396807412199451</v>
      </c>
      <c r="F73" s="49">
        <f>'DIY Grundmodell'!V37</f>
        <v>0.21639817696321487</v>
      </c>
      <c r="G73" s="49">
        <f>'DIY Grundmodell'!W37</f>
        <v>0.21043678938196173</v>
      </c>
      <c r="H73" s="49">
        <f>'DIY Grundmodell'!X37</f>
        <v>0.21849307083352659</v>
      </c>
      <c r="I73" s="49">
        <f>'DIY Grundmodell'!Y37</f>
        <v>0.11</v>
      </c>
      <c r="J73" s="49">
        <f>'DIY Grundmodell'!Z37</f>
        <v>0.23799371695152932</v>
      </c>
      <c r="K73" s="49">
        <f>'DIY Grundmodell'!AA37</f>
        <v>0.2452666117994084</v>
      </c>
      <c r="L73" s="49">
        <f>'DIY Grundmodell'!AB37</f>
        <v>0.24800769714019108</v>
      </c>
      <c r="M73" s="75">
        <f>'DIY Grundmodell'!AC37</f>
        <v>0.24236451695452566</v>
      </c>
      <c r="N73" s="1051">
        <f>'DIY Grundmodell'!AD37</f>
        <v>0.23098089553676193</v>
      </c>
    </row>
    <row r="74" spans="1:14" ht="14.1" customHeight="1" thickBot="1" x14ac:dyDescent="0.5">
      <c r="A74" s="1055" t="str">
        <f>'DIY Grundmodell'!Q38</f>
        <v>WACC</v>
      </c>
      <c r="B74" s="76"/>
      <c r="C74" s="49">
        <f>'DIY Grundmodell'!S38</f>
        <v>9.2426411680227527E-2</v>
      </c>
      <c r="D74" s="49">
        <f>'DIY Grundmodell'!T38</f>
        <v>9.1069916725427622E-2</v>
      </c>
      <c r="E74" s="49">
        <f>'DIY Grundmodell'!U38</f>
        <v>8.9713421770627716E-2</v>
      </c>
      <c r="F74" s="49">
        <f>'DIY Grundmodell'!V38</f>
        <v>8.8356926815827824E-2</v>
      </c>
      <c r="G74" s="49">
        <f>'DIY Grundmodell'!W38</f>
        <v>8.7000431861027919E-2</v>
      </c>
      <c r="H74" s="49">
        <f>'DIY Grundmodell'!X38</f>
        <v>8.5643936906228013E-2</v>
      </c>
      <c r="I74" s="49">
        <f>'DIY Grundmodell'!Y38</f>
        <v>8.4287441951428121E-2</v>
      </c>
      <c r="J74" s="49">
        <f>'DIY Grundmodell'!Z38</f>
        <v>8.2930946996628216E-2</v>
      </c>
      <c r="K74" s="49">
        <f>'DIY Grundmodell'!AA38</f>
        <v>8.2561386573167916E-2</v>
      </c>
      <c r="L74" s="49">
        <f>'DIY Grundmodell'!AB38</f>
        <v>8.2953038675466398E-2</v>
      </c>
      <c r="M74" s="100">
        <f>'DIY Grundmodell'!AC38</f>
        <v>8.2953038675466398E-2</v>
      </c>
      <c r="N74" s="1056">
        <f>'DIY Grundmodell'!AD38</f>
        <v>8.6322184383627959E-2</v>
      </c>
    </row>
    <row r="75" spans="1:14" ht="14.1" customHeight="1" x14ac:dyDescent="0.45">
      <c r="A75" s="1052" t="str">
        <f>'DIY Grundmodell'!Q39</f>
        <v>PV TV</v>
      </c>
      <c r="B75" s="34">
        <f>'DIY Grundmodell'!R39</f>
        <v>1173369.2511902978</v>
      </c>
      <c r="C75" s="33">
        <f>'DIY Grundmodell'!S39</f>
        <v>1281819.5606537326</v>
      </c>
      <c r="D75" s="33">
        <f>'DIY Grundmodell'!T39</f>
        <v>1398554.7612994923</v>
      </c>
      <c r="E75" s="33">
        <f>'DIY Grundmodell'!U39</f>
        <v>1524023.8944692733</v>
      </c>
      <c r="F75" s="33">
        <f>'DIY Grundmodell'!V39</f>
        <v>1658681.9621784675</v>
      </c>
      <c r="G75" s="33">
        <f>'DIY Grundmodell'!W39</f>
        <v>1802988.0092080915</v>
      </c>
      <c r="H75" s="33">
        <f>'DIY Grundmodell'!X39</f>
        <v>1957403.000511395</v>
      </c>
      <c r="I75" s="33">
        <f>'DIY Grundmodell'!Y39</f>
        <v>2122387.4922925504</v>
      </c>
      <c r="J75" s="33">
        <f>'DIY Grundmodell'!Z39</f>
        <v>2298399.0969221704</v>
      </c>
      <c r="K75" s="33">
        <f>'DIY Grundmodell'!AA39</f>
        <v>2488158.1132625816</v>
      </c>
      <c r="L75" s="50">
        <f>'DIY Grundmodell'!AB39</f>
        <v>2694558.3894627281</v>
      </c>
      <c r="M75" s="131" t="str">
        <f>'DIY Grundmodell'!AC39</f>
        <v>= Terminal Value</v>
      </c>
      <c r="N75" s="1057">
        <f>'DIY Grundmodell'!AD39</f>
        <v>0</v>
      </c>
    </row>
    <row r="76" spans="1:14" ht="14.1" customHeight="1" collapsed="1" x14ac:dyDescent="0.45">
      <c r="A76" s="1052" t="str">
        <f>'DIY Grundmodell'!Q40</f>
        <v>PV FCFF</v>
      </c>
      <c r="B76" s="34">
        <f>'DIY Grundmodell'!R40</f>
        <v>356474.3078078382</v>
      </c>
      <c r="C76" s="33">
        <f>'DIY Grundmodell'!S40</f>
        <v>3676.5382619040683</v>
      </c>
      <c r="D76" s="33">
        <f>'DIY Grundmodell'!T40</f>
        <v>3714.0868741635572</v>
      </c>
      <c r="E76" s="33">
        <f>'DIY Grundmodell'!U40</f>
        <v>14101.167906972312</v>
      </c>
      <c r="F76" s="33">
        <f>'DIY Grundmodell'!V40</f>
        <v>27870.046966448161</v>
      </c>
      <c r="G76" s="33">
        <f>'DIY Grundmodell'!W40</f>
        <v>31550.836317855392</v>
      </c>
      <c r="H76" s="33">
        <f>'DIY Grundmodell'!X40</f>
        <v>51194.35456247293</v>
      </c>
      <c r="I76" s="33">
        <f>'DIY Grundmodell'!Y40</f>
        <v>51744.976409110001</v>
      </c>
      <c r="J76" s="33">
        <f>'DIY Grundmodell'!Z40</f>
        <v>57361.463547528183</v>
      </c>
      <c r="K76" s="33">
        <f>'DIY Grundmodell'!AA40</f>
        <v>58988.402701681269</v>
      </c>
      <c r="L76" s="33">
        <f>'DIY Grundmodell'!AB40</f>
        <v>56272.434259702364</v>
      </c>
      <c r="M76" s="736" t="str">
        <f>'DIY Grundmodell'!AC40</f>
        <v>R-Rate</v>
      </c>
      <c r="N76" s="1058">
        <f>'DIY Grundmodell'!AD40</f>
        <v>0.26085842634393408</v>
      </c>
    </row>
    <row r="77" spans="1:14" s="31" customFormat="1" ht="14.1" customHeight="1" x14ac:dyDescent="0.45">
      <c r="A77" s="1052" t="str">
        <f>'DIY Grundmodell'!Q41</f>
        <v>TEV</v>
      </c>
      <c r="B77" s="34">
        <f>'DIY Grundmodell'!R41</f>
        <v>1529843.5589981358</v>
      </c>
      <c r="C77" s="33">
        <f>'DIY Grundmodell'!S41</f>
        <v>1657393.7151045031</v>
      </c>
      <c r="D77" s="33">
        <f>'DIY Grundmodell'!T41</f>
        <v>1803911.0490487346</v>
      </c>
      <c r="E77" s="33">
        <f>'DIY Grundmodell'!U41</f>
        <v>1947499.0603177249</v>
      </c>
      <c r="F77" s="33">
        <f>'DIY Grundmodell'!V41</f>
        <v>2080469.9212768269</v>
      </c>
      <c r="G77" s="33">
        <f>'DIY Grundmodell'!W41</f>
        <v>2213591.1167119872</v>
      </c>
      <c r="H77" s="33">
        <f>'DIY Grundmodell'!X41</f>
        <v>2319351.9902229896</v>
      </c>
      <c r="I77" s="33">
        <f>'DIY Grundmodell'!Y41</f>
        <v>2423668.519228464</v>
      </c>
      <c r="J77" s="33">
        <f>'DIY Grundmodell'!Z41</f>
        <v>2516166.4932899596</v>
      </c>
      <c r="K77" s="33">
        <f>'DIY Grundmodell'!AA41</f>
        <v>2603445.639512131</v>
      </c>
      <c r="L77" s="33">
        <f>'DIY Grundmodell'!AB41</f>
        <v>2694558.3894627281</v>
      </c>
      <c r="M77" s="736" t="str">
        <f>'DIY Grundmodell'!AC41</f>
        <v>"g"=i(rf)</v>
      </c>
      <c r="N77" s="1058">
        <f>'DIY Grundmodell'!AD41</f>
        <v>4.3200000000000002E-2</v>
      </c>
    </row>
    <row r="78" spans="1:14" s="31" customFormat="1" ht="14.1" customHeight="1" x14ac:dyDescent="0.45">
      <c r="A78" s="1052" t="str">
        <f>'DIY Grundmodell'!Q42</f>
        <v>TEV/EBIT</v>
      </c>
      <c r="B78" s="53">
        <f>'DIY Grundmodell'!R42</f>
        <v>13.95606797451344</v>
      </c>
      <c r="C78" s="54">
        <f>'DIY Grundmodell'!S42</f>
        <v>16.536363973178581</v>
      </c>
      <c r="D78" s="54">
        <f>'DIY Grundmodell'!T42</f>
        <v>16.114943479616954</v>
      </c>
      <c r="E78" s="54">
        <f>'DIY Grundmodell'!U42</f>
        <v>15.647144202046237</v>
      </c>
      <c r="F78" s="54">
        <f>'DIY Grundmodell'!V42</f>
        <v>15.234282700888709</v>
      </c>
      <c r="G78" s="54">
        <f>'DIY Grundmodell'!W42</f>
        <v>14.961699067687778</v>
      </c>
      <c r="H78" s="54">
        <f>'DIY Grundmodell'!X42</f>
        <v>14.677496634958995</v>
      </c>
      <c r="I78" s="54">
        <f>'DIY Grundmodell'!Y42</f>
        <v>14.382465963940261</v>
      </c>
      <c r="J78" s="54">
        <f>'DIY Grundmodell'!Z42</f>
        <v>14.077423344109596</v>
      </c>
      <c r="K78" s="54">
        <f>'DIY Grundmodell'!AA42</f>
        <v>14.191822181947311</v>
      </c>
      <c r="L78" s="54">
        <f>'DIY Grundmodell'!AB42</f>
        <v>14.576381271790043</v>
      </c>
      <c r="M78" s="737" t="str">
        <f>'DIY Grundmodell'!AC42</f>
        <v>TV = FCFF/(wacc-g)</v>
      </c>
      <c r="N78" s="1059"/>
    </row>
    <row r="79" spans="1:14" ht="14.1" customHeight="1" x14ac:dyDescent="0.45">
      <c r="A79" s="1060" t="str">
        <f>'DIY Grundmodell'!Q43</f>
        <v>Unternehmenswert schuldenfrei</v>
      </c>
      <c r="B79" s="56"/>
      <c r="C79" s="56"/>
      <c r="D79" s="50">
        <f>'DIY Grundmodell'!T43</f>
        <v>1529843.5589981358</v>
      </c>
      <c r="E79" s="1138" t="str">
        <f>'DIY Grundmodell'!U43</f>
        <v>Kapitalkosten USD</v>
      </c>
      <c r="F79" s="1139"/>
      <c r="G79" s="57" t="s">
        <v>235</v>
      </c>
      <c r="H79" s="57"/>
      <c r="I79" s="57"/>
      <c r="J79" s="57"/>
      <c r="K79" s="57"/>
      <c r="L79" s="57"/>
      <c r="M79" s="57"/>
      <c r="N79" s="1034"/>
    </row>
    <row r="80" spans="1:14" ht="14.1" customHeight="1" x14ac:dyDescent="0.45">
      <c r="A80" s="1029" t="str">
        <f>'DIY Grundmodell'!Q44</f>
        <v>Liquide Mittel</v>
      </c>
      <c r="B80" s="30"/>
      <c r="C80" s="30"/>
      <c r="D80" s="29">
        <f>'DIY Grundmodell'!T44</f>
        <v>81592</v>
      </c>
      <c r="E80" s="1016" t="str">
        <f>'DIY Grundmodell'!U44</f>
        <v>i (rf)</v>
      </c>
      <c r="F80" s="59">
        <f>'DIY Grundmodell'!V44</f>
        <v>4.3200000000000002E-2</v>
      </c>
      <c r="G80" s="1140" t="s">
        <v>264</v>
      </c>
      <c r="H80" s="1140"/>
      <c r="I80" s="1140"/>
      <c r="J80" s="1140"/>
      <c r="K80" s="1140"/>
      <c r="L80" s="1140"/>
      <c r="M80" s="1140"/>
      <c r="N80" s="1141"/>
    </row>
    <row r="81" spans="1:14" ht="14.1" customHeight="1" x14ac:dyDescent="0.45">
      <c r="A81" s="1029" t="str">
        <f>'DIY Grundmodell'!Q45</f>
        <v>Handelbare langfristige Wertpapiere</v>
      </c>
      <c r="B81" s="30"/>
      <c r="C81" s="30"/>
      <c r="D81" s="29">
        <f>'DIY Grundmodell'!T45</f>
        <v>0</v>
      </c>
      <c r="E81" s="1016" t="str">
        <f>'DIY Grundmodell'!U45</f>
        <v>ERP adj.</v>
      </c>
      <c r="F81" s="106">
        <f>'DIY Grundmodell'!V45</f>
        <v>6.6912423369693594E-2</v>
      </c>
      <c r="G81" s="1140"/>
      <c r="H81" s="1140"/>
      <c r="I81" s="1140"/>
      <c r="J81" s="1140"/>
      <c r="K81" s="1140"/>
      <c r="L81" s="1140"/>
      <c r="M81" s="1140"/>
      <c r="N81" s="1141"/>
    </row>
    <row r="82" spans="1:14" ht="14.1" customHeight="1" x14ac:dyDescent="0.45">
      <c r="A82" s="1029" t="str">
        <f>'DIY Grundmodell'!Q46</f>
        <v>(Marktwert) Fremdkapital</v>
      </c>
      <c r="B82" s="30"/>
      <c r="C82" s="30"/>
      <c r="D82" s="29">
        <f>'DIY Grundmodell'!T46</f>
        <v>-96862.515253533027</v>
      </c>
      <c r="E82" s="1016" t="str">
        <f>'DIY Grundmodell'!U46</f>
        <v>Beta</v>
      </c>
      <c r="F82" s="135">
        <f>'DIY Grundmodell'!V46</f>
        <v>0.8</v>
      </c>
      <c r="G82" s="1140"/>
      <c r="H82" s="1140"/>
      <c r="I82" s="1140"/>
      <c r="J82" s="1140"/>
      <c r="K82" s="1140"/>
      <c r="L82" s="1140"/>
      <c r="M82" s="1140"/>
      <c r="N82" s="1141"/>
    </row>
    <row r="83" spans="1:14" ht="14.1" customHeight="1" x14ac:dyDescent="0.45">
      <c r="A83" s="1029" t="str">
        <f>'DIY Grundmodell'!Q47</f>
        <v>Finanzforderungen</v>
      </c>
      <c r="B83" s="30"/>
      <c r="C83" s="30"/>
      <c r="D83" s="29">
        <f>'DIY Grundmodell'!T47</f>
        <v>0</v>
      </c>
      <c r="E83" s="1016" t="str">
        <f>'DIY Grundmodell'!U47</f>
        <v>Aufschlag</v>
      </c>
      <c r="F83" s="106">
        <f>'DIY Grundmodell'!V47</f>
        <v>0</v>
      </c>
      <c r="G83" s="1140"/>
      <c r="H83" s="1140"/>
      <c r="I83" s="1140"/>
      <c r="J83" s="1140"/>
      <c r="K83" s="1140"/>
      <c r="L83" s="1140"/>
      <c r="M83" s="1140"/>
      <c r="N83" s="1141"/>
    </row>
    <row r="84" spans="1:14" ht="14.1" customHeight="1" x14ac:dyDescent="0.45">
      <c r="A84" s="1029" t="str">
        <f>'DIY Grundmodell'!Q48</f>
        <v>Anteile Minderheitsgesellschafter</v>
      </c>
      <c r="B84" s="30"/>
      <c r="C84" s="30"/>
      <c r="D84" s="29">
        <f>'DIY Grundmodell'!T48</f>
        <v>0</v>
      </c>
      <c r="E84" s="1016" t="str">
        <f>'DIY Grundmodell'!U48</f>
        <v>i EK</v>
      </c>
      <c r="F84" s="59">
        <f>'DIY Grundmodell'!V48</f>
        <v>9.6729938695754886E-2</v>
      </c>
      <c r="G84" s="1140"/>
      <c r="H84" s="1140"/>
      <c r="I84" s="1140"/>
      <c r="J84" s="1140"/>
      <c r="K84" s="1140"/>
      <c r="L84" s="1140"/>
      <c r="M84" s="1140"/>
      <c r="N84" s="1141"/>
    </row>
    <row r="85" spans="1:14" ht="14.1" customHeight="1" x14ac:dyDescent="0.45">
      <c r="A85" s="1029" t="str">
        <f>'DIY Grundmodell'!Q49</f>
        <v>Langfristige Passive Abgrenzungen / Sonstiges</v>
      </c>
      <c r="B85" s="30"/>
      <c r="C85" s="30"/>
      <c r="D85" s="29">
        <f>'DIY Grundmodell'!T49</f>
        <v>0</v>
      </c>
      <c r="E85" s="1016" t="str">
        <f>'DIY Grundmodell'!U49</f>
        <v>i FK</v>
      </c>
      <c r="F85" s="106">
        <f>'DIY Grundmodell'!V49</f>
        <v>5.5586666666666673E-2</v>
      </c>
      <c r="G85" s="1140"/>
      <c r="H85" s="1140"/>
      <c r="I85" s="1140"/>
      <c r="J85" s="1140"/>
      <c r="K85" s="1140"/>
      <c r="L85" s="1140"/>
      <c r="M85" s="1140"/>
      <c r="N85" s="1141"/>
    </row>
    <row r="86" spans="1:14" ht="14.1" customHeight="1" x14ac:dyDescent="0.45">
      <c r="A86" s="1029" t="str">
        <f>'DIY Grundmodell'!Q50</f>
        <v>Ungedeckte Pensionsrückstellungen</v>
      </c>
      <c r="B86" s="30"/>
      <c r="C86" s="30"/>
      <c r="D86" s="29">
        <f>'DIY Grundmodell'!T50</f>
        <v>0</v>
      </c>
      <c r="E86" s="1016" t="str">
        <f>'DIY Grundmodell'!U50</f>
        <v>Steuer</v>
      </c>
      <c r="F86" s="106">
        <f>'DIY Grundmodell'!V50</f>
        <v>0.25</v>
      </c>
      <c r="G86" s="1140"/>
      <c r="H86" s="1140"/>
      <c r="I86" s="1140"/>
      <c r="J86" s="1140"/>
      <c r="K86" s="1140"/>
      <c r="L86" s="1140"/>
      <c r="M86" s="1140"/>
      <c r="N86" s="1141"/>
    </row>
    <row r="87" spans="1:14" ht="14.1" customHeight="1" x14ac:dyDescent="0.45">
      <c r="A87" s="1029" t="str">
        <f>'DIY Grundmodell'!Q51</f>
        <v>Verlorene Rechtstreitigkeiten</v>
      </c>
      <c r="B87" s="30"/>
      <c r="C87" s="30"/>
      <c r="D87" s="29">
        <f>'DIY Grundmodell'!T51</f>
        <v>0</v>
      </c>
      <c r="E87" s="1016" t="str">
        <f>'DIY Grundmodell'!U51</f>
        <v>i FK - T</v>
      </c>
      <c r="F87" s="106">
        <f>'DIY Grundmodell'!V51</f>
        <v>4.1690000000000005E-2</v>
      </c>
      <c r="G87" s="1140"/>
      <c r="H87" s="1140"/>
      <c r="I87" s="1140"/>
      <c r="J87" s="1140"/>
      <c r="K87" s="1140"/>
      <c r="L87" s="1140"/>
      <c r="M87" s="1140"/>
      <c r="N87" s="1141"/>
    </row>
    <row r="88" spans="1:14" ht="14.1" customHeight="1" x14ac:dyDescent="0.45">
      <c r="A88" s="1029" t="str">
        <f>'DIY Grundmodell'!Q52</f>
        <v>Wert Eigenkapitaloptionen</v>
      </c>
      <c r="B88" s="30"/>
      <c r="C88" s="30"/>
      <c r="D88" s="29">
        <f>'DIY Grundmodell'!T52</f>
        <v>0</v>
      </c>
      <c r="E88" s="1016" t="str">
        <f>'DIY Grundmodell'!U52</f>
        <v>Wert EK</v>
      </c>
      <c r="F88" s="25">
        <f>'DIY Grundmodell'!V52</f>
        <v>1712180.20692</v>
      </c>
      <c r="G88" s="1140"/>
      <c r="H88" s="1140"/>
      <c r="I88" s="1140"/>
      <c r="J88" s="1140"/>
      <c r="K88" s="1140"/>
      <c r="L88" s="1140"/>
      <c r="M88" s="1140"/>
      <c r="N88" s="1141"/>
    </row>
    <row r="89" spans="1:14" ht="14.1" customHeight="1" x14ac:dyDescent="0.45">
      <c r="A89" s="1029" t="str">
        <f>'DIY Grundmodell'!Q53</f>
        <v>Wert Beteiligungen und Finanzinvestitionen</v>
      </c>
      <c r="B89" s="30"/>
      <c r="C89" s="30"/>
      <c r="D89" s="29">
        <f>'DIY Grundmodell'!T53</f>
        <v>27524</v>
      </c>
      <c r="E89" s="1016" t="str">
        <f>'DIY Grundmodell'!U53</f>
        <v>Wert FK</v>
      </c>
      <c r="F89" s="25">
        <f>'DIY Grundmodell'!V53</f>
        <v>96862.515253533027</v>
      </c>
      <c r="G89" s="1140"/>
      <c r="H89" s="1140"/>
      <c r="I89" s="1140"/>
      <c r="J89" s="1140"/>
      <c r="K89" s="1140"/>
      <c r="L89" s="1140"/>
      <c r="M89" s="1140"/>
      <c r="N89" s="1141"/>
    </row>
    <row r="90" spans="1:14" ht="14.1" customHeight="1" x14ac:dyDescent="0.45">
      <c r="A90" s="1052" t="str">
        <f>'DIY Grundmodell'!Q54</f>
        <v>Wert des Eigenkapitals 100%</v>
      </c>
      <c r="B90" s="36"/>
      <c r="C90" s="36"/>
      <c r="D90" s="33">
        <f>'DIY Grundmodell'!T54</f>
        <v>1542097.0437446027</v>
      </c>
      <c r="E90" s="1017" t="str">
        <f>'DIY Grundmodell'!U54</f>
        <v>WACC</v>
      </c>
      <c r="F90" s="105">
        <f>'DIY Grundmodell'!V54</f>
        <v>9.3782906635027433E-2</v>
      </c>
      <c r="G90" s="1140"/>
      <c r="H90" s="1140"/>
      <c r="I90" s="1140"/>
      <c r="J90" s="1140"/>
      <c r="K90" s="1140"/>
      <c r="L90" s="1140"/>
      <c r="M90" s="1140"/>
      <c r="N90" s="1141"/>
    </row>
    <row r="91" spans="1:14" ht="14.1" customHeight="1" x14ac:dyDescent="0.45">
      <c r="A91" s="1061" t="str">
        <f>'DIY Grundmodell'!Q55</f>
        <v>Umsatzverteilung Industrien</v>
      </c>
      <c r="B91" s="61"/>
      <c r="C91" s="62"/>
      <c r="D91" s="60" t="str">
        <f>'DIY Grundmodell'!T55</f>
        <v>Umsatzverteilung Regionen</v>
      </c>
      <c r="E91" s="63"/>
      <c r="F91" s="64"/>
      <c r="G91" s="1140"/>
      <c r="H91" s="1140"/>
      <c r="I91" s="1140"/>
      <c r="J91" s="1140"/>
      <c r="K91" s="1140"/>
      <c r="L91" s="1140"/>
      <c r="M91" s="1140"/>
      <c r="N91" s="1141"/>
    </row>
    <row r="92" spans="1:14" ht="14.1" customHeight="1" x14ac:dyDescent="0.45">
      <c r="A92" s="1062" t="str">
        <f>'DIY Grundmodell'!Q56</f>
        <v>Interactive Media and Services</v>
      </c>
      <c r="B92" s="8"/>
      <c r="C92" s="78">
        <f>'DIY Grundmodell'!S56</f>
        <v>0.98901804285301986</v>
      </c>
      <c r="D92" s="65" t="str">
        <f>'DIY Grundmodell'!T56</f>
        <v>United States</v>
      </c>
      <c r="E92" s="5"/>
      <c r="F92" s="78">
        <f>'DIY Grundmodell'!V56</f>
        <v>0.37210274374769864</v>
      </c>
      <c r="G92" s="1140"/>
      <c r="H92" s="1140"/>
      <c r="I92" s="1140"/>
      <c r="J92" s="1140"/>
      <c r="K92" s="1140"/>
      <c r="L92" s="1140"/>
      <c r="M92" s="1140"/>
      <c r="N92" s="1141"/>
    </row>
    <row r="93" spans="1:14" ht="14.1" customHeight="1" x14ac:dyDescent="0.45">
      <c r="A93" s="1062" t="str">
        <f>'DIY Grundmodell'!Q57</f>
        <v>Technology Hardware, Storage &amp; Peripherals</v>
      </c>
      <c r="B93" s="8"/>
      <c r="C93" s="78">
        <f>'DIY Grundmodell'!S57</f>
        <v>1.0981957146980087E-2</v>
      </c>
      <c r="D93" s="65" t="str">
        <f>'DIY Grundmodell'!T57</f>
        <v>Asia-Pacific</v>
      </c>
      <c r="E93" s="5"/>
      <c r="F93" s="78">
        <f>'DIY Grundmodell'!V57</f>
        <v>0.26779156673268117</v>
      </c>
      <c r="G93" s="1140"/>
      <c r="H93" s="1140"/>
      <c r="I93" s="1140"/>
      <c r="J93" s="1140"/>
      <c r="K93" s="1140"/>
      <c r="L93" s="1140"/>
      <c r="M93" s="1140"/>
      <c r="N93" s="1141"/>
    </row>
    <row r="94" spans="1:14" ht="14.1" customHeight="1" x14ac:dyDescent="0.45">
      <c r="A94" s="1062">
        <f>'DIY Grundmodell'!Q58</f>
        <v>0</v>
      </c>
      <c r="B94" s="8"/>
      <c r="C94" s="78">
        <f>'DIY Grundmodell'!S58</f>
        <v>0</v>
      </c>
      <c r="D94" s="65" t="str">
        <f>'DIY Grundmodell'!T58</f>
        <v>Europe</v>
      </c>
      <c r="E94" s="5"/>
      <c r="F94" s="78">
        <f>'DIY Grundmodell'!V58</f>
        <v>0.23172576455718877</v>
      </c>
      <c r="G94" s="1140"/>
      <c r="H94" s="1140"/>
      <c r="I94" s="1140"/>
      <c r="J94" s="1140"/>
      <c r="K94" s="1140"/>
      <c r="L94" s="1140"/>
      <c r="M94" s="1140"/>
      <c r="N94" s="1141"/>
    </row>
    <row r="95" spans="1:14" ht="14.1" customHeight="1" x14ac:dyDescent="0.45">
      <c r="A95" s="1062">
        <f>'DIY Grundmodell'!Q59</f>
        <v>0</v>
      </c>
      <c r="B95" s="8"/>
      <c r="C95" s="78">
        <f>'DIY Grundmodell'!S59</f>
        <v>0</v>
      </c>
      <c r="D95" s="65" t="str">
        <f>'DIY Grundmodell'!T59</f>
        <v>Rest of The World</v>
      </c>
      <c r="E95" s="5"/>
      <c r="F95" s="78">
        <f>'DIY Grundmodell'!V59</f>
        <v>0.10804812754396266</v>
      </c>
      <c r="G95" s="1140"/>
      <c r="H95" s="1140"/>
      <c r="I95" s="1140"/>
      <c r="J95" s="1140"/>
      <c r="K95" s="1140"/>
      <c r="L95" s="1140"/>
      <c r="M95" s="1140"/>
      <c r="N95" s="1141"/>
    </row>
    <row r="96" spans="1:14" ht="14.1" customHeight="1" x14ac:dyDescent="0.45">
      <c r="A96" s="1062">
        <f>'DIY Grundmodell'!Q60</f>
        <v>0</v>
      </c>
      <c r="B96" s="8"/>
      <c r="C96" s="78">
        <f>'DIY Grundmodell'!S60</f>
        <v>0</v>
      </c>
      <c r="D96" s="65" t="str">
        <f>'DIY Grundmodell'!T60</f>
        <v>Canada</v>
      </c>
      <c r="E96" s="5"/>
      <c r="F96" s="78">
        <f>'DIY Grundmodell'!V60</f>
        <v>2.0331797418468796E-2</v>
      </c>
      <c r="G96" s="1140"/>
      <c r="H96" s="1140"/>
      <c r="I96" s="1140"/>
      <c r="J96" s="1140"/>
      <c r="K96" s="1140"/>
      <c r="L96" s="1140"/>
      <c r="M96" s="1140"/>
      <c r="N96" s="1141"/>
    </row>
    <row r="97" spans="1:14" ht="14.1" customHeight="1" x14ac:dyDescent="0.45">
      <c r="A97" s="1062">
        <f>'DIY Grundmodell'!Q61</f>
        <v>0</v>
      </c>
      <c r="B97" s="8"/>
      <c r="C97" s="78">
        <f>'DIY Grundmodell'!S61</f>
        <v>0</v>
      </c>
      <c r="D97" s="65">
        <f>'DIY Grundmodell'!T61</f>
        <v>0</v>
      </c>
      <c r="E97" s="5"/>
      <c r="F97" s="78">
        <f>'DIY Grundmodell'!V61</f>
        <v>0</v>
      </c>
      <c r="G97" s="1140"/>
      <c r="H97" s="1140"/>
      <c r="I97" s="1140"/>
      <c r="J97" s="1140"/>
      <c r="K97" s="1140"/>
      <c r="L97" s="1140"/>
      <c r="M97" s="1140"/>
      <c r="N97" s="1141"/>
    </row>
    <row r="98" spans="1:14" ht="14.1" customHeight="1" thickBot="1" x14ac:dyDescent="0.5">
      <c r="A98" s="1062">
        <f>'DIY Grundmodell'!Q62</f>
        <v>0</v>
      </c>
      <c r="B98" s="8"/>
      <c r="C98" s="78">
        <f>'DIY Grundmodell'!S62</f>
        <v>0</v>
      </c>
      <c r="D98" s="65">
        <f>'DIY Grundmodell'!T62</f>
        <v>0</v>
      </c>
      <c r="E98" s="5"/>
      <c r="F98" s="78">
        <f>'DIY Grundmodell'!V62</f>
        <v>0</v>
      </c>
      <c r="G98" s="1142"/>
      <c r="H98" s="1142"/>
      <c r="I98" s="1142"/>
      <c r="J98" s="1142"/>
      <c r="K98" s="1142"/>
      <c r="L98" s="1142"/>
      <c r="M98" s="1142"/>
      <c r="N98" s="1143"/>
    </row>
    <row r="99" spans="1:14" ht="14.1" customHeight="1" thickBot="1" x14ac:dyDescent="0.5">
      <c r="A99" s="1063">
        <f>IF(C99=0,0,'DIY Grundmodell'!Q63)</f>
        <v>0</v>
      </c>
      <c r="B99" s="1064"/>
      <c r="C99" s="1065">
        <f>'DIY Grundmodell'!S63</f>
        <v>0</v>
      </c>
      <c r="D99" s="1066">
        <f>IF(F99=0,0,'DIY Grundmodell'!T63)</f>
        <v>0</v>
      </c>
      <c r="E99" s="1067"/>
      <c r="F99" s="1068">
        <f>'DIY Grundmodell'!V63</f>
        <v>0</v>
      </c>
      <c r="G99" s="1069" t="str">
        <f>'DIY Grundmodell'!G58</f>
        <v>Haftungsfreizeichnung: Die Unterlage stellt keinerlei Empfehlung dar.</v>
      </c>
      <c r="H99" s="1070"/>
      <c r="I99" s="1070"/>
      <c r="J99" s="1070"/>
      <c r="K99" s="1070"/>
      <c r="L99" s="1070"/>
      <c r="M99" s="1070"/>
      <c r="N99" s="1071"/>
    </row>
    <row r="100" spans="1:14" ht="40.049999999999997" customHeight="1" x14ac:dyDescent="0.45">
      <c r="A100" s="1112" t="str">
        <f>pay!B67</f>
        <v>Lesen Sie weiter, wenn Sie nachvollziehen möchten, wie wir den inneren Wert der Aktie berechnen.</v>
      </c>
      <c r="B100" s="1113"/>
      <c r="C100" s="1113"/>
      <c r="D100" s="1113"/>
      <c r="E100" s="1113"/>
      <c r="F100" s="1113"/>
      <c r="G100" s="1113"/>
      <c r="H100" s="1113"/>
      <c r="I100" s="1113"/>
      <c r="J100" s="1113"/>
      <c r="K100" s="1113"/>
      <c r="L100" s="1113"/>
      <c r="M100" s="1113"/>
      <c r="N100" s="1113"/>
    </row>
    <row r="101" spans="1:14" ht="18" customHeight="1" x14ac:dyDescent="0.45">
      <c r="A101" s="1089" t="str">
        <f>pay!B69</f>
        <v>Planungsprämissen zum Discounted Cashflow Modell</v>
      </c>
      <c r="B101" s="1114"/>
      <c r="C101" s="1114"/>
      <c r="D101" s="1114"/>
      <c r="E101" s="1114"/>
      <c r="F101" s="1114"/>
      <c r="G101" s="1114"/>
      <c r="H101" s="1114"/>
      <c r="I101" s="1114"/>
      <c r="J101" s="1114"/>
      <c r="K101" s="1114"/>
      <c r="L101" s="1114"/>
      <c r="M101" s="1114"/>
      <c r="N101" s="1114"/>
    </row>
    <row r="102" spans="1:14" ht="18" customHeight="1" x14ac:dyDescent="0.45">
      <c r="A102" s="1092" t="str">
        <f>pay!B70</f>
        <v>Umsatz</v>
      </c>
      <c r="B102" s="1115"/>
      <c r="C102" s="1115"/>
      <c r="D102" s="1115"/>
      <c r="E102" s="1115"/>
      <c r="F102" s="1115"/>
      <c r="G102" s="1115"/>
      <c r="H102" s="1092" t="str">
        <f>pay!B72</f>
        <v>EBIT</v>
      </c>
      <c r="I102" s="1115"/>
      <c r="J102" s="1115"/>
      <c r="K102" s="1115"/>
      <c r="L102" s="1115"/>
      <c r="M102" s="1115"/>
      <c r="N102" s="1115"/>
    </row>
    <row r="103" spans="1:14" ht="163.25" customHeight="1" x14ac:dyDescent="0.45">
      <c r="A103" s="1134" t="str">
        <f>pay!B71</f>
        <v>Ausgangspunkt unserer Prognose für das DCF-Modell ist der zitierte Jahresumsatz in Höhe von USD 200.966 Mio. (LTM). LTM steht für "Last Twelve Months" und addiert die letzten vier Quartalsberichte, um eine aktuelle Jahresbetrachtung zu ermöglichen. Das Umsatzwachstum für die ersten drei Planungsperioden (LTM+1 bis LTM+3) beziffern wir mit 24,8%, 13,2% und 11,5%. Demnach haben wir die Wachstumsraten der Analysten nicht übernommen, sondern im Hinblick auf die Entwicklung der Quartale angepasst. Für die weiteren Planungsperioden (LTM+3 bis LTM+10) bis zur ewigen Rente unterstellen wir jährliche Umsatzveränderungen zwischen minimal 4,3% und maximal 10,5%.</v>
      </c>
      <c r="B103" s="1134"/>
      <c r="C103" s="1134"/>
      <c r="D103" s="1134"/>
      <c r="E103" s="1134"/>
      <c r="F103" s="1134"/>
      <c r="G103" s="1121"/>
      <c r="H103" s="1134" t="str">
        <f>pay!B73</f>
        <v>Für die ersten drei Planungsperioden (LTM+1 bis LTM+3) halten wir EBIT-Margen in Höhe von 30,9%; 30,6% und 30,8% für angemessen. Für die ewige Rente vertreten wir eine EBIT-Marge in Höhe von 33,2%; EBIT würde demnach im eingeschwungenen Zustand USD 192.844 Mio. betragen. Vor dem Hintergrund wiederholter Positionen unterhalb der EBIT-Reihe in der Historie, korrigieren wir EBIT über den Planungshorizont von 10 Jahren um insgesamt USD 2.084 Mio. Sondereffekte.</v>
      </c>
      <c r="I103" s="1134"/>
      <c r="J103" s="1134"/>
      <c r="K103" s="1134"/>
      <c r="L103" s="1134"/>
      <c r="M103" s="1134"/>
      <c r="N103" s="1134"/>
    </row>
    <row r="104" spans="1:14" ht="15" customHeight="1" x14ac:dyDescent="0.45">
      <c r="A104" s="1089" t="str">
        <f>pay!B75</f>
        <v>Annahmen unserer Finanzplanung in Mio. USD</v>
      </c>
      <c r="B104" s="1095"/>
      <c r="C104" s="1095"/>
      <c r="D104" s="1095"/>
      <c r="E104" s="1095"/>
      <c r="F104" s="1095"/>
      <c r="G104" s="1095"/>
      <c r="H104" s="1095" t="str">
        <f>pay!B87</f>
        <v>Steuern</v>
      </c>
      <c r="I104" s="1129"/>
      <c r="J104" s="1095"/>
      <c r="K104" s="1095"/>
      <c r="L104" s="1095"/>
      <c r="M104" s="1095"/>
      <c r="N104" s="1095"/>
    </row>
    <row r="105" spans="1:14" ht="5" customHeight="1" x14ac:dyDescent="0.45">
      <c r="A105" s="1081"/>
      <c r="B105" s="1081"/>
      <c r="C105" s="1081"/>
      <c r="D105" s="1081"/>
      <c r="E105" s="1081"/>
      <c r="F105" s="1081"/>
      <c r="G105" s="1081"/>
      <c r="H105" s="1081"/>
      <c r="I105" s="115"/>
      <c r="J105" s="1081"/>
      <c r="K105" s="1081"/>
      <c r="L105" s="1081"/>
      <c r="M105" s="1081"/>
      <c r="N105" s="1081"/>
    </row>
    <row r="106" spans="1:14" ht="15" customHeight="1" x14ac:dyDescent="0.45">
      <c r="A106" s="1080" t="str">
        <f>pay!B76</f>
        <v>Umsatzerwartung für 4 Quartale (LTM+1)</v>
      </c>
      <c r="B106" s="1081"/>
      <c r="C106" s="1081"/>
      <c r="D106" s="1081"/>
      <c r="E106" s="1133">
        <f>pay!F76</f>
        <v>250863.95000000004</v>
      </c>
      <c r="F106" s="1133"/>
      <c r="G106" s="1081"/>
      <c r="H106" s="1144" t="str">
        <f>pay!B88</f>
        <v>Wir berücksichtigen die zukünftigen Steuerzahlungen mit Hilfe von Prozentsätzen auf die sich resultierende EBIT-Reihe, also dem Ergebnis vor Finanzierungszinsen. Es ist Teil der Bewertungsmechanik, steuerlich abzugsfähige Zinsen in der Bemessungsgrundlage (EBIT) unberücksichtigt zu lassen, da dies im Diskontierungsfaktor abgebildet wird ("tax shield"). Unter Berücksichtigung der Historie und etwaigen Verlustvorträgen halten wir für die drei Planungsperioden (LTM+1 bis LTM+3) effektive Steuerquoten von 13,8%; 15,0% und 16% für angemessen. Entlang unseres konservativen Ansatzes unterstellen wir ab LTM+4 eine lineare Entwicklung der Steuerquote bis zum Grenzsteuersatz am Unternehmenssitz Vereinigte Staaten von 25,0% in LTM+10.</v>
      </c>
      <c r="I106" s="1144"/>
      <c r="J106" s="1144"/>
      <c r="K106" s="1144"/>
      <c r="L106" s="1144"/>
      <c r="M106" s="1144"/>
      <c r="N106" s="1081"/>
    </row>
    <row r="107" spans="1:14" ht="15" customHeight="1" x14ac:dyDescent="0.45">
      <c r="A107" s="1080" t="str">
        <f>pay!B77</f>
        <v>Umsatzerwartung LTM+2</v>
      </c>
      <c r="B107" s="1117"/>
      <c r="C107" s="1081"/>
      <c r="D107" s="1118">
        <f>pay!E77</f>
        <v>0.13218493530058822</v>
      </c>
      <c r="E107" s="1133">
        <f>pay!F77</f>
        <v>284024.38500000001</v>
      </c>
      <c r="F107" s="1133"/>
      <c r="G107" s="115"/>
      <c r="H107" s="1144"/>
      <c r="I107" s="1144"/>
      <c r="J107" s="1144"/>
      <c r="K107" s="1144"/>
      <c r="L107" s="1144"/>
      <c r="M107" s="1144"/>
      <c r="N107" s="1081"/>
    </row>
    <row r="108" spans="1:14" ht="15" customHeight="1" x14ac:dyDescent="0.45">
      <c r="A108" s="1080" t="str">
        <f>pay!B78</f>
        <v>Umsatzerwartung LTM+3</v>
      </c>
      <c r="B108" s="1117"/>
      <c r="C108" s="1081"/>
      <c r="D108" s="1118">
        <f>pay!E78</f>
        <v>0.11459884118617475</v>
      </c>
      <c r="E108" s="1133">
        <f>pay!F78</f>
        <v>316573.25038961595</v>
      </c>
      <c r="F108" s="1133"/>
      <c r="G108" s="115"/>
      <c r="H108" s="1144"/>
      <c r="I108" s="1144"/>
      <c r="J108" s="1144"/>
      <c r="K108" s="1144"/>
      <c r="L108" s="1144"/>
      <c r="M108" s="1144"/>
      <c r="N108" s="1081"/>
    </row>
    <row r="109" spans="1:14" ht="15" customHeight="1" x14ac:dyDescent="0.45">
      <c r="A109" s="1080" t="str">
        <f>pay!B79</f>
        <v>Plausibler Umsatz in 10 Jahren</v>
      </c>
      <c r="B109" s="1117"/>
      <c r="C109" s="1081"/>
      <c r="D109" s="1117"/>
      <c r="E109" s="1133">
        <f>pay!F79</f>
        <v>556230.34196471958</v>
      </c>
      <c r="F109" s="1133"/>
      <c r="G109" s="1118"/>
      <c r="H109" s="1144"/>
      <c r="I109" s="1144"/>
      <c r="J109" s="1144"/>
      <c r="K109" s="1144"/>
      <c r="L109" s="1144"/>
      <c r="M109" s="1144"/>
      <c r="N109" s="1081"/>
    </row>
    <row r="110" spans="1:14" ht="5" customHeight="1" x14ac:dyDescent="0.45">
      <c r="A110" s="1081"/>
      <c r="B110" s="1081"/>
      <c r="C110" s="1081"/>
      <c r="D110" s="1081"/>
      <c r="E110" s="1081"/>
      <c r="F110" s="1081"/>
      <c r="G110" s="1081"/>
      <c r="H110" s="1144"/>
      <c r="I110" s="1144"/>
      <c r="J110" s="1144"/>
      <c r="K110" s="1144"/>
      <c r="L110" s="1144"/>
      <c r="M110" s="1144"/>
      <c r="N110" s="1081"/>
    </row>
    <row r="111" spans="1:14" ht="15" customHeight="1" x14ac:dyDescent="0.45">
      <c r="A111" s="1080" t="str">
        <f>pay!B80</f>
        <v>Erwartete EBIT-Marge für nächste 4 Quartale</v>
      </c>
      <c r="B111" s="115"/>
      <c r="C111" s="115"/>
      <c r="D111" s="115"/>
      <c r="E111" s="115"/>
      <c r="F111" s="1097">
        <f>pay!F80</f>
        <v>0.30899298205262254</v>
      </c>
      <c r="G111" s="1081"/>
      <c r="H111" s="1144"/>
      <c r="I111" s="1144"/>
      <c r="J111" s="1144"/>
      <c r="K111" s="1144"/>
      <c r="L111" s="1144"/>
      <c r="M111" s="1144"/>
      <c r="N111" s="1081"/>
    </row>
    <row r="112" spans="1:14" ht="15" customHeight="1" x14ac:dyDescent="0.45">
      <c r="A112" s="1080" t="str">
        <f>pay!B81</f>
        <v>EBIT-Marge LTM+2</v>
      </c>
      <c r="B112" s="1081"/>
      <c r="C112" s="1081"/>
      <c r="D112" s="1081"/>
      <c r="E112" s="1081"/>
      <c r="F112" s="1097">
        <f>pay!F81</f>
        <v>0.30555898684263472</v>
      </c>
      <c r="G112" s="1081"/>
      <c r="H112" s="1144"/>
      <c r="I112" s="1144"/>
      <c r="J112" s="1144"/>
      <c r="K112" s="1144"/>
      <c r="L112" s="1144"/>
      <c r="M112" s="1144"/>
      <c r="N112" s="1081"/>
    </row>
    <row r="113" spans="1:14" ht="15" customHeight="1" x14ac:dyDescent="0.45">
      <c r="A113" s="1080" t="str">
        <f>pay!B82</f>
        <v>EBIT-Marge LTM+3</v>
      </c>
      <c r="B113" s="1081"/>
      <c r="C113" s="1081"/>
      <c r="D113" s="1081"/>
      <c r="E113" s="1081"/>
      <c r="F113" s="1097">
        <f>pay!F82</f>
        <v>0.30766810445426018</v>
      </c>
      <c r="G113" s="1081"/>
      <c r="H113" s="1144"/>
      <c r="I113" s="1144"/>
      <c r="J113" s="1144"/>
      <c r="K113" s="1144"/>
      <c r="L113" s="1144"/>
      <c r="M113" s="1144"/>
      <c r="N113" s="1081"/>
    </row>
    <row r="114" spans="1:14" ht="15" customHeight="1" x14ac:dyDescent="0.45">
      <c r="A114" s="1080" t="str">
        <f>pay!B83</f>
        <v>Plausible EBIT-Marge in 10 Jahren</v>
      </c>
      <c r="B114" s="1081"/>
      <c r="C114" s="1081"/>
      <c r="D114" s="1081"/>
      <c r="E114" s="1081"/>
      <c r="F114" s="1097">
        <f>pay!F83</f>
        <v>0.33234045014452107</v>
      </c>
      <c r="G114" s="1081"/>
      <c r="H114" s="1144"/>
      <c r="I114" s="1144"/>
      <c r="J114" s="1144"/>
      <c r="K114" s="1144"/>
      <c r="L114" s="1144"/>
      <c r="M114" s="1144"/>
      <c r="N114" s="1081"/>
    </row>
    <row r="115" spans="1:14" ht="5" customHeight="1" x14ac:dyDescent="0.45">
      <c r="A115" s="1081"/>
      <c r="B115" s="1081"/>
      <c r="C115" s="1081"/>
      <c r="D115" s="1081"/>
      <c r="E115" s="1081"/>
      <c r="F115" s="1081"/>
      <c r="G115" s="1081"/>
      <c r="H115" s="1144"/>
      <c r="I115" s="1144"/>
      <c r="J115" s="1144"/>
      <c r="K115" s="1144"/>
      <c r="L115" s="1144"/>
      <c r="M115" s="1144"/>
      <c r="N115" s="1081"/>
    </row>
    <row r="116" spans="1:14" ht="15" customHeight="1" x14ac:dyDescent="0.45">
      <c r="A116" s="1080" t="str">
        <f>pay!B84</f>
        <v>Erwartete Steuer im Verhältnis zu EBIT</v>
      </c>
      <c r="B116" s="1081"/>
      <c r="C116" s="1081"/>
      <c r="D116" s="1081"/>
      <c r="E116" s="1081"/>
      <c r="F116" s="1097">
        <f>pay!F84</f>
        <v>0.20374622001396694</v>
      </c>
      <c r="G116" s="1081"/>
      <c r="H116" s="1144"/>
      <c r="I116" s="1144"/>
      <c r="J116" s="1144"/>
      <c r="K116" s="1144"/>
      <c r="L116" s="1144"/>
      <c r="M116" s="1144"/>
      <c r="N116" s="1081"/>
    </row>
    <row r="117" spans="1:14" ht="15" customHeight="1" x14ac:dyDescent="0.45">
      <c r="A117" s="1080" t="str">
        <f>pay!B85</f>
        <v>Erwartete Nettoinvestitionen / EBIT-T</v>
      </c>
      <c r="B117" s="115"/>
      <c r="C117" s="1081"/>
      <c r="D117" s="1081"/>
      <c r="E117" s="1081"/>
      <c r="F117" s="1097">
        <f>pay!F85</f>
        <v>0.37892124793675325</v>
      </c>
      <c r="G117" s="1081"/>
      <c r="H117" s="1144"/>
      <c r="I117" s="1144"/>
      <c r="J117" s="1144"/>
      <c r="K117" s="1144"/>
      <c r="L117" s="1144"/>
      <c r="M117" s="1144"/>
      <c r="N117" s="1081"/>
    </row>
    <row r="118" spans="1:14" ht="15" customHeight="1" x14ac:dyDescent="0.45">
      <c r="A118" s="1080"/>
      <c r="B118" s="1081"/>
      <c r="C118" s="1081"/>
      <c r="D118" s="1081"/>
      <c r="E118" s="1081"/>
      <c r="F118" s="1097"/>
      <c r="G118" s="1081"/>
      <c r="H118" s="1144"/>
      <c r="I118" s="1144"/>
      <c r="J118" s="1144"/>
      <c r="K118" s="1144"/>
      <c r="L118" s="1144"/>
      <c r="M118" s="1144"/>
      <c r="N118" s="1081"/>
    </row>
    <row r="119" spans="1:14" ht="18" customHeight="1" x14ac:dyDescent="0.45">
      <c r="A119" s="1080"/>
      <c r="B119" s="1081"/>
      <c r="C119" s="1081"/>
      <c r="D119" s="1081"/>
      <c r="E119" s="1081"/>
      <c r="F119" s="1081"/>
      <c r="G119" s="1081"/>
      <c r="H119" s="1144"/>
      <c r="I119" s="1144"/>
      <c r="J119" s="1144"/>
      <c r="K119" s="1144"/>
      <c r="L119" s="1144"/>
      <c r="M119" s="1144"/>
      <c r="N119" s="1081"/>
    </row>
    <row r="120" spans="1:14" ht="18" customHeight="1" x14ac:dyDescent="0.45">
      <c r="A120" s="1089" t="str">
        <f>pay!B89</f>
        <v>Nettoinvestitionen</v>
      </c>
      <c r="B120" s="1127"/>
      <c r="C120" s="1127"/>
      <c r="D120" s="1127"/>
      <c r="E120" s="1127"/>
      <c r="F120" s="1127"/>
      <c r="G120" s="1128"/>
      <c r="H120" s="1095" t="str">
        <f>pay!B93</f>
        <v>Kalkulierte Nettoinvestitionen</v>
      </c>
      <c r="I120" s="1128"/>
      <c r="J120" s="1128"/>
      <c r="K120" s="1128"/>
      <c r="L120" s="1128"/>
      <c r="M120" s="1128"/>
      <c r="N120" s="1128"/>
    </row>
    <row r="121" spans="1:14" ht="5" customHeight="1" x14ac:dyDescent="0.45">
      <c r="A121" s="1081"/>
      <c r="B121" s="1081"/>
      <c r="C121" s="1081"/>
      <c r="D121" s="1081"/>
      <c r="E121" s="1081"/>
      <c r="F121" s="1081"/>
      <c r="G121" s="1081"/>
      <c r="H121" s="1081"/>
      <c r="I121" s="115"/>
      <c r="J121" s="1081"/>
      <c r="K121" s="1081"/>
      <c r="L121" s="1081"/>
      <c r="M121" s="1081"/>
      <c r="N121" s="1081"/>
    </row>
    <row r="122" spans="1:14" ht="39" customHeight="1" x14ac:dyDescent="0.45">
      <c r="A122" s="1134" t="str">
        <f>pay!B90</f>
        <v>Nettoinvestitionen umfassen Investitionen in das Anlage- und Umlaufvermögen, saldiert um Abschreibungen und Amortisation.</v>
      </c>
      <c r="B122" s="1134"/>
      <c r="C122" s="1134"/>
      <c r="D122" s="1134"/>
      <c r="E122" s="1134"/>
      <c r="F122" s="1134"/>
      <c r="G122" s="1134"/>
      <c r="H122" s="1144" t="str">
        <f>pay!B94</f>
        <v>Das DCF-Modell prognostiziert eine Veränderung des Umsatzes über 10 Jahre um 176,8% (Umsatz LTM+10 / Umsatz LTM). Wir unterstellen ein im Zeitablauf wachsendes Geschäftsvolumen und berücksichtigen notwendige Nettoinvestitionen. Das für die Planung auserwählte Verhältnis Umsatz/Kapital (LTM+10) beträgt 1,72. Die Auswahl erfolgt nach Analyse der Unternehmenshistorie (statistische Relevanz) im Vergleich zu Industriebenchmarks. Für die Planungsperioden werden die Umsatzzuwächse durch die Kennziffer Umsatz/Kapital dividiert. Die Berechnung lautet: (USD 580.259 - USD 250.864 Mio.) / 1,72. Für die nächsten 10 Jahre ergibt sich eine Gesamtsumme von USD 191.641 Mio. für plausibel notwendige Nettoinvestitionen. Die Reinvestitionsquote beträgt damit 18,6% (Reinvestment / EBIT-T). In Folge haben wir uns mit Aussagen von Analysten über anstehende Investitionen und der Plausibilität beschäftigt. Nach Würdigung der Schätzungen und Plausibilität werden final übernommen USD: 390.703 Mio. über den Zeitraum von 10 Jahren, dies entspricht einem Verhältnis von 0,84 Umsatz zu Kapital. Die Reinvestitionsquote beträgt somit 37,9%. Der Prozentsatz drückt aus, wieviel vom operativen Ergebnis nach Steuer (EBIT-T) für Nettoinvestionen berücksichtigt wird. Die begründet notwendigen Nettoinvestitionen verteilen wir über die 10 Planungsperioden unter Berücksichtigung der jährlich unterstellten Umsatzentwicklung.</v>
      </c>
      <c r="I122" s="1144"/>
      <c r="J122" s="1144"/>
      <c r="K122" s="1144"/>
      <c r="L122" s="1144"/>
      <c r="M122" s="1144"/>
      <c r="N122" s="1014"/>
    </row>
    <row r="123" spans="1:14" ht="15" customHeight="1" x14ac:dyDescent="0.45">
      <c r="A123" s="1080" t="str">
        <f>pay!B91</f>
        <v>Herleitung der Nettoinvestitionen</v>
      </c>
      <c r="B123" s="1123"/>
      <c r="C123" s="1123"/>
      <c r="D123" s="1123"/>
      <c r="E123" s="1123"/>
      <c r="F123" s="1123"/>
      <c r="G123" s="1121"/>
      <c r="H123" s="1144"/>
      <c r="I123" s="1144"/>
      <c r="J123" s="1144"/>
      <c r="K123" s="1144"/>
      <c r="L123" s="1144"/>
      <c r="M123" s="1144"/>
      <c r="N123" s="1014"/>
    </row>
    <row r="124" spans="1:14" ht="253.15" customHeight="1" x14ac:dyDescent="0.45">
      <c r="A124" s="1134" t="str">
        <f>pay!B92</f>
        <v>Die zukünftigen Nettoinvestitionen kalkulieren wir im vorliegenden Fall mit Hilfe der Kennziffer Umsatz/Kapital: Unternehmensumsatz steht in einem Verhältnis zum gebundenen Kapital. Das gebundene Kapital ermittelt sich aus einer Formel: Gebundenes Kapital = Zinstragende Verbindlichkeiten + Eigenkapital - liquide Mittel - Goodwill. Die Kennziffer drückt aus, wieviel Kapital bei vorgegebenem Umsatz investiert sein muss. Da im DCF-Modell Umsatzprognosen vorliegen, kann das (implizit) gebundene Kapital berechnet werden. Die Veränderung von einer Periode zur nächsten Periode ergibt die jährlichen Nettoinvestitionen. Typischerweise liegt die Kennziffer Umsatz/Kapital zwischen0,5 und 5,0 (je nach Anlageintensität der jeweiligen Industrie). Je niedriger die Kennziffer ausfällt, desto mehr ist bei gegebenem Umsatz zu investieren. Beträgt die Kennziffer z.B. 3,0 (Umsatz/Kapital), so sind für EUR 100 Umsatz EUR 30 zu investieren.</v>
      </c>
      <c r="B124" s="1134"/>
      <c r="C124" s="1134"/>
      <c r="D124" s="1134"/>
      <c r="E124" s="1134"/>
      <c r="F124" s="1134"/>
      <c r="G124" s="1121"/>
      <c r="H124" s="1144"/>
      <c r="I124" s="1144"/>
      <c r="J124" s="1144"/>
      <c r="K124" s="1144"/>
      <c r="L124" s="1144"/>
      <c r="M124" s="1144"/>
      <c r="N124" s="1014"/>
    </row>
    <row r="125" spans="1:14" ht="20" customHeight="1" x14ac:dyDescent="0.45">
      <c r="A125" s="1130"/>
      <c r="B125" s="1130"/>
      <c r="C125" s="1130"/>
      <c r="D125" s="1130"/>
      <c r="E125" s="1130"/>
      <c r="F125" s="1130"/>
      <c r="G125" s="1131"/>
      <c r="H125" s="1132"/>
      <c r="I125" s="1132"/>
      <c r="J125" s="1132"/>
      <c r="K125" s="1132"/>
      <c r="L125" s="1132"/>
      <c r="M125" s="1132"/>
      <c r="N125" s="1132"/>
    </row>
    <row r="126" spans="1:14" ht="18" customHeight="1" x14ac:dyDescent="0.45">
      <c r="A126" s="1089" t="str">
        <f>pay!B95</f>
        <v>Fortschreibungswert (Terminal Value)</v>
      </c>
      <c r="B126" s="1104"/>
      <c r="C126" s="1104"/>
      <c r="D126" s="1104"/>
      <c r="E126" s="1104"/>
      <c r="F126" s="1104"/>
      <c r="G126" s="1104"/>
      <c r="H126" s="1111"/>
      <c r="I126" s="1111"/>
      <c r="J126" s="1111"/>
      <c r="K126" s="1111"/>
      <c r="L126" s="1111"/>
      <c r="M126" s="1111"/>
      <c r="N126" s="1104"/>
    </row>
    <row r="127" spans="1:14" ht="5" customHeight="1" x14ac:dyDescent="0.45">
      <c r="A127" s="1081"/>
      <c r="B127" s="1081"/>
      <c r="C127" s="1081"/>
      <c r="D127" s="1081"/>
      <c r="E127" s="1081"/>
      <c r="F127" s="1081"/>
      <c r="G127" s="1081"/>
      <c r="H127" s="1081"/>
      <c r="I127" s="115"/>
      <c r="J127" s="1081"/>
      <c r="K127" s="1081"/>
      <c r="L127" s="1081"/>
      <c r="M127" s="1081"/>
      <c r="N127" s="1081"/>
    </row>
    <row r="128" spans="1:14" ht="114" customHeight="1" x14ac:dyDescent="0.45">
      <c r="A128" s="1134" t="str">
        <f>_xlfn.TEXTBEFORE(pay!$B$96,"Im vorliegenden")</f>
        <v xml:space="preserve">Das DCF-Modell kalkuliert die freien Cashflows vor Finanzierung (FCFF) für jede der 10 Planungsperioden und berücksichtigt sodann einen Fortschreibungswert. Gemäß Bewertungslehre unterstellen wir den ewigen Fortbestand des Unternehmens und verweisen darauf, dass ein weit in der Zukunft liegender Cashflow den Barwert kaum beeinflusst. Den sog. Terminal Value berechnen wir mit der methodisch anerkannten Formel: Terminal Value = ewiger Cashflow / (WACC - Wachstumsfaktor g). </v>
      </c>
      <c r="B128" s="1134"/>
      <c r="C128" s="1134"/>
      <c r="D128" s="1134"/>
      <c r="E128" s="1134"/>
      <c r="F128" s="1134"/>
      <c r="G128" s="1013"/>
      <c r="H128" s="1144" t="str">
        <f>_xlfn.TEXTAFTER(pay!$B$96,"g). ")</f>
        <v>Im vorliegenden Fall wird berechnet: Terminal Value = USD 107.117 Mio. / (8,3% - 4,3%) = USD 2.694.558 Mio. (Unternehmenswert vor Finanzierung in 10 Jahren). Die Wachstumsrate "g" orientiert sich am risikolosen Zins. Der im Bewertungsergebnis enthaltene Barwert des Terminal Value beträgt durch die Diskontierung (nur) USD 1.173.369 Mio.</v>
      </c>
      <c r="I128" s="1144"/>
      <c r="J128" s="1144"/>
      <c r="K128" s="1144"/>
      <c r="L128" s="1144"/>
      <c r="M128" s="1144"/>
      <c r="N128" s="1014"/>
    </row>
    <row r="129" spans="1:14" ht="18" customHeight="1" x14ac:dyDescent="0.45">
      <c r="A129" s="1111" t="str">
        <f>pay!B97</f>
        <v>Diskontierungsfaktoren</v>
      </c>
      <c r="B129" s="1089"/>
      <c r="C129" s="1089"/>
      <c r="D129" s="1089"/>
      <c r="E129" s="1089"/>
      <c r="F129" s="1089"/>
      <c r="G129" s="1089"/>
      <c r="H129" s="1089"/>
      <c r="I129" s="1089"/>
      <c r="J129" s="1089"/>
      <c r="K129" s="1089"/>
      <c r="L129" s="1089"/>
      <c r="M129" s="1089"/>
      <c r="N129" s="1089"/>
    </row>
    <row r="130" spans="1:14" ht="18" customHeight="1" x14ac:dyDescent="0.45">
      <c r="A130" s="1092" t="str">
        <f>pay!B98</f>
        <v>Einführung:</v>
      </c>
      <c r="B130" s="1092"/>
      <c r="C130" s="1092"/>
      <c r="D130" s="1092"/>
      <c r="E130" s="1092"/>
      <c r="F130" s="1092"/>
      <c r="G130" s="1092"/>
      <c r="H130" s="1124" t="str">
        <f>pay!B100</f>
        <v>Herleitung und Begründung</v>
      </c>
      <c r="I130" s="1092"/>
      <c r="J130" s="1092"/>
      <c r="K130" s="1092"/>
      <c r="L130" s="1092"/>
      <c r="M130" s="1092"/>
      <c r="N130" s="1092"/>
    </row>
    <row r="131" spans="1:14" ht="173.45" customHeight="1" x14ac:dyDescent="0.45">
      <c r="A131" s="1134" t="str">
        <f>pay!B99</f>
        <v>Wir verwenden das in Theorie und Praxis meist verbreitete DCF-Modell nach dem Entity-Ansatz, demnach werden die Cashflows vor Kapitaldienst mit gewichteten Kapitalkosten diskontiert. Im vorliegenden Fall verwenden wir einen Diskontierungsfaktor in Höhe von 9,4% (LTM), dessen mathematische Herleitung wir nachstehend erläutern und begründen. Unter Berücksichtigung erwarteter Verschuldungsquoten passen wir den Diskontierungszins im Zeitablauf bis 8,3% für die ewige Rente an.</v>
      </c>
      <c r="B131" s="1134"/>
      <c r="C131" s="1134"/>
      <c r="D131" s="1134"/>
      <c r="E131" s="1134"/>
      <c r="F131" s="1134"/>
      <c r="G131" s="1013"/>
      <c r="H131" s="1144" t="str">
        <f>_xlfn.TEXTBEFORE(pay!$B$101,"Die Eigenkapitalkosten")</f>
        <v xml:space="preserve">Als risikolosen Zins verwenden wir die tagesaktuell gehandelte Rendite einer sicheren 10-jährigen Staatsanleihe, zum Bewertungsstichtag in Höhe von 4,3% (USD). Für das Eingehen von Aktienrisiko berücksichtigen wir eine Risikoprämie in Höhe von 6,0%. Ein bedeutendes Merkmal unserer Methodik besteht sodann darin, das regionale Risiko einzupreisen und im vorliegenden Fall verändern wir die Risikoprämie auf 6,7%. Die regionale Anpassung der Risikoprämie erfolgt unter Berücksichtigung des Heimatsitzes und der regionalen Absatzmärkte, die Meta Platforms regelmäßig veröffentlicht. Als Risikomaß nutzen wir die jeweils aktuell am Kapitalmarkt gehandelten Preise für Ausfallrisiken der Länder (Credit Default Swaps) und gewichten anhand der regionalen Umsatzverteilung. </v>
      </c>
      <c r="I131" s="1144"/>
      <c r="J131" s="1144"/>
      <c r="K131" s="1144"/>
      <c r="L131" s="1144"/>
      <c r="M131" s="1144"/>
      <c r="N131" s="1014"/>
    </row>
    <row r="132" spans="1:14" ht="18" customHeight="1" x14ac:dyDescent="0.45">
      <c r="A132" s="1092" t="s">
        <v>85</v>
      </c>
      <c r="B132" s="1092"/>
      <c r="C132" s="1092"/>
      <c r="D132" s="1092"/>
      <c r="E132" s="1092"/>
      <c r="F132" s="1092"/>
      <c r="G132" s="1092"/>
      <c r="H132" s="1124" t="str">
        <f>pay!B119</f>
        <v>Fremkapitalkosten</v>
      </c>
      <c r="I132" s="1092"/>
      <c r="J132" s="1092"/>
      <c r="K132" s="1092"/>
      <c r="L132" s="1092"/>
      <c r="M132" s="1092"/>
      <c r="N132" s="1092"/>
    </row>
    <row r="133" spans="1:14" ht="114" customHeight="1" x14ac:dyDescent="0.45">
      <c r="A133" s="1134" t="str">
        <f>_xlfn.TEXTAFTER(pay!$B$101,"Umsatzverteilung. ")</f>
        <v>Die Eigenkapitalkosten berechnen wir wie folgt: Eigenkapitalkosten = risikoloser Zins + Beta * Risikoprämie = 4,3% + 0,80 * 6,7% = 9,7%. Bei der Formel handelt es sich um die anerkannte Herleitung entlang des sog. CAPM, wobei das "Beta" als relativer Maßstab die Risikoprämie individuell adjustiert (relatives Risiko).</v>
      </c>
      <c r="B133" s="1134"/>
      <c r="C133" s="1134"/>
      <c r="D133" s="1134"/>
      <c r="E133" s="1134"/>
      <c r="F133" s="1134"/>
      <c r="G133" s="1013"/>
      <c r="H133" s="1144" t="str">
        <f>pay!B120</f>
        <v>Die Fremdkapitalkosten beziffern wir zum Bewertungsstichtag auf 5,6%. Dies ist der Zinssatz, zudem das Unternehmen aktuell langfristige Mittel aufnehmen kann. Den vorgenannten Zinssatz ermitteln wir anhand eines Unternehmensrating und den aktuell gehandelten Renditen 10-jähriger Unternehmensanleihen gleicher Ratingklasse. Methodengerecht kürzen wir die Fremdkapitalkosten um den Grenzsteuersatz (tax-shield), im vorliegenden Fall um 25,0%. Die Fremdkapitalkosten beziffern sich demnach auf 4,2%.</v>
      </c>
      <c r="I133" s="1144"/>
      <c r="J133" s="1144"/>
      <c r="K133" s="1144"/>
      <c r="L133" s="1144"/>
      <c r="M133" s="1144"/>
      <c r="N133" s="1014"/>
    </row>
    <row r="134" spans="1:14" ht="15" customHeight="1" x14ac:dyDescent="0.45">
      <c r="A134" s="1089" t="str">
        <f>pay!B103</f>
        <v>Herleitung Diskontierungsfaktor</v>
      </c>
      <c r="B134" s="1095"/>
      <c r="C134" s="1095"/>
      <c r="D134" s="1095"/>
      <c r="E134" s="1095"/>
      <c r="F134" s="1095"/>
      <c r="G134" s="1095"/>
      <c r="H134" s="1095" t="str">
        <f>pay!$B$117</f>
        <v>Relevered Beta der relevanten Industrien</v>
      </c>
      <c r="I134" s="1095"/>
      <c r="J134" s="1095"/>
      <c r="K134" s="1095"/>
      <c r="L134" s="1095"/>
      <c r="M134" s="1095"/>
      <c r="N134" s="1095"/>
    </row>
    <row r="135" spans="1:14" ht="5" customHeight="1" x14ac:dyDescent="0.45">
      <c r="A135" s="1081"/>
      <c r="B135" s="1081"/>
      <c r="C135" s="1081"/>
      <c r="D135" s="1081"/>
      <c r="E135" s="1081"/>
      <c r="F135" s="1081"/>
      <c r="G135" s="1081"/>
      <c r="H135" s="1081"/>
      <c r="I135" s="115"/>
      <c r="J135" s="1081"/>
      <c r="K135" s="1081"/>
      <c r="L135" s="1081"/>
      <c r="M135" s="1081"/>
      <c r="N135" s="1081"/>
    </row>
    <row r="136" spans="1:14" ht="15" customHeight="1" x14ac:dyDescent="0.45">
      <c r="A136" s="1080" t="str">
        <f>pay!B104</f>
        <v>Risikoloser Zins (Rendite 10J-Staatsanleihe) USD</v>
      </c>
      <c r="B136" s="1081"/>
      <c r="C136" s="1081"/>
      <c r="D136" s="1081"/>
      <c r="E136" s="1081"/>
      <c r="F136" s="1145">
        <f>pay!F104</f>
        <v>4.3200000000000002E-2</v>
      </c>
      <c r="G136" s="1145"/>
      <c r="H136" s="1144" t="str">
        <f>pay!$B$118</f>
        <v>Der Betafaktor steht für das systematische Risiko des Unternehmens, ein Betafaktor kleiner 1,0 impliziert ein gegenüber dem Markt geringeres Risiko und vice versa. Unsere Modelle verwenden ausschließlich eigens hergeleitete "Bottom-Up-Beta", niemals das Regressionsbeta der einzelnen Aktie, ein aus unserer Sicht ungeeignetes Risikomaß. Somit berücksichtigt unser Beta das systematische Risiko der Industrien, in denen die Meta Platforms tätig ist. Viele Unternehmen sind in unterschiedlichen Industrien aktiv, wir gewichten anhand der Umsatzverteilung und berücksichtigen Auf- oder Abschläge je nach Stabilität der EBIT-Marge (CAPM plus). Methodengerecht passen wir das Beta der konkreten Verschuldungsquote an ("levered Beta") und jedem Unternehmen wird ein individuell begründetes und einzupreisendes Risiko beigemessen.</v>
      </c>
      <c r="I136" s="1144"/>
      <c r="J136" s="1144"/>
      <c r="K136" s="1144"/>
      <c r="L136" s="1144"/>
      <c r="M136" s="1144"/>
      <c r="N136" s="1014"/>
    </row>
    <row r="137" spans="1:14" ht="15" customHeight="1" x14ac:dyDescent="0.45">
      <c r="A137" s="1080" t="str">
        <f>pay!B105</f>
        <v>Aktienrisikoprämie der Absatzregionen</v>
      </c>
      <c r="B137" s="1081"/>
      <c r="C137" s="1081"/>
      <c r="D137" s="1081"/>
      <c r="E137" s="1081"/>
      <c r="F137" s="1146">
        <f>pay!F105</f>
        <v>6.6912423369693594E-2</v>
      </c>
      <c r="G137" s="1146"/>
      <c r="H137" s="1144"/>
      <c r="I137" s="1144"/>
      <c r="J137" s="1144"/>
      <c r="K137" s="1144"/>
      <c r="L137" s="1144"/>
      <c r="M137" s="1144"/>
      <c r="N137" s="1014"/>
    </row>
    <row r="138" spans="1:14" ht="15" customHeight="1" x14ac:dyDescent="0.45">
      <c r="A138" s="1080" t="str">
        <f>pay!B106</f>
        <v>Relatives Risiko (relevered Beta der Industrie)</v>
      </c>
      <c r="B138" s="1081"/>
      <c r="C138" s="1081"/>
      <c r="D138" s="1081"/>
      <c r="E138" s="1081"/>
      <c r="F138" s="1147">
        <f>pay!F106</f>
        <v>0.8</v>
      </c>
      <c r="G138" s="1147"/>
      <c r="H138" s="1144"/>
      <c r="I138" s="1144"/>
      <c r="J138" s="1144"/>
      <c r="K138" s="1144"/>
      <c r="L138" s="1144"/>
      <c r="M138" s="1144"/>
      <c r="N138" s="1014"/>
    </row>
    <row r="139" spans="1:14" ht="15" customHeight="1" x14ac:dyDescent="0.45">
      <c r="A139" s="1080" t="str">
        <f>pay!B107</f>
        <v>Aufschlag für besonderes Länderrisiko</v>
      </c>
      <c r="B139" s="1081"/>
      <c r="C139" s="1081"/>
      <c r="D139" s="1081"/>
      <c r="E139" s="1081"/>
      <c r="F139" s="1146">
        <f>pay!F107</f>
        <v>0</v>
      </c>
      <c r="G139" s="1146"/>
      <c r="H139" s="1144"/>
      <c r="I139" s="1144"/>
      <c r="J139" s="1144"/>
      <c r="K139" s="1144"/>
      <c r="L139" s="1144"/>
      <c r="M139" s="1144"/>
      <c r="N139" s="1014"/>
    </row>
    <row r="140" spans="1:14" ht="15" customHeight="1" x14ac:dyDescent="0.45">
      <c r="A140" s="1078" t="str">
        <f>pay!B108</f>
        <v>Resultierende Eigenkapitalkosten</v>
      </c>
      <c r="B140" s="1085"/>
      <c r="C140" s="1085"/>
      <c r="D140" s="1085"/>
      <c r="E140" s="1085"/>
      <c r="F140" s="1148">
        <f>pay!F108</f>
        <v>9.6729938695754886E-2</v>
      </c>
      <c r="G140" s="1148"/>
      <c r="H140" s="1144"/>
      <c r="I140" s="1144"/>
      <c r="J140" s="1144"/>
      <c r="K140" s="1144"/>
      <c r="L140" s="1144"/>
      <c r="M140" s="1144"/>
      <c r="N140" s="1014"/>
    </row>
    <row r="141" spans="1:14" ht="15" customHeight="1" x14ac:dyDescent="0.45">
      <c r="A141" s="1080" t="str">
        <f>pay!B109</f>
        <v>Fremdkapitalkosten zum Bewertungstichtag</v>
      </c>
      <c r="B141" s="1081"/>
      <c r="C141" s="1081"/>
      <c r="D141" s="1081"/>
      <c r="E141" s="1081"/>
      <c r="F141" s="1146">
        <f>pay!F109</f>
        <v>5.5586666666666673E-2</v>
      </c>
      <c r="G141" s="1146"/>
      <c r="H141" s="1144"/>
      <c r="I141" s="1144"/>
      <c r="J141" s="1144"/>
      <c r="K141" s="1144"/>
      <c r="L141" s="1144"/>
      <c r="M141" s="1144"/>
      <c r="N141" s="1014"/>
    </row>
    <row r="142" spans="1:14" ht="15" customHeight="1" x14ac:dyDescent="0.45">
      <c r="A142" s="1080" t="str">
        <f>pay!B110</f>
        <v>Grenzsteuersatz am Unternehmenssitz</v>
      </c>
      <c r="B142" s="1081"/>
      <c r="C142" s="1081"/>
      <c r="D142" s="1081"/>
      <c r="E142" s="1081"/>
      <c r="F142" s="1146">
        <f>pay!F110</f>
        <v>0.25</v>
      </c>
      <c r="G142" s="1146"/>
      <c r="H142" s="1144"/>
      <c r="I142" s="1144"/>
      <c r="J142" s="1144"/>
      <c r="K142" s="1144"/>
      <c r="L142" s="1144"/>
      <c r="M142" s="1144"/>
      <c r="N142" s="1014"/>
    </row>
    <row r="143" spans="1:14" ht="15" customHeight="1" x14ac:dyDescent="0.45">
      <c r="A143" s="1078" t="str">
        <f>pay!B111</f>
        <v>Fremdkapitalkosten nach Steuer</v>
      </c>
      <c r="B143" s="1085"/>
      <c r="C143" s="1085"/>
      <c r="D143" s="1085"/>
      <c r="E143" s="1085"/>
      <c r="F143" s="1149">
        <f>pay!F111</f>
        <v>4.1690000000000005E-2</v>
      </c>
      <c r="G143" s="1149"/>
      <c r="H143" s="1144"/>
      <c r="I143" s="1144"/>
      <c r="J143" s="1144"/>
      <c r="K143" s="1144"/>
      <c r="L143" s="1144"/>
      <c r="M143" s="1144"/>
      <c r="N143" s="1014"/>
    </row>
    <row r="144" spans="1:14" ht="15" customHeight="1" x14ac:dyDescent="0.45">
      <c r="A144" s="1080" t="str">
        <f>pay!B112</f>
        <v>Marktwert Eigenkapital in Mio. USD</v>
      </c>
      <c r="B144" s="1081"/>
      <c r="C144" s="1087"/>
      <c r="D144" s="1081"/>
      <c r="E144" s="1081"/>
      <c r="F144" s="1150">
        <f>pay!F112</f>
        <v>1712180.20692</v>
      </c>
      <c r="G144" s="1150"/>
      <c r="H144" s="1144"/>
      <c r="I144" s="1144"/>
      <c r="J144" s="1144"/>
      <c r="K144" s="1144"/>
      <c r="L144" s="1144"/>
      <c r="M144" s="1144"/>
      <c r="N144" s="1014"/>
    </row>
    <row r="145" spans="1:14" ht="15" customHeight="1" x14ac:dyDescent="0.45">
      <c r="A145" s="1080" t="str">
        <f>pay!B113</f>
        <v>(Marktwert) Fremdkapital in Mio. USD</v>
      </c>
      <c r="B145" s="1081"/>
      <c r="C145" s="1087"/>
      <c r="D145" s="1081"/>
      <c r="E145" s="1081"/>
      <c r="F145" s="1150">
        <f>pay!F113</f>
        <v>96862.515253533027</v>
      </c>
      <c r="G145" s="1150"/>
      <c r="H145" s="1144"/>
      <c r="I145" s="1144"/>
      <c r="J145" s="1144"/>
      <c r="K145" s="1144"/>
      <c r="L145" s="1144"/>
      <c r="M145" s="1144"/>
      <c r="N145" s="1014"/>
    </row>
    <row r="146" spans="1:14" ht="15" customHeight="1" x14ac:dyDescent="0.45">
      <c r="A146" s="1078" t="str">
        <f>pay!B114</f>
        <v>Gewichtete Kapitalkosten (WACC)</v>
      </c>
      <c r="B146" s="1085"/>
      <c r="C146" s="1119"/>
      <c r="D146" s="1085"/>
      <c r="E146" s="1085"/>
      <c r="F146" s="1149">
        <f>pay!F114</f>
        <v>9.3782906635027433E-2</v>
      </c>
      <c r="G146" s="1149"/>
      <c r="H146" s="1144"/>
      <c r="I146" s="1144"/>
      <c r="J146" s="1144"/>
      <c r="K146" s="1144"/>
      <c r="L146" s="1144"/>
      <c r="M146" s="1144"/>
      <c r="N146" s="1014"/>
    </row>
    <row r="147" spans="1:14" ht="15" customHeight="1" x14ac:dyDescent="0.45">
      <c r="A147" s="1080" t="str">
        <f>pay!B115</f>
        <v>Gewichtete Kapitalkosten für die ewige Rente</v>
      </c>
      <c r="B147" s="1081"/>
      <c r="C147" s="1087"/>
      <c r="D147" s="1081"/>
      <c r="E147" s="1081"/>
      <c r="F147" s="1146">
        <f>pay!F115</f>
        <v>8.2953038675466398E-2</v>
      </c>
      <c r="G147" s="1146"/>
      <c r="H147" s="1144"/>
      <c r="I147" s="1144"/>
      <c r="J147" s="1144"/>
      <c r="K147" s="1144"/>
      <c r="L147" s="1144"/>
      <c r="M147" s="1144"/>
      <c r="N147" s="1014"/>
    </row>
    <row r="148" spans="1:14" ht="18" customHeight="1" x14ac:dyDescent="0.45">
      <c r="A148" s="1080"/>
      <c r="B148" s="1081"/>
      <c r="C148" s="1087"/>
      <c r="D148" s="1081"/>
      <c r="E148" s="1081"/>
      <c r="F148" s="1081"/>
      <c r="G148" s="1137"/>
      <c r="H148" s="1137"/>
      <c r="I148" s="1081"/>
      <c r="J148" s="1081"/>
      <c r="K148" s="1081"/>
      <c r="L148" s="1081"/>
      <c r="M148" s="1081"/>
      <c r="N148" s="1081"/>
    </row>
    <row r="149" spans="1:14" ht="20" customHeight="1" x14ac:dyDescent="0.45">
      <c r="A149" s="1130"/>
      <c r="B149" s="1130"/>
      <c r="C149" s="1130"/>
      <c r="D149" s="1130"/>
      <c r="E149" s="1130"/>
      <c r="F149" s="1130"/>
      <c r="G149" s="1131"/>
      <c r="H149" s="1132"/>
      <c r="I149" s="1132"/>
      <c r="J149" s="1132"/>
      <c r="K149" s="1132"/>
      <c r="L149" s="1132"/>
      <c r="M149" s="1132"/>
      <c r="N149" s="1132"/>
    </row>
    <row r="150" spans="1:14" ht="18" customHeight="1" x14ac:dyDescent="0.45">
      <c r="A150" s="1089" t="str">
        <f>pay!B124</f>
        <v>Bewertungsergebnis in Mio. USD</v>
      </c>
      <c r="B150" s="1095"/>
      <c r="C150" s="1095"/>
      <c r="D150" s="1095"/>
      <c r="E150" s="1095"/>
      <c r="F150" s="1116"/>
      <c r="G150" s="1116"/>
      <c r="H150" s="1116"/>
      <c r="I150" s="1089" t="str">
        <f>pay!B121</f>
        <v>Gewichtete Kapitalkosten (WACC)</v>
      </c>
      <c r="J150" s="1116"/>
      <c r="K150" s="1095"/>
      <c r="L150" s="1095"/>
      <c r="M150" s="1095"/>
      <c r="N150" s="1095"/>
    </row>
    <row r="151" spans="1:14" ht="5" customHeight="1" x14ac:dyDescent="0.45">
      <c r="A151" s="1081"/>
      <c r="B151" s="1081"/>
      <c r="C151" s="1081"/>
      <c r="D151" s="1081"/>
      <c r="E151" s="1081"/>
      <c r="F151" s="1081"/>
      <c r="G151" s="1081"/>
      <c r="H151" s="1081"/>
      <c r="I151" s="115"/>
      <c r="J151" s="1081"/>
      <c r="K151" s="1081"/>
      <c r="L151" s="1081"/>
      <c r="M151" s="1081"/>
      <c r="N151" s="1081"/>
    </row>
    <row r="152" spans="1:14" ht="15" customHeight="1" x14ac:dyDescent="0.45">
      <c r="A152" s="1080" t="str">
        <f>pay!B125</f>
        <v>Barwert freier Cashflows über 10 Jahre</v>
      </c>
      <c r="B152" s="1087"/>
      <c r="C152" s="1087"/>
      <c r="D152" s="1081"/>
      <c r="E152" s="1081"/>
      <c r="F152" s="1133">
        <f>pay!F125</f>
        <v>356474.3078078382</v>
      </c>
      <c r="G152" s="1133"/>
      <c r="H152" s="1090"/>
      <c r="I152" s="1134" t="str">
        <f>pay!B122</f>
        <v>Unter Berücksichtigung von aktueller Marktkapitalisierung und Verschuldung gewichten wir die Eigenkapitalkosten im vorliegenden Fall mit 94,6% und die Fremdkapitalkosten mit 5,4%. Es resultieren die zitierten gewichteten Kapitalkosten in Höhe von: WACC = 9,7% * 94,6% + 4,2% * 5,4%. = 9,4%</v>
      </c>
      <c r="J152" s="1134"/>
      <c r="K152" s="1134"/>
      <c r="L152" s="1134"/>
      <c r="M152" s="1134"/>
      <c r="N152" s="1134"/>
    </row>
    <row r="153" spans="1:14" ht="15" customHeight="1" x14ac:dyDescent="0.45">
      <c r="A153" s="1080" t="str">
        <f>pay!B126</f>
        <v>Barwert Fortschreibungswert (Terminal Value)</v>
      </c>
      <c r="B153" s="1087"/>
      <c r="C153" s="1087"/>
      <c r="D153" s="1081"/>
      <c r="E153" s="1081"/>
      <c r="F153" s="1133">
        <f>pay!F126</f>
        <v>1173369.2511902978</v>
      </c>
      <c r="G153" s="1133"/>
      <c r="H153" s="1090"/>
      <c r="I153" s="1134"/>
      <c r="J153" s="1134"/>
      <c r="K153" s="1134"/>
      <c r="L153" s="1134"/>
      <c r="M153" s="1134"/>
      <c r="N153" s="1134"/>
    </row>
    <row r="154" spans="1:14" ht="15" customHeight="1" x14ac:dyDescent="0.45">
      <c r="A154" s="1078" t="str">
        <f>pay!B127</f>
        <v>Unternehmenswert (Enterprise Value)</v>
      </c>
      <c r="B154" s="1119"/>
      <c r="C154" s="1119"/>
      <c r="D154" s="1085"/>
      <c r="E154" s="1085"/>
      <c r="F154" s="1135">
        <f>pay!F127</f>
        <v>1529843.5589981358</v>
      </c>
      <c r="G154" s="1135"/>
      <c r="H154" s="1090"/>
      <c r="I154" s="1134"/>
      <c r="J154" s="1134"/>
      <c r="K154" s="1134"/>
      <c r="L154" s="1134"/>
      <c r="M154" s="1134"/>
      <c r="N154" s="1134"/>
    </row>
    <row r="155" spans="1:14" ht="15" customHeight="1" x14ac:dyDescent="0.45">
      <c r="A155" s="1080" t="str">
        <f>pay!B128</f>
        <v>Liquide Mittel</v>
      </c>
      <c r="B155" s="1120"/>
      <c r="C155" s="1120"/>
      <c r="D155" s="1120"/>
      <c r="E155" s="1081"/>
      <c r="F155" s="1133">
        <f>pay!F128</f>
        <v>81592</v>
      </c>
      <c r="G155" s="1133"/>
      <c r="H155" s="1090"/>
      <c r="I155" s="1134"/>
      <c r="J155" s="1134"/>
      <c r="K155" s="1134"/>
      <c r="L155" s="1134"/>
      <c r="M155" s="1134"/>
      <c r="N155" s="1134"/>
    </row>
    <row r="156" spans="1:14" ht="15" hidden="1" customHeight="1" x14ac:dyDescent="0.45">
      <c r="A156" s="1080" t="str">
        <f>pay!B129</f>
        <v>Handelbare langfristige Wertpapiere</v>
      </c>
      <c r="B156" s="1120"/>
      <c r="C156" s="1120"/>
      <c r="D156" s="1120"/>
      <c r="E156" s="1081"/>
      <c r="F156" s="1133">
        <f>pay!F129</f>
        <v>0</v>
      </c>
      <c r="G156" s="1133"/>
      <c r="H156" s="1090"/>
      <c r="I156" s="1134"/>
      <c r="J156" s="1134"/>
      <c r="K156" s="1134"/>
      <c r="L156" s="1134"/>
      <c r="M156" s="1134"/>
      <c r="N156" s="1134"/>
    </row>
    <row r="157" spans="1:14" ht="15" customHeight="1" x14ac:dyDescent="0.45">
      <c r="A157" s="1080" t="str">
        <f>pay!B130</f>
        <v>(Marktwert) Fremdkapital</v>
      </c>
      <c r="B157" s="1120"/>
      <c r="C157" s="1120"/>
      <c r="D157" s="1120"/>
      <c r="E157" s="1081"/>
      <c r="F157" s="1133">
        <f>pay!F130</f>
        <v>-96862.515253533027</v>
      </c>
      <c r="G157" s="1133"/>
      <c r="H157" s="1090"/>
      <c r="I157" s="1134"/>
      <c r="J157" s="1134"/>
      <c r="K157" s="1134"/>
      <c r="L157" s="1134"/>
      <c r="M157" s="1134"/>
      <c r="N157" s="1134"/>
    </row>
    <row r="158" spans="1:14" ht="15" hidden="1" customHeight="1" x14ac:dyDescent="0.45">
      <c r="A158" s="1080" t="str">
        <f>pay!B131</f>
        <v>Finanzforderungen &amp; Anzahlungen</v>
      </c>
      <c r="B158" s="1120"/>
      <c r="C158" s="1120"/>
      <c r="D158" s="1120"/>
      <c r="E158" s="1081"/>
      <c r="F158" s="1133">
        <f>pay!F131</f>
        <v>0</v>
      </c>
      <c r="G158" s="1133"/>
      <c r="H158" s="1090"/>
      <c r="I158" s="1073"/>
      <c r="J158" s="1073"/>
      <c r="K158" s="1073"/>
      <c r="L158" s="1073"/>
      <c r="M158" s="1073"/>
      <c r="N158" s="1081"/>
    </row>
    <row r="159" spans="1:14" ht="15" hidden="1" customHeight="1" x14ac:dyDescent="0.45">
      <c r="A159" s="1080" t="str">
        <f>pay!B132</f>
        <v>Anteile Minderheitsgesellschafter</v>
      </c>
      <c r="B159" s="1120"/>
      <c r="C159" s="1120"/>
      <c r="D159" s="1120"/>
      <c r="E159" s="1081"/>
      <c r="F159" s="1133">
        <f>pay!F132</f>
        <v>0</v>
      </c>
      <c r="G159" s="1133"/>
      <c r="H159" s="1090"/>
      <c r="I159" s="1073"/>
      <c r="J159" s="1073"/>
      <c r="K159" s="1073"/>
      <c r="L159" s="1073"/>
      <c r="M159" s="1073"/>
      <c r="N159" s="1081"/>
    </row>
    <row r="160" spans="1:14" ht="15" hidden="1" customHeight="1" x14ac:dyDescent="0.45">
      <c r="A160" s="1080" t="str">
        <f>pay!B133</f>
        <v>Langfr. Passive Abgrenzungen &amp; Sonstiges</v>
      </c>
      <c r="B160" s="1120"/>
      <c r="C160" s="1120"/>
      <c r="D160" s="1120"/>
      <c r="E160" s="1081"/>
      <c r="F160" s="1133">
        <f>pay!F133</f>
        <v>0</v>
      </c>
      <c r="G160" s="1133"/>
      <c r="H160" s="1090"/>
      <c r="I160" s="1073"/>
      <c r="J160" s="1073"/>
      <c r="K160" s="1073"/>
      <c r="L160" s="1073"/>
      <c r="M160" s="1073"/>
      <c r="N160" s="1081"/>
    </row>
    <row r="161" spans="1:14" ht="15" hidden="1" customHeight="1" x14ac:dyDescent="0.45">
      <c r="A161" s="1080" t="str">
        <f>pay!B134</f>
        <v>Ungedeckte Pensionsrückstellungen</v>
      </c>
      <c r="B161" s="1120"/>
      <c r="C161" s="1120"/>
      <c r="D161" s="1120"/>
      <c r="E161" s="1081"/>
      <c r="F161" s="1133">
        <f>pay!F134</f>
        <v>0</v>
      </c>
      <c r="G161" s="1133"/>
      <c r="H161" s="1090"/>
      <c r="I161" s="1073"/>
      <c r="J161" s="1073"/>
      <c r="K161" s="1073"/>
      <c r="L161" s="1073"/>
      <c r="M161" s="1073"/>
      <c r="N161" s="1081"/>
    </row>
    <row r="162" spans="1:14" ht="15" hidden="1" customHeight="1" x14ac:dyDescent="0.45">
      <c r="A162" s="1080" t="str">
        <f>pay!B135</f>
        <v>Verlorene Rechtstreitigkeiten</v>
      </c>
      <c r="B162" s="1120"/>
      <c r="C162" s="1120"/>
      <c r="D162" s="1120"/>
      <c r="E162" s="1081"/>
      <c r="F162" s="1133">
        <f>pay!F135</f>
        <v>0</v>
      </c>
      <c r="G162" s="1133"/>
      <c r="H162" s="1090"/>
      <c r="I162" s="1073"/>
      <c r="J162" s="1073"/>
      <c r="K162" s="1073"/>
      <c r="L162" s="1073"/>
      <c r="M162" s="1073"/>
      <c r="N162" s="1081"/>
    </row>
    <row r="163" spans="1:14" ht="15" hidden="1" customHeight="1" x14ac:dyDescent="0.45">
      <c r="A163" s="1080" t="str">
        <f>pay!B136</f>
        <v>Wert Eigenkapitaloptionen</v>
      </c>
      <c r="B163" s="1120"/>
      <c r="C163" s="1120"/>
      <c r="D163" s="1120"/>
      <c r="E163" s="1081"/>
      <c r="F163" s="1133">
        <f>pay!F136</f>
        <v>0</v>
      </c>
      <c r="G163" s="1133"/>
      <c r="H163" s="1090"/>
      <c r="I163" s="1073"/>
      <c r="J163" s="1073"/>
      <c r="K163" s="1073"/>
      <c r="L163" s="1073"/>
      <c r="M163" s="1073"/>
      <c r="N163" s="1081"/>
    </row>
    <row r="164" spans="1:14" ht="15" customHeight="1" x14ac:dyDescent="0.45">
      <c r="A164" s="1080" t="str">
        <f>pay!B137</f>
        <v>Wert Beteiligungen &amp; Finanzinvestitionen</v>
      </c>
      <c r="B164" s="1120"/>
      <c r="C164" s="1120"/>
      <c r="D164" s="1120"/>
      <c r="E164" s="1081"/>
      <c r="F164" s="1133">
        <f>pay!F137</f>
        <v>27524</v>
      </c>
      <c r="G164" s="1133"/>
      <c r="H164" s="1090"/>
      <c r="I164" s="1080" t="str">
        <f>'DIY Grundmodell'!F11</f>
        <v>Anzahl Aktien in Mio.</v>
      </c>
      <c r="J164" s="1073"/>
      <c r="K164" s="1073"/>
      <c r="L164" s="1136">
        <f>'DIY Grundmodell'!I11</f>
        <v>2529.55546</v>
      </c>
      <c r="M164" s="1136"/>
      <c r="N164" s="1090"/>
    </row>
    <row r="165" spans="1:14" ht="15" customHeight="1" x14ac:dyDescent="0.45">
      <c r="A165" s="1125" t="str">
        <f>pay!B138</f>
        <v>Wert des Eigenkapitals (Equity Value)</v>
      </c>
      <c r="B165" s="1119"/>
      <c r="C165" s="1119"/>
      <c r="D165" s="1126"/>
      <c r="E165" s="1126"/>
      <c r="F165" s="1135">
        <f>pay!F138</f>
        <v>1542097.0437446027</v>
      </c>
      <c r="G165" s="1135"/>
      <c r="H165" s="1090"/>
      <c r="I165" s="1078" t="str">
        <f>pay!B139</f>
        <v>Resultierender Wert je Aktie in USD</v>
      </c>
      <c r="J165" s="1073"/>
      <c r="K165" s="1073"/>
      <c r="L165" s="1073"/>
      <c r="M165" s="1083">
        <f>pay!F139</f>
        <v>609.63164007663329</v>
      </c>
      <c r="N165" s="1081"/>
    </row>
    <row r="166" spans="1:14" ht="15" customHeight="1" x14ac:dyDescent="0.45">
      <c r="A166" s="1080"/>
      <c r="B166" s="1081"/>
      <c r="C166" s="1087"/>
      <c r="D166" s="1081"/>
      <c r="E166" s="1081"/>
      <c r="F166" s="1081"/>
      <c r="G166" s="1137"/>
      <c r="H166" s="1137"/>
      <c r="I166" s="1081"/>
      <c r="J166" s="1081"/>
      <c r="K166" s="1081"/>
      <c r="L166" s="1081"/>
      <c r="M166" s="1081"/>
      <c r="N166" s="1081"/>
    </row>
    <row r="167" spans="1:14" ht="18" customHeight="1" x14ac:dyDescent="0.45">
      <c r="A167" s="1089" t="str">
        <f>pay!B141</f>
        <v>Erläuterungen zum Bewertungsergebnis</v>
      </c>
      <c r="B167" s="1122"/>
      <c r="C167" s="1122"/>
      <c r="D167" s="1122"/>
      <c r="E167" s="1122"/>
      <c r="F167" s="1122"/>
      <c r="G167" s="1122"/>
      <c r="H167" s="1122"/>
      <c r="I167" s="1122"/>
      <c r="J167" s="1122"/>
      <c r="K167" s="1122"/>
      <c r="L167" s="1122"/>
      <c r="M167" s="1122"/>
      <c r="N167" s="1122"/>
    </row>
    <row r="168" spans="1:14" ht="5" customHeight="1" x14ac:dyDescent="0.45">
      <c r="A168" s="1081"/>
      <c r="B168" s="1081"/>
      <c r="C168" s="1081"/>
      <c r="D168" s="1081"/>
      <c r="E168" s="1081"/>
      <c r="F168" s="1081"/>
      <c r="G168" s="1081"/>
      <c r="H168" s="1081"/>
      <c r="I168" s="115"/>
      <c r="J168" s="1081"/>
      <c r="K168" s="1081"/>
      <c r="L168" s="1081"/>
      <c r="M168" s="1081"/>
      <c r="N168" s="1081"/>
    </row>
    <row r="169" spans="1:14" ht="121.8" customHeight="1" x14ac:dyDescent="0.45">
      <c r="A169" s="1134" t="str">
        <f>pay!B142</f>
        <v>Der Barwert des Terminal Value und der Barwert aller diskontierten Cashflows addieren sich zum schuldenfreien Unternehmenswert ("Enterprise Value"). Der Enterprise Value beträgt im vorliegenden Fall USD 1.529.844 Mio. = USD 1.173.369 Mio. (Barwert Terminal Value) plus USD 356.474 Mio. (Barwert aller Cashflows). Methodengerecht sind die liquiden Mittel inkl. handelbarer Wertpapiere (USD 81.592 Mio.) zu addieren und die zinstragenden Verbindlichkeiten (USD 96.863 Mio.) zu subtrahieren.</v>
      </c>
      <c r="B169" s="1134"/>
      <c r="C169" s="1134"/>
      <c r="D169" s="1134"/>
      <c r="E169" s="1134"/>
      <c r="F169" s="1134"/>
      <c r="G169" s="1073"/>
      <c r="H169" s="1134" t="str">
        <f>pay!B144</f>
        <v>Der Wert des Eigenkapitals wird durch die Anzahl der ausstehenden Aktien (2.530 Mio. Stück) dividiert, es resultiert der innere Wert der Aktie zum Bewertungsstichtag in Höhe von USD 609,63. Der innere Wert der Aktie kann mit dem aktuellen Börsenkurs (USD 676,87) für Investitionsentscheidungen verglichen werden. Auf Basis der vollständigen Unternehmensbewertung beträgt das Verhältnis von Aktienkurs zu Aktienwert zum Bewertungsstichtag: 111,0%.</v>
      </c>
      <c r="I169" s="1134"/>
      <c r="J169" s="1134"/>
      <c r="K169" s="1134"/>
      <c r="L169" s="1134"/>
      <c r="M169" s="1134"/>
      <c r="N169" s="1073"/>
    </row>
    <row r="170" spans="1:14" ht="187.8" customHeight="1" x14ac:dyDescent="0.45">
      <c r="A170" s="1134" t="str">
        <f>pay!B143</f>
        <v>Zusätzlich analysieren wir die Passivseite der Bilanzen, um in der sogenannten "Equity Bridge" ggf. weitere Positionen zu berücksichtigen. Hierzu können insbesondere passivierte Anzahlungen, konsolidierte "Minority Shares" oder ungedeckte Pensionsrückstellungen nebst weiteren Positionen gehören. In besonderen Fällen inkludieren die zinstragenden Verbindlichkeiten passivierte Finanzschulden aus Handelsaktivitäten, z.B. bei Konsolidierung von Bank- oder Leasinggeschäften. In vorgenannten Fällen achten wir auf etwaige Gegenpositionen auf der Aktivseite der Bilanz (Finanzforderungen) und saldieren die Beträge in der Equity Bridge unter der Position Sonstiges. Nach Abzug bzw. Addition der im DCF-Modell einzeln aufgeführten Positionen ergibt sich der Wert des Eigenkapitals zum Bewertungsstichtag in Höhe von USD 1.542.097 Mio.</v>
      </c>
      <c r="B170" s="1134"/>
      <c r="C170" s="1134"/>
      <c r="D170" s="1134"/>
      <c r="E170" s="1134"/>
      <c r="F170" s="1134"/>
      <c r="G170" s="1073"/>
      <c r="H170" s="1134" t="str">
        <f>pay!B146</f>
        <v>Bei Erhöhung der Planungsprämissen für Umatz und EBIT-Marge um 10% - ceteris paribus - beträgt der innere Wert der Aktie USD 736,40718 (Preis/Wert: 92%). Bei Reduzierung der gewichteten Kapitalkosten um 100 Basispunkte - ceteris paribus - steigt der innere Wert der Aktie USD 835,23388 (Preis/Wert: 81%).</v>
      </c>
      <c r="I170" s="1134"/>
      <c r="J170" s="1134"/>
      <c r="K170" s="1134"/>
      <c r="L170" s="1134"/>
      <c r="M170" s="1134"/>
      <c r="N170" s="1073"/>
    </row>
    <row r="171" spans="1:14" ht="14.1" customHeight="1" x14ac:dyDescent="0.45">
      <c r="A171" s="850"/>
      <c r="B171" s="850"/>
      <c r="C171" s="850"/>
      <c r="D171" s="850"/>
      <c r="E171" s="850"/>
      <c r="F171" s="850"/>
      <c r="G171" s="850"/>
      <c r="H171" s="850"/>
      <c r="I171" s="850"/>
      <c r="J171" s="850"/>
      <c r="K171" s="850"/>
      <c r="L171" s="850"/>
      <c r="M171" s="850"/>
      <c r="N171" s="850"/>
    </row>
    <row r="172" spans="1:14" ht="14.1" customHeight="1" x14ac:dyDescent="0.45">
      <c r="A172" s="850"/>
      <c r="B172" s="850"/>
      <c r="C172" s="850"/>
      <c r="D172" s="850"/>
      <c r="E172" s="850"/>
      <c r="F172" s="850"/>
      <c r="G172" s="850"/>
      <c r="H172" s="850"/>
      <c r="I172" s="850"/>
      <c r="J172" s="850"/>
      <c r="K172" s="850"/>
      <c r="L172" s="850"/>
      <c r="M172" s="850"/>
      <c r="N172" s="850"/>
    </row>
    <row r="173" spans="1:14" ht="14.1" customHeight="1" x14ac:dyDescent="0.45">
      <c r="A173" s="850"/>
      <c r="B173" s="850"/>
      <c r="C173" s="850"/>
      <c r="D173" s="850"/>
      <c r="E173" s="850"/>
      <c r="F173" s="850"/>
      <c r="G173" s="850"/>
      <c r="H173" s="850"/>
      <c r="I173" s="850"/>
      <c r="J173" s="850"/>
      <c r="K173" s="850"/>
      <c r="L173" s="850"/>
      <c r="M173" s="850"/>
      <c r="N173" s="850"/>
    </row>
    <row r="174" spans="1:14" ht="14.1" customHeight="1" x14ac:dyDescent="0.45">
      <c r="A174" s="850"/>
      <c r="B174" s="850"/>
      <c r="C174" s="850"/>
      <c r="D174" s="850"/>
      <c r="E174" s="850"/>
      <c r="F174" s="850"/>
      <c r="G174" s="850"/>
      <c r="H174" s="850"/>
      <c r="I174" s="850"/>
      <c r="J174" s="850"/>
      <c r="K174" s="850"/>
      <c r="L174" s="850"/>
      <c r="M174" s="850"/>
      <c r="N174" s="850"/>
    </row>
    <row r="175" spans="1:14" ht="14.1" customHeight="1" x14ac:dyDescent="0.45">
      <c r="A175" s="850"/>
      <c r="B175" s="850"/>
      <c r="C175" s="850"/>
      <c r="D175" s="850"/>
      <c r="E175" s="850"/>
      <c r="F175" s="850"/>
      <c r="G175" s="850"/>
      <c r="H175" s="850"/>
      <c r="I175" s="850"/>
      <c r="J175" s="850"/>
      <c r="K175" s="850"/>
      <c r="L175" s="850"/>
      <c r="M175" s="850"/>
      <c r="N175" s="850"/>
    </row>
    <row r="176" spans="1:14" ht="14.1" customHeight="1" x14ac:dyDescent="0.45">
      <c r="A176" s="850"/>
      <c r="B176" s="850"/>
      <c r="C176" s="850"/>
      <c r="D176" s="850"/>
      <c r="E176" s="850"/>
      <c r="F176" s="850"/>
      <c r="G176" s="850"/>
      <c r="H176" s="850"/>
      <c r="I176" s="850"/>
      <c r="J176" s="850"/>
      <c r="K176" s="850"/>
      <c r="L176" s="850"/>
      <c r="M176" s="850"/>
      <c r="N176" s="850"/>
    </row>
    <row r="177" spans="1:14" ht="14.1" customHeight="1" x14ac:dyDescent="0.45">
      <c r="A177" s="850"/>
      <c r="B177" s="850"/>
      <c r="C177" s="850"/>
      <c r="D177" s="850"/>
      <c r="E177" s="850"/>
      <c r="F177" s="850"/>
      <c r="G177" s="850"/>
      <c r="H177" s="850"/>
      <c r="I177" s="850"/>
      <c r="J177" s="850"/>
      <c r="K177" s="850"/>
      <c r="L177" s="850"/>
      <c r="M177" s="850"/>
      <c r="N177" s="850"/>
    </row>
    <row r="178" spans="1:14" ht="14.1" customHeight="1" x14ac:dyDescent="0.45">
      <c r="A178" s="850"/>
      <c r="B178" s="850"/>
      <c r="C178" s="850"/>
      <c r="D178" s="850"/>
      <c r="E178" s="850"/>
      <c r="F178" s="850"/>
      <c r="G178" s="850"/>
      <c r="H178" s="850"/>
      <c r="I178" s="850"/>
      <c r="J178" s="850"/>
      <c r="K178" s="850"/>
      <c r="L178" s="850"/>
      <c r="M178" s="850"/>
      <c r="N178" s="850"/>
    </row>
    <row r="179" spans="1:14" ht="14.1" customHeight="1" x14ac:dyDescent="0.45">
      <c r="A179" s="850"/>
      <c r="B179" s="850"/>
      <c r="C179" s="850"/>
      <c r="D179" s="850"/>
      <c r="E179" s="850"/>
      <c r="F179" s="850"/>
      <c r="G179" s="850"/>
      <c r="H179" s="850"/>
      <c r="I179" s="850"/>
      <c r="J179" s="850"/>
      <c r="K179" s="850"/>
      <c r="L179" s="850"/>
      <c r="M179" s="850"/>
      <c r="N179" s="850"/>
    </row>
    <row r="180" spans="1:14" ht="14.1" customHeight="1" x14ac:dyDescent="0.45">
      <c r="A180" s="850"/>
      <c r="B180" s="850"/>
      <c r="C180" s="850"/>
      <c r="D180" s="850"/>
      <c r="E180" s="850"/>
      <c r="F180" s="850"/>
      <c r="G180" s="850"/>
      <c r="H180" s="850"/>
      <c r="I180" s="850"/>
      <c r="J180" s="850"/>
      <c r="K180" s="850"/>
      <c r="L180" s="850"/>
      <c r="M180" s="850"/>
      <c r="N180" s="850"/>
    </row>
    <row r="181" spans="1:14" ht="14.1" customHeight="1" x14ac:dyDescent="0.45">
      <c r="A181" s="850"/>
      <c r="B181" s="850"/>
      <c r="C181" s="850"/>
      <c r="D181" s="850"/>
      <c r="E181" s="850"/>
      <c r="F181" s="850"/>
      <c r="G181" s="850"/>
      <c r="H181" s="850"/>
      <c r="I181" s="850"/>
      <c r="J181" s="850"/>
      <c r="K181" s="850"/>
      <c r="L181" s="850"/>
      <c r="M181" s="850"/>
      <c r="N181" s="850"/>
    </row>
    <row r="182" spans="1:14" ht="14.1" customHeight="1" x14ac:dyDescent="0.45">
      <c r="A182" s="850"/>
      <c r="B182" s="850"/>
      <c r="C182" s="850"/>
      <c r="D182" s="850"/>
      <c r="E182" s="850"/>
      <c r="F182" s="850"/>
      <c r="G182" s="850"/>
      <c r="H182" s="850"/>
      <c r="I182" s="850"/>
      <c r="J182" s="850"/>
      <c r="K182" s="850"/>
      <c r="L182" s="850"/>
      <c r="M182" s="850"/>
      <c r="N182" s="850"/>
    </row>
    <row r="183" spans="1:14" ht="14.1" customHeight="1" x14ac:dyDescent="0.45">
      <c r="A183" s="850"/>
      <c r="B183" s="850"/>
      <c r="C183" s="850"/>
      <c r="D183" s="850"/>
      <c r="E183" s="850"/>
      <c r="F183" s="850"/>
      <c r="G183" s="850"/>
      <c r="H183" s="850"/>
      <c r="I183" s="850"/>
      <c r="J183" s="850"/>
      <c r="K183" s="850"/>
      <c r="L183" s="850"/>
      <c r="M183" s="850"/>
      <c r="N183" s="850"/>
    </row>
    <row r="184" spans="1:14" ht="14.1" customHeight="1" x14ac:dyDescent="0.45">
      <c r="A184" s="850"/>
      <c r="B184" s="850"/>
      <c r="C184" s="850"/>
      <c r="D184" s="850"/>
      <c r="E184" s="850"/>
      <c r="F184" s="850"/>
      <c r="G184" s="850"/>
      <c r="H184" s="850"/>
      <c r="I184" s="850"/>
      <c r="J184" s="850"/>
      <c r="K184" s="850"/>
      <c r="L184" s="850"/>
      <c r="M184" s="850"/>
      <c r="N184" s="850"/>
    </row>
    <row r="185" spans="1:14" ht="14.1" customHeight="1" x14ac:dyDescent="0.45">
      <c r="A185" s="850"/>
      <c r="B185" s="850"/>
      <c r="C185" s="850"/>
      <c r="D185" s="850"/>
      <c r="E185" s="850"/>
      <c r="F185" s="850"/>
      <c r="G185" s="850"/>
      <c r="H185" s="850"/>
      <c r="I185" s="850"/>
      <c r="J185" s="850"/>
      <c r="K185" s="850"/>
      <c r="L185" s="850"/>
      <c r="M185" s="850"/>
      <c r="N185" s="850"/>
    </row>
    <row r="186" spans="1:14" ht="14.1" customHeight="1" x14ac:dyDescent="0.45">
      <c r="A186" s="850"/>
      <c r="B186" s="850"/>
      <c r="C186" s="850"/>
      <c r="D186" s="850"/>
      <c r="E186" s="850"/>
      <c r="F186" s="850"/>
      <c r="G186" s="850"/>
      <c r="H186" s="850"/>
      <c r="I186" s="850"/>
      <c r="J186" s="850"/>
      <c r="K186" s="850"/>
      <c r="L186" s="850"/>
      <c r="M186" s="850"/>
      <c r="N186" s="850"/>
    </row>
    <row r="187" spans="1:14" ht="14.1" customHeight="1" x14ac:dyDescent="0.45">
      <c r="A187" s="850"/>
      <c r="B187" s="850"/>
      <c r="C187" s="850"/>
      <c r="D187" s="850"/>
      <c r="E187" s="850"/>
      <c r="F187" s="850"/>
      <c r="G187" s="850"/>
      <c r="H187" s="850"/>
      <c r="I187" s="850"/>
      <c r="J187" s="850"/>
      <c r="K187" s="850"/>
      <c r="L187" s="850"/>
      <c r="M187" s="850"/>
      <c r="N187" s="850"/>
    </row>
    <row r="188" spans="1:14" ht="14.1" customHeight="1" x14ac:dyDescent="0.45">
      <c r="A188" s="850"/>
      <c r="B188" s="850"/>
      <c r="C188" s="850"/>
      <c r="D188" s="850"/>
      <c r="E188" s="850"/>
      <c r="F188" s="850"/>
      <c r="G188" s="850"/>
      <c r="H188" s="850"/>
      <c r="I188" s="850"/>
      <c r="J188" s="850"/>
      <c r="K188" s="850"/>
      <c r="L188" s="850"/>
      <c r="M188" s="850"/>
      <c r="N188" s="850"/>
    </row>
    <row r="189" spans="1:14" ht="14.1" customHeight="1" x14ac:dyDescent="0.45">
      <c r="A189" s="850"/>
      <c r="B189" s="850"/>
      <c r="C189" s="850"/>
      <c r="D189" s="850"/>
      <c r="E189" s="850"/>
      <c r="F189" s="850"/>
      <c r="G189" s="850"/>
      <c r="H189" s="850"/>
      <c r="I189" s="850"/>
      <c r="J189" s="850"/>
      <c r="K189" s="850"/>
      <c r="L189" s="850"/>
      <c r="M189" s="850"/>
      <c r="N189" s="850"/>
    </row>
    <row r="190" spans="1:14" ht="14.1" customHeight="1" x14ac:dyDescent="0.45">
      <c r="A190" s="850"/>
      <c r="B190" s="850"/>
      <c r="C190" s="850"/>
      <c r="D190" s="850"/>
      <c r="E190" s="850"/>
      <c r="F190" s="850"/>
      <c r="G190" s="850"/>
      <c r="H190" s="850"/>
      <c r="I190" s="850"/>
      <c r="J190" s="850"/>
      <c r="K190" s="850"/>
      <c r="L190" s="850"/>
      <c r="M190" s="850"/>
      <c r="N190" s="850"/>
    </row>
    <row r="191" spans="1:14" ht="14.1" customHeight="1" x14ac:dyDescent="0.45">
      <c r="A191" s="850"/>
      <c r="B191" s="850"/>
      <c r="C191" s="850"/>
      <c r="D191" s="850"/>
      <c r="E191" s="850"/>
      <c r="F191" s="850"/>
      <c r="G191" s="850"/>
      <c r="H191" s="850"/>
      <c r="I191" s="850"/>
      <c r="J191" s="850"/>
      <c r="K191" s="850"/>
      <c r="L191" s="850"/>
      <c r="M191" s="850"/>
      <c r="N191" s="850"/>
    </row>
    <row r="192" spans="1:14" ht="14.1" customHeight="1" x14ac:dyDescent="0.45">
      <c r="A192" s="850"/>
      <c r="B192" s="850"/>
      <c r="C192" s="850"/>
      <c r="D192" s="850"/>
      <c r="E192" s="850"/>
      <c r="F192" s="850"/>
      <c r="G192" s="850"/>
      <c r="H192" s="850"/>
      <c r="I192" s="850"/>
      <c r="J192" s="850"/>
      <c r="K192" s="850"/>
      <c r="L192" s="850"/>
      <c r="M192" s="850"/>
      <c r="N192" s="850"/>
    </row>
    <row r="193" spans="1:14" ht="14.1" customHeight="1" x14ac:dyDescent="0.45">
      <c r="A193" s="850"/>
      <c r="B193" s="850"/>
      <c r="C193" s="850"/>
      <c r="D193" s="850"/>
      <c r="E193" s="850"/>
      <c r="F193" s="850"/>
      <c r="G193" s="850"/>
      <c r="H193" s="850"/>
      <c r="I193" s="850"/>
      <c r="J193" s="850"/>
      <c r="K193" s="850"/>
      <c r="L193" s="850"/>
      <c r="M193" s="850"/>
      <c r="N193" s="850"/>
    </row>
    <row r="194" spans="1:14" ht="14.1" customHeight="1" x14ac:dyDescent="0.45">
      <c r="A194" s="850"/>
      <c r="B194" s="850"/>
      <c r="C194" s="850"/>
      <c r="D194" s="850"/>
      <c r="E194" s="850"/>
      <c r="F194" s="850"/>
      <c r="G194" s="850"/>
      <c r="H194" s="850"/>
      <c r="I194" s="850"/>
      <c r="J194" s="850"/>
      <c r="K194" s="850"/>
      <c r="L194" s="850"/>
      <c r="M194" s="850"/>
      <c r="N194" s="850"/>
    </row>
    <row r="195" spans="1:14" ht="14.1" customHeight="1" x14ac:dyDescent="0.45">
      <c r="A195" s="850"/>
      <c r="B195" s="850"/>
      <c r="C195" s="850"/>
      <c r="D195" s="850"/>
      <c r="E195" s="850"/>
      <c r="F195" s="850"/>
      <c r="G195" s="850"/>
      <c r="H195" s="850"/>
      <c r="I195" s="850"/>
      <c r="J195" s="850"/>
      <c r="K195" s="850"/>
      <c r="L195" s="850"/>
      <c r="M195" s="850"/>
      <c r="N195" s="850"/>
    </row>
    <row r="196" spans="1:14" ht="14.1" customHeight="1" x14ac:dyDescent="0.45">
      <c r="A196" s="850"/>
      <c r="B196" s="850"/>
      <c r="C196" s="850"/>
      <c r="D196" s="850"/>
      <c r="E196" s="850"/>
      <c r="F196" s="850"/>
      <c r="G196" s="850"/>
      <c r="H196" s="850"/>
      <c r="I196" s="850"/>
      <c r="J196" s="850"/>
      <c r="K196" s="850"/>
      <c r="L196" s="850"/>
      <c r="M196" s="850"/>
      <c r="N196" s="850"/>
    </row>
    <row r="197" spans="1:14" ht="14.1" customHeight="1" x14ac:dyDescent="0.45">
      <c r="A197" s="850"/>
      <c r="B197" s="850"/>
      <c r="C197" s="850"/>
      <c r="D197" s="850"/>
      <c r="E197" s="850"/>
      <c r="F197" s="850"/>
      <c r="G197" s="850"/>
      <c r="H197" s="850"/>
      <c r="I197" s="850"/>
      <c r="J197" s="850"/>
      <c r="K197" s="850"/>
      <c r="L197" s="850"/>
      <c r="M197" s="850"/>
      <c r="N197" s="850"/>
    </row>
    <row r="198" spans="1:14" ht="14.1" customHeight="1" x14ac:dyDescent="0.45">
      <c r="A198" s="850"/>
      <c r="B198" s="850"/>
      <c r="C198" s="850"/>
      <c r="D198" s="850"/>
      <c r="E198" s="850"/>
      <c r="F198" s="850"/>
      <c r="G198" s="850"/>
      <c r="H198" s="850"/>
      <c r="I198" s="850"/>
      <c r="J198" s="850"/>
      <c r="K198" s="850"/>
      <c r="L198" s="850"/>
      <c r="M198" s="850"/>
      <c r="N198" s="850"/>
    </row>
    <row r="199" spans="1:14" ht="14.1" customHeight="1" x14ac:dyDescent="0.45">
      <c r="A199" s="850"/>
      <c r="B199" s="850"/>
      <c r="C199" s="850"/>
      <c r="D199" s="850"/>
      <c r="E199" s="850"/>
      <c r="F199" s="850"/>
      <c r="G199" s="850"/>
      <c r="H199" s="850"/>
      <c r="I199" s="850"/>
      <c r="J199" s="850"/>
      <c r="K199" s="850"/>
      <c r="L199" s="850"/>
      <c r="M199" s="850"/>
      <c r="N199" s="850"/>
    </row>
    <row r="200" spans="1:14" ht="14.1" customHeight="1" x14ac:dyDescent="0.45">
      <c r="A200" s="850"/>
      <c r="B200" s="850"/>
      <c r="C200" s="850"/>
      <c r="D200" s="850"/>
      <c r="E200" s="850"/>
      <c r="F200" s="850"/>
      <c r="G200" s="850"/>
      <c r="H200" s="850"/>
      <c r="I200" s="850"/>
      <c r="J200" s="850"/>
      <c r="K200" s="850"/>
      <c r="L200" s="850"/>
      <c r="M200" s="850"/>
      <c r="N200" s="850"/>
    </row>
    <row r="201" spans="1:14" ht="14.1" customHeight="1" x14ac:dyDescent="0.45">
      <c r="A201" s="850"/>
      <c r="B201" s="850"/>
      <c r="C201" s="850"/>
      <c r="D201" s="850"/>
      <c r="E201" s="850"/>
      <c r="F201" s="850"/>
      <c r="G201" s="850"/>
      <c r="H201" s="850"/>
      <c r="I201" s="850"/>
      <c r="J201" s="850"/>
      <c r="K201" s="850"/>
      <c r="L201" s="850"/>
      <c r="M201" s="850"/>
      <c r="N201" s="850"/>
    </row>
    <row r="202" spans="1:14" ht="14.1" customHeight="1" x14ac:dyDescent="0.45">
      <c r="A202" s="850"/>
      <c r="B202" s="850"/>
      <c r="C202" s="850"/>
      <c r="D202" s="850"/>
      <c r="E202" s="850"/>
      <c r="F202" s="850"/>
      <c r="G202" s="850"/>
      <c r="H202" s="850"/>
      <c r="I202" s="850"/>
      <c r="J202" s="850"/>
      <c r="K202" s="850"/>
      <c r="L202" s="850"/>
      <c r="M202" s="850"/>
      <c r="N202" s="850"/>
    </row>
    <row r="203" spans="1:14" ht="14.1" customHeight="1" x14ac:dyDescent="0.45">
      <c r="A203" s="850"/>
      <c r="B203" s="850"/>
      <c r="C203" s="850"/>
      <c r="D203" s="850"/>
      <c r="E203" s="850"/>
      <c r="F203" s="850"/>
      <c r="G203" s="850"/>
      <c r="H203" s="850"/>
      <c r="I203" s="850"/>
      <c r="J203" s="850"/>
      <c r="K203" s="850"/>
      <c r="L203" s="850"/>
      <c r="M203" s="850"/>
      <c r="N203" s="850"/>
    </row>
    <row r="204" spans="1:14" ht="14.1" customHeight="1" x14ac:dyDescent="0.45">
      <c r="A204" s="850"/>
      <c r="B204" s="850"/>
      <c r="C204" s="850"/>
      <c r="D204" s="850"/>
      <c r="E204" s="850"/>
      <c r="F204" s="850"/>
      <c r="G204" s="850"/>
      <c r="H204" s="850"/>
      <c r="I204" s="850"/>
      <c r="J204" s="850"/>
      <c r="K204" s="850"/>
      <c r="L204" s="850"/>
      <c r="M204" s="850"/>
      <c r="N204" s="850"/>
    </row>
    <row r="205" spans="1:14" ht="14.1" customHeight="1" x14ac:dyDescent="0.45">
      <c r="A205" s="850"/>
      <c r="B205" s="850"/>
      <c r="C205" s="850"/>
      <c r="D205" s="850"/>
      <c r="E205" s="850"/>
      <c r="F205" s="850"/>
      <c r="G205" s="850"/>
      <c r="H205" s="850"/>
      <c r="I205" s="850"/>
      <c r="J205" s="850"/>
      <c r="K205" s="850"/>
      <c r="L205" s="850"/>
      <c r="M205" s="850"/>
      <c r="N205" s="850"/>
    </row>
    <row r="206" spans="1:14" ht="14.1" customHeight="1" x14ac:dyDescent="0.45">
      <c r="A206" s="850"/>
      <c r="B206" s="850"/>
      <c r="C206" s="850"/>
      <c r="D206" s="850"/>
      <c r="E206" s="850"/>
      <c r="F206" s="850"/>
      <c r="G206" s="850"/>
      <c r="H206" s="850"/>
      <c r="I206" s="850"/>
      <c r="J206" s="850"/>
      <c r="K206" s="850"/>
      <c r="L206" s="850"/>
      <c r="M206" s="850"/>
      <c r="N206" s="850"/>
    </row>
    <row r="207" spans="1:14" ht="14.1" customHeight="1" x14ac:dyDescent="0.45">
      <c r="A207" s="850"/>
      <c r="B207" s="850"/>
      <c r="C207" s="850"/>
      <c r="D207" s="850"/>
      <c r="E207" s="850"/>
      <c r="F207" s="850"/>
      <c r="G207" s="850"/>
      <c r="H207" s="850"/>
      <c r="I207" s="850"/>
      <c r="J207" s="850"/>
      <c r="K207" s="850"/>
      <c r="L207" s="850"/>
      <c r="M207" s="850"/>
      <c r="N207" s="850"/>
    </row>
    <row r="208" spans="1:14" ht="14.1" customHeight="1" x14ac:dyDescent="0.45">
      <c r="A208" s="850"/>
      <c r="B208" s="850"/>
      <c r="C208" s="850"/>
      <c r="D208" s="850"/>
      <c r="E208" s="850"/>
      <c r="F208" s="850"/>
      <c r="G208" s="850"/>
      <c r="H208" s="850"/>
      <c r="I208" s="850"/>
      <c r="J208" s="850"/>
      <c r="K208" s="850"/>
      <c r="L208" s="850"/>
      <c r="M208" s="850"/>
      <c r="N208" s="850"/>
    </row>
    <row r="209" spans="1:14" ht="14.1" customHeight="1" x14ac:dyDescent="0.45">
      <c r="A209" s="850"/>
      <c r="B209" s="850"/>
      <c r="C209" s="850"/>
      <c r="D209" s="850"/>
      <c r="E209" s="850"/>
      <c r="F209" s="850"/>
      <c r="G209" s="850"/>
      <c r="H209" s="850"/>
      <c r="I209" s="850"/>
      <c r="J209" s="850"/>
      <c r="K209" s="850"/>
      <c r="L209" s="850"/>
      <c r="M209" s="850"/>
      <c r="N209" s="850"/>
    </row>
    <row r="210" spans="1:14" ht="14.1" customHeight="1" x14ac:dyDescent="0.45">
      <c r="A210" s="850"/>
      <c r="B210" s="850"/>
      <c r="C210" s="850"/>
      <c r="D210" s="850"/>
      <c r="E210" s="850"/>
      <c r="F210" s="850"/>
      <c r="G210" s="850"/>
      <c r="H210" s="850"/>
      <c r="I210" s="850"/>
      <c r="J210" s="850"/>
      <c r="K210" s="850"/>
      <c r="L210" s="850"/>
      <c r="M210" s="850"/>
      <c r="N210" s="850"/>
    </row>
    <row r="211" spans="1:14" ht="14.1" customHeight="1" x14ac:dyDescent="0.45">
      <c r="A211" s="850"/>
      <c r="B211" s="850"/>
      <c r="C211" s="850"/>
      <c r="D211" s="850"/>
      <c r="E211" s="850"/>
      <c r="F211" s="850"/>
      <c r="G211" s="850"/>
      <c r="H211" s="850"/>
      <c r="I211" s="850"/>
      <c r="J211" s="850"/>
      <c r="K211" s="850"/>
      <c r="L211" s="850"/>
      <c r="M211" s="850"/>
      <c r="N211" s="850"/>
    </row>
    <row r="212" spans="1:14" ht="14.1" customHeight="1" x14ac:dyDescent="0.45">
      <c r="A212" s="850"/>
      <c r="B212" s="850"/>
      <c r="C212" s="850"/>
      <c r="D212" s="850"/>
      <c r="E212" s="850"/>
      <c r="F212" s="850"/>
      <c r="G212" s="850"/>
      <c r="H212" s="850"/>
      <c r="I212" s="850"/>
      <c r="J212" s="850"/>
      <c r="K212" s="850"/>
      <c r="L212" s="850"/>
      <c r="M212" s="850"/>
      <c r="N212" s="850"/>
    </row>
    <row r="213" spans="1:14" ht="14.1" customHeight="1" x14ac:dyDescent="0.45">
      <c r="A213" s="850"/>
      <c r="B213" s="850"/>
      <c r="C213" s="850"/>
      <c r="D213" s="850"/>
      <c r="E213" s="850"/>
      <c r="F213" s="850"/>
      <c r="G213" s="850"/>
      <c r="H213" s="850"/>
      <c r="I213" s="850"/>
      <c r="J213" s="850"/>
      <c r="K213" s="850"/>
      <c r="L213" s="850"/>
      <c r="M213" s="850"/>
      <c r="N213" s="850"/>
    </row>
    <row r="214" spans="1:14" ht="14.1" customHeight="1" x14ac:dyDescent="0.45">
      <c r="A214" s="850"/>
      <c r="B214" s="850"/>
      <c r="C214" s="850"/>
      <c r="D214" s="850"/>
      <c r="E214" s="850"/>
      <c r="F214" s="850"/>
      <c r="G214" s="850"/>
      <c r="H214" s="850"/>
      <c r="I214" s="850"/>
      <c r="J214" s="850"/>
      <c r="K214" s="850"/>
      <c r="L214" s="850"/>
      <c r="M214" s="850"/>
      <c r="N214" s="850"/>
    </row>
    <row r="215" spans="1:14" ht="14.1" customHeight="1" x14ac:dyDescent="0.45">
      <c r="A215" s="850"/>
      <c r="B215" s="850"/>
      <c r="C215" s="850"/>
      <c r="D215" s="850"/>
      <c r="E215" s="850"/>
      <c r="F215" s="850"/>
      <c r="G215" s="850"/>
      <c r="H215" s="850"/>
      <c r="I215" s="850"/>
      <c r="J215" s="850"/>
      <c r="K215" s="850"/>
      <c r="L215" s="850"/>
      <c r="M215" s="850"/>
      <c r="N215" s="850"/>
    </row>
    <row r="216" spans="1:14" ht="14.1" customHeight="1" x14ac:dyDescent="0.45">
      <c r="A216" s="850"/>
      <c r="B216" s="850"/>
      <c r="C216" s="850"/>
      <c r="D216" s="850"/>
      <c r="E216" s="850"/>
      <c r="F216" s="850"/>
      <c r="G216" s="850"/>
      <c r="H216" s="850"/>
      <c r="I216" s="850"/>
      <c r="J216" s="850"/>
      <c r="K216" s="850"/>
      <c r="L216" s="850"/>
      <c r="M216" s="850"/>
      <c r="N216" s="850"/>
    </row>
    <row r="217" spans="1:14" ht="14.1" customHeight="1" x14ac:dyDescent="0.45">
      <c r="A217" s="850"/>
      <c r="B217" s="850"/>
      <c r="C217" s="850"/>
      <c r="D217" s="850"/>
      <c r="E217" s="850"/>
      <c r="F217" s="850"/>
      <c r="G217" s="850"/>
      <c r="H217" s="850"/>
      <c r="I217" s="850"/>
      <c r="J217" s="850"/>
      <c r="K217" s="850"/>
      <c r="L217" s="850"/>
      <c r="M217" s="850"/>
      <c r="N217" s="850"/>
    </row>
    <row r="218" spans="1:14" ht="14.1" customHeight="1" x14ac:dyDescent="0.45">
      <c r="A218" s="850"/>
      <c r="B218" s="850"/>
      <c r="C218" s="850"/>
      <c r="D218" s="850"/>
      <c r="E218" s="850"/>
      <c r="F218" s="850"/>
      <c r="G218" s="850"/>
      <c r="H218" s="850"/>
      <c r="I218" s="850"/>
      <c r="J218" s="850"/>
      <c r="K218" s="850"/>
      <c r="L218" s="850"/>
      <c r="M218" s="850"/>
      <c r="N218" s="850"/>
    </row>
    <row r="219" spans="1:14" ht="14.1" customHeight="1" x14ac:dyDescent="0.45">
      <c r="A219" s="850"/>
      <c r="B219" s="850"/>
      <c r="C219" s="850"/>
      <c r="D219" s="850"/>
      <c r="E219" s="850"/>
      <c r="F219" s="850"/>
      <c r="G219" s="850"/>
      <c r="H219" s="850"/>
      <c r="I219" s="850"/>
      <c r="J219" s="850"/>
      <c r="K219" s="850"/>
      <c r="L219" s="850"/>
      <c r="M219" s="850"/>
      <c r="N219" s="850"/>
    </row>
    <row r="220" spans="1:14" ht="14.1" customHeight="1" x14ac:dyDescent="0.45">
      <c r="A220" s="850"/>
      <c r="B220" s="850"/>
      <c r="C220" s="850"/>
      <c r="D220" s="850"/>
      <c r="E220" s="850"/>
      <c r="F220" s="850"/>
      <c r="G220" s="850"/>
      <c r="H220" s="850"/>
      <c r="I220" s="850"/>
      <c r="J220" s="850"/>
      <c r="K220" s="850"/>
      <c r="L220" s="850"/>
      <c r="M220" s="850"/>
      <c r="N220" s="850"/>
    </row>
    <row r="221" spans="1:14" ht="14.1" customHeight="1" x14ac:dyDescent="0.45">
      <c r="A221" s="850"/>
      <c r="B221" s="850"/>
      <c r="C221" s="850"/>
      <c r="D221" s="850"/>
      <c r="E221" s="850"/>
      <c r="F221" s="850"/>
      <c r="G221" s="850"/>
      <c r="H221" s="850"/>
      <c r="I221" s="850"/>
      <c r="J221" s="850"/>
      <c r="K221" s="850"/>
      <c r="L221" s="850"/>
      <c r="M221" s="850"/>
      <c r="N221" s="850"/>
    </row>
    <row r="222" spans="1:14" ht="14.1" customHeight="1" x14ac:dyDescent="0.45">
      <c r="A222" s="850"/>
      <c r="B222" s="850"/>
      <c r="C222" s="850"/>
      <c r="D222" s="850"/>
      <c r="E222" s="850"/>
      <c r="F222" s="850"/>
      <c r="G222" s="850"/>
      <c r="H222" s="850"/>
      <c r="I222" s="850"/>
      <c r="J222" s="850"/>
      <c r="K222" s="850"/>
      <c r="L222" s="850"/>
      <c r="M222" s="850"/>
      <c r="N222" s="850"/>
    </row>
    <row r="223" spans="1:14" ht="14.1" customHeight="1" x14ac:dyDescent="0.45">
      <c r="A223" s="850"/>
      <c r="B223" s="850"/>
      <c r="C223" s="850"/>
      <c r="D223" s="850"/>
      <c r="E223" s="850"/>
      <c r="F223" s="850"/>
      <c r="G223" s="850"/>
      <c r="H223" s="850"/>
      <c r="I223" s="850"/>
      <c r="J223" s="850"/>
      <c r="K223" s="850"/>
      <c r="L223" s="850"/>
      <c r="M223" s="850"/>
      <c r="N223" s="850"/>
    </row>
    <row r="224" spans="1:14" ht="14.1" customHeight="1" x14ac:dyDescent="0.45">
      <c r="A224" s="850"/>
      <c r="B224" s="850"/>
      <c r="C224" s="850"/>
      <c r="D224" s="850"/>
      <c r="E224" s="850"/>
      <c r="F224" s="850"/>
      <c r="G224" s="850"/>
      <c r="H224" s="850"/>
      <c r="I224" s="850"/>
      <c r="J224" s="850"/>
      <c r="K224" s="850"/>
      <c r="L224" s="850"/>
      <c r="M224" s="850"/>
      <c r="N224" s="850"/>
    </row>
    <row r="225" spans="1:14" ht="14.1" customHeight="1" x14ac:dyDescent="0.45">
      <c r="A225" s="850"/>
      <c r="B225" s="850"/>
      <c r="C225" s="850"/>
      <c r="D225" s="850"/>
      <c r="E225" s="850"/>
      <c r="F225" s="850"/>
      <c r="G225" s="850"/>
      <c r="H225" s="850"/>
      <c r="I225" s="850"/>
      <c r="J225" s="850"/>
      <c r="K225" s="850"/>
      <c r="L225" s="850"/>
      <c r="M225" s="850"/>
      <c r="N225" s="850"/>
    </row>
    <row r="226" spans="1:14" ht="14.1" customHeight="1" x14ac:dyDescent="0.45">
      <c r="A226" s="850"/>
      <c r="B226" s="850"/>
      <c r="C226" s="850"/>
      <c r="D226" s="850"/>
      <c r="E226" s="850"/>
      <c r="F226" s="850"/>
      <c r="G226" s="850"/>
      <c r="H226" s="850"/>
      <c r="I226" s="850"/>
      <c r="J226" s="850"/>
      <c r="K226" s="850"/>
      <c r="L226" s="850"/>
      <c r="M226" s="850"/>
      <c r="N226" s="850"/>
    </row>
    <row r="227" spans="1:14" ht="14.1" customHeight="1" x14ac:dyDescent="0.45">
      <c r="A227" s="850"/>
      <c r="B227" s="850"/>
      <c r="C227" s="850"/>
      <c r="D227" s="850"/>
      <c r="E227" s="850"/>
      <c r="F227" s="850"/>
      <c r="G227" s="850"/>
      <c r="H227" s="850"/>
      <c r="I227" s="850"/>
      <c r="J227" s="850"/>
      <c r="K227" s="850"/>
      <c r="L227" s="850"/>
      <c r="M227" s="850"/>
      <c r="N227" s="850"/>
    </row>
    <row r="228" spans="1:14" ht="14.1" customHeight="1" x14ac:dyDescent="0.45">
      <c r="A228" s="850"/>
      <c r="B228" s="850"/>
      <c r="C228" s="850"/>
      <c r="D228" s="850"/>
      <c r="E228" s="850"/>
      <c r="F228" s="850"/>
      <c r="G228" s="850"/>
      <c r="H228" s="850"/>
      <c r="I228" s="850"/>
      <c r="J228" s="850"/>
      <c r="K228" s="850"/>
      <c r="L228" s="850"/>
      <c r="M228" s="850"/>
      <c r="N228" s="850"/>
    </row>
    <row r="229" spans="1:14" ht="14.1" customHeight="1" x14ac:dyDescent="0.45">
      <c r="A229" s="850"/>
      <c r="B229" s="850"/>
      <c r="C229" s="850"/>
      <c r="D229" s="850"/>
      <c r="E229" s="850"/>
      <c r="F229" s="850"/>
      <c r="G229" s="850"/>
      <c r="H229" s="850"/>
      <c r="I229" s="850"/>
      <c r="J229" s="850"/>
      <c r="K229" s="850"/>
      <c r="L229" s="850"/>
      <c r="M229" s="850"/>
      <c r="N229" s="850"/>
    </row>
    <row r="230" spans="1:14" ht="14.1" customHeight="1" x14ac:dyDescent="0.45">
      <c r="A230" s="850"/>
      <c r="B230" s="850"/>
      <c r="C230" s="850"/>
      <c r="D230" s="850"/>
      <c r="E230" s="850"/>
      <c r="F230" s="850"/>
      <c r="G230" s="850"/>
      <c r="H230" s="850"/>
      <c r="I230" s="850"/>
      <c r="J230" s="850"/>
      <c r="K230" s="850"/>
      <c r="L230" s="850"/>
      <c r="M230" s="850"/>
      <c r="N230" s="850"/>
    </row>
    <row r="231" spans="1:14" ht="14.1" customHeight="1" x14ac:dyDescent="0.45">
      <c r="A231" s="850"/>
      <c r="B231" s="850"/>
      <c r="C231" s="850"/>
      <c r="D231" s="850"/>
      <c r="E231" s="850"/>
      <c r="F231" s="850"/>
      <c r="G231" s="850"/>
      <c r="H231" s="850"/>
      <c r="I231" s="850"/>
      <c r="J231" s="850"/>
      <c r="K231" s="850"/>
      <c r="L231" s="850"/>
      <c r="M231" s="850"/>
      <c r="N231" s="850"/>
    </row>
    <row r="232" spans="1:14" ht="14.1" customHeight="1" x14ac:dyDescent="0.45">
      <c r="A232" s="850"/>
      <c r="B232" s="850"/>
      <c r="C232" s="850"/>
      <c r="D232" s="850"/>
      <c r="E232" s="850"/>
      <c r="F232" s="850"/>
      <c r="G232" s="850"/>
      <c r="H232" s="850"/>
      <c r="I232" s="850"/>
      <c r="J232" s="850"/>
      <c r="K232" s="850"/>
      <c r="L232" s="850"/>
      <c r="M232" s="850"/>
      <c r="N232" s="850"/>
    </row>
    <row r="233" spans="1:14" ht="14.1" customHeight="1" x14ac:dyDescent="0.45">
      <c r="A233" s="850"/>
      <c r="B233" s="850"/>
      <c r="C233" s="850"/>
      <c r="D233" s="850"/>
      <c r="E233" s="850"/>
      <c r="F233" s="850"/>
      <c r="G233" s="850"/>
      <c r="H233" s="850"/>
      <c r="I233" s="850"/>
      <c r="J233" s="850"/>
      <c r="K233" s="850"/>
      <c r="L233" s="850"/>
      <c r="M233" s="850"/>
      <c r="N233" s="850"/>
    </row>
    <row r="234" spans="1:14" ht="14.1" customHeight="1" x14ac:dyDescent="0.45">
      <c r="A234" s="850"/>
      <c r="B234" s="850"/>
      <c r="C234" s="850"/>
      <c r="D234" s="850"/>
      <c r="E234" s="850"/>
      <c r="F234" s="850"/>
      <c r="G234" s="850"/>
      <c r="H234" s="850"/>
      <c r="I234" s="850"/>
      <c r="J234" s="850"/>
      <c r="K234" s="850"/>
      <c r="L234" s="850"/>
      <c r="M234" s="850"/>
      <c r="N234" s="850"/>
    </row>
    <row r="235" spans="1:14" ht="14.1" customHeight="1" x14ac:dyDescent="0.45">
      <c r="A235" s="850"/>
      <c r="B235" s="850"/>
      <c r="C235" s="850"/>
      <c r="D235" s="850"/>
      <c r="E235" s="850"/>
      <c r="F235" s="850"/>
      <c r="G235" s="850"/>
      <c r="H235" s="850"/>
      <c r="I235" s="850"/>
      <c r="J235" s="850"/>
      <c r="K235" s="850"/>
      <c r="L235" s="850"/>
      <c r="M235" s="850"/>
      <c r="N235" s="850"/>
    </row>
    <row r="236" spans="1:14" ht="14.1" customHeight="1" x14ac:dyDescent="0.45">
      <c r="A236" s="850"/>
      <c r="B236" s="850"/>
      <c r="C236" s="850"/>
      <c r="D236" s="850"/>
      <c r="E236" s="850"/>
      <c r="F236" s="850"/>
      <c r="G236" s="850"/>
      <c r="H236" s="850"/>
      <c r="I236" s="850"/>
      <c r="J236" s="850"/>
      <c r="K236" s="850"/>
      <c r="L236" s="850"/>
      <c r="M236" s="850"/>
      <c r="N236" s="850"/>
    </row>
    <row r="237" spans="1:14" ht="14.1" customHeight="1" x14ac:dyDescent="0.45">
      <c r="A237" s="850"/>
      <c r="B237" s="850"/>
      <c r="C237" s="850"/>
      <c r="D237" s="850"/>
      <c r="E237" s="850"/>
      <c r="F237" s="850"/>
      <c r="G237" s="850"/>
      <c r="H237" s="850"/>
      <c r="I237" s="850"/>
      <c r="J237" s="850"/>
      <c r="K237" s="850"/>
      <c r="L237" s="850"/>
      <c r="M237" s="850"/>
      <c r="N237" s="850"/>
    </row>
    <row r="238" spans="1:14" ht="14.1" customHeight="1" x14ac:dyDescent="0.45">
      <c r="A238" s="850"/>
      <c r="B238" s="850"/>
      <c r="C238" s="850"/>
      <c r="D238" s="850"/>
      <c r="E238" s="850"/>
      <c r="F238" s="850"/>
      <c r="G238" s="850"/>
      <c r="H238" s="850"/>
      <c r="I238" s="850"/>
      <c r="J238" s="850"/>
      <c r="K238" s="850"/>
      <c r="L238" s="850"/>
      <c r="M238" s="850"/>
      <c r="N238" s="850"/>
    </row>
    <row r="239" spans="1:14" ht="14.1" customHeight="1" x14ac:dyDescent="0.45">
      <c r="A239" s="850"/>
      <c r="B239" s="850"/>
      <c r="C239" s="850"/>
      <c r="D239" s="850"/>
      <c r="E239" s="850"/>
      <c r="F239" s="850"/>
      <c r="G239" s="850"/>
      <c r="H239" s="850"/>
      <c r="I239" s="850"/>
      <c r="J239" s="850"/>
      <c r="K239" s="850"/>
      <c r="L239" s="850"/>
      <c r="M239" s="850"/>
      <c r="N239" s="850"/>
    </row>
    <row r="240" spans="1:14" ht="14.1" customHeight="1" x14ac:dyDescent="0.45">
      <c r="A240" s="850"/>
      <c r="B240" s="850"/>
      <c r="C240" s="850"/>
      <c r="D240" s="850"/>
      <c r="E240" s="850"/>
      <c r="F240" s="850"/>
      <c r="G240" s="850"/>
      <c r="H240" s="850"/>
      <c r="I240" s="850"/>
      <c r="J240" s="850"/>
      <c r="K240" s="850"/>
      <c r="L240" s="850"/>
      <c r="M240" s="850"/>
      <c r="N240" s="850"/>
    </row>
    <row r="241" spans="1:14" ht="14.1" customHeight="1" x14ac:dyDescent="0.45">
      <c r="A241" s="850"/>
      <c r="B241" s="850"/>
      <c r="C241" s="850"/>
      <c r="D241" s="850"/>
      <c r="E241" s="850"/>
      <c r="F241" s="850"/>
      <c r="G241" s="850"/>
      <c r="H241" s="850"/>
      <c r="I241" s="850"/>
      <c r="J241" s="850"/>
      <c r="K241" s="850"/>
      <c r="L241" s="850"/>
      <c r="M241" s="850"/>
      <c r="N241" s="850"/>
    </row>
    <row r="242" spans="1:14" ht="14.1" customHeight="1" x14ac:dyDescent="0.45">
      <c r="A242" s="850"/>
      <c r="B242" s="850"/>
      <c r="C242" s="850"/>
      <c r="D242" s="850"/>
      <c r="E242" s="850"/>
      <c r="F242" s="850"/>
      <c r="G242" s="850"/>
      <c r="H242" s="850"/>
      <c r="I242" s="850"/>
      <c r="J242" s="850"/>
      <c r="K242" s="850"/>
      <c r="L242" s="850"/>
      <c r="M242" s="850"/>
      <c r="N242" s="850"/>
    </row>
    <row r="243" spans="1:14" ht="14.1" customHeight="1" x14ac:dyDescent="0.45">
      <c r="A243" s="850"/>
      <c r="B243" s="850"/>
      <c r="C243" s="850"/>
      <c r="D243" s="850"/>
      <c r="E243" s="850"/>
      <c r="F243" s="850"/>
      <c r="G243" s="850"/>
      <c r="H243" s="850"/>
      <c r="I243" s="850"/>
      <c r="J243" s="850"/>
      <c r="K243" s="850"/>
      <c r="L243" s="850"/>
      <c r="M243" s="850"/>
      <c r="N243" s="850"/>
    </row>
    <row r="244" spans="1:14" ht="14.1" customHeight="1" x14ac:dyDescent="0.45">
      <c r="A244" s="850"/>
      <c r="B244" s="850"/>
      <c r="C244" s="850"/>
      <c r="D244" s="850"/>
      <c r="E244" s="850"/>
      <c r="F244" s="850"/>
      <c r="G244" s="850"/>
      <c r="H244" s="850"/>
      <c r="I244" s="850"/>
      <c r="J244" s="850"/>
      <c r="K244" s="850"/>
      <c r="L244" s="850"/>
      <c r="M244" s="850"/>
      <c r="N244" s="850"/>
    </row>
    <row r="245" spans="1:14" ht="14.1" customHeight="1" x14ac:dyDescent="0.45">
      <c r="A245" s="850"/>
      <c r="B245" s="850"/>
      <c r="C245" s="850"/>
      <c r="D245" s="850"/>
      <c r="E245" s="850"/>
      <c r="F245" s="850"/>
      <c r="G245" s="850"/>
      <c r="H245" s="850"/>
      <c r="I245" s="850"/>
      <c r="J245" s="850"/>
      <c r="K245" s="850"/>
      <c r="L245" s="850"/>
      <c r="M245" s="850"/>
      <c r="N245" s="850"/>
    </row>
    <row r="246" spans="1:14" ht="14.1" customHeight="1" x14ac:dyDescent="0.45">
      <c r="A246" s="850"/>
      <c r="B246" s="850"/>
      <c r="C246" s="850"/>
      <c r="D246" s="850"/>
      <c r="E246" s="850"/>
      <c r="F246" s="850"/>
      <c r="G246" s="850"/>
      <c r="H246" s="850"/>
      <c r="I246" s="850"/>
      <c r="J246" s="850"/>
      <c r="K246" s="850"/>
      <c r="L246" s="850"/>
      <c r="M246" s="850"/>
      <c r="N246" s="850"/>
    </row>
    <row r="247" spans="1:14" ht="14.1" customHeight="1" x14ac:dyDescent="0.45">
      <c r="A247" s="850"/>
      <c r="B247" s="850"/>
      <c r="C247" s="850"/>
      <c r="D247" s="850"/>
      <c r="E247" s="850"/>
      <c r="F247" s="850"/>
      <c r="G247" s="850"/>
      <c r="H247" s="850"/>
      <c r="I247" s="850"/>
      <c r="J247" s="850"/>
      <c r="K247" s="850"/>
      <c r="L247" s="850"/>
      <c r="M247" s="850"/>
      <c r="N247" s="850"/>
    </row>
    <row r="248" spans="1:14" ht="14.1" customHeight="1" x14ac:dyDescent="0.45">
      <c r="A248" s="850"/>
      <c r="B248" s="850"/>
      <c r="C248" s="850"/>
      <c r="D248" s="850"/>
      <c r="E248" s="850"/>
      <c r="F248" s="850"/>
      <c r="G248" s="850"/>
      <c r="H248" s="850"/>
      <c r="I248" s="850"/>
      <c r="J248" s="850"/>
      <c r="K248" s="850"/>
      <c r="L248" s="850"/>
      <c r="M248" s="850"/>
      <c r="N248" s="850"/>
    </row>
    <row r="249" spans="1:14" ht="14.1" customHeight="1" x14ac:dyDescent="0.45">
      <c r="A249" s="850"/>
      <c r="B249" s="850"/>
      <c r="C249" s="850"/>
      <c r="D249" s="850"/>
      <c r="E249" s="850"/>
      <c r="F249" s="850"/>
      <c r="G249" s="850"/>
      <c r="H249" s="850"/>
      <c r="I249" s="850"/>
      <c r="J249" s="850"/>
      <c r="K249" s="850"/>
      <c r="L249" s="850"/>
      <c r="M249" s="850"/>
      <c r="N249" s="850"/>
    </row>
    <row r="250" spans="1:14" ht="14.1" customHeight="1" x14ac:dyDescent="0.45">
      <c r="A250" s="850"/>
      <c r="B250" s="850"/>
      <c r="C250" s="850"/>
      <c r="D250" s="850"/>
      <c r="E250" s="850"/>
      <c r="F250" s="850"/>
      <c r="G250" s="850"/>
      <c r="H250" s="850"/>
      <c r="I250" s="850"/>
      <c r="J250" s="850"/>
      <c r="K250" s="850"/>
      <c r="L250" s="850"/>
      <c r="M250" s="850"/>
      <c r="N250" s="850"/>
    </row>
    <row r="251" spans="1:14" ht="14.1" customHeight="1" x14ac:dyDescent="0.45">
      <c r="A251" s="850"/>
      <c r="B251" s="850"/>
      <c r="C251" s="850"/>
      <c r="D251" s="850"/>
      <c r="E251" s="850"/>
      <c r="F251" s="850"/>
      <c r="G251" s="850"/>
      <c r="H251" s="850"/>
      <c r="I251" s="850"/>
      <c r="J251" s="850"/>
      <c r="K251" s="850"/>
      <c r="L251" s="850"/>
      <c r="M251" s="850"/>
      <c r="N251" s="850"/>
    </row>
    <row r="252" spans="1:14" ht="14.1" customHeight="1" x14ac:dyDescent="0.45">
      <c r="A252" s="850"/>
      <c r="B252" s="850"/>
      <c r="C252" s="850"/>
      <c r="D252" s="850"/>
      <c r="E252" s="850"/>
      <c r="F252" s="850"/>
      <c r="G252" s="850"/>
      <c r="H252" s="850"/>
      <c r="I252" s="850"/>
      <c r="J252" s="850"/>
      <c r="K252" s="850"/>
      <c r="L252" s="850"/>
      <c r="M252" s="850"/>
      <c r="N252" s="850"/>
    </row>
    <row r="253" spans="1:14" ht="14.1" customHeight="1" x14ac:dyDescent="0.45">
      <c r="A253" s="850"/>
      <c r="B253" s="850"/>
      <c r="C253" s="850"/>
      <c r="D253" s="850"/>
      <c r="E253" s="850"/>
      <c r="F253" s="850"/>
      <c r="G253" s="850"/>
      <c r="H253" s="850"/>
      <c r="I253" s="850"/>
      <c r="J253" s="850"/>
      <c r="K253" s="850"/>
      <c r="L253" s="850"/>
      <c r="M253" s="850"/>
      <c r="N253" s="850"/>
    </row>
    <row r="254" spans="1:14" ht="14.1" customHeight="1" x14ac:dyDescent="0.45">
      <c r="A254" s="850"/>
      <c r="B254" s="850"/>
      <c r="C254" s="850"/>
      <c r="D254" s="850"/>
      <c r="E254" s="850"/>
      <c r="F254" s="850"/>
      <c r="G254" s="850"/>
      <c r="H254" s="850"/>
      <c r="I254" s="850"/>
      <c r="J254" s="850"/>
      <c r="K254" s="850"/>
      <c r="L254" s="850"/>
      <c r="M254" s="850"/>
      <c r="N254" s="850"/>
    </row>
    <row r="255" spans="1:14" ht="14.1" customHeight="1" x14ac:dyDescent="0.45">
      <c r="A255" s="850"/>
      <c r="B255" s="850"/>
      <c r="C255" s="850"/>
      <c r="D255" s="850"/>
      <c r="E255" s="850"/>
      <c r="F255" s="850"/>
      <c r="G255" s="850"/>
      <c r="H255" s="850"/>
      <c r="I255" s="850"/>
      <c r="J255" s="850"/>
      <c r="K255" s="850"/>
      <c r="L255" s="850"/>
      <c r="M255" s="850"/>
      <c r="N255" s="850"/>
    </row>
    <row r="256" spans="1:14" ht="14.1" customHeight="1" x14ac:dyDescent="0.45">
      <c r="A256" s="850"/>
      <c r="B256" s="850"/>
      <c r="C256" s="850"/>
      <c r="D256" s="850"/>
      <c r="E256" s="850"/>
      <c r="F256" s="850"/>
      <c r="G256" s="850"/>
      <c r="H256" s="850"/>
      <c r="I256" s="850"/>
      <c r="J256" s="850"/>
      <c r="K256" s="850"/>
      <c r="L256" s="850"/>
      <c r="M256" s="850"/>
      <c r="N256" s="850"/>
    </row>
    <row r="257" spans="1:14" ht="14.1" customHeight="1" x14ac:dyDescent="0.45">
      <c r="A257" s="850"/>
      <c r="B257" s="850"/>
      <c r="C257" s="850"/>
      <c r="D257" s="850"/>
      <c r="E257" s="850"/>
      <c r="F257" s="850"/>
      <c r="G257" s="850"/>
      <c r="H257" s="850"/>
      <c r="I257" s="850"/>
      <c r="J257" s="850"/>
      <c r="K257" s="850"/>
      <c r="L257" s="850"/>
      <c r="M257" s="850"/>
      <c r="N257" s="850"/>
    </row>
    <row r="258" spans="1:14" ht="14.1" customHeight="1" x14ac:dyDescent="0.45">
      <c r="A258" s="850"/>
      <c r="B258" s="850"/>
      <c r="C258" s="850"/>
      <c r="D258" s="850"/>
      <c r="E258" s="850"/>
      <c r="F258" s="850"/>
      <c r="G258" s="850"/>
      <c r="H258" s="850"/>
      <c r="I258" s="850"/>
      <c r="J258" s="850"/>
      <c r="K258" s="850"/>
      <c r="L258" s="850"/>
      <c r="M258" s="850"/>
      <c r="N258" s="850"/>
    </row>
    <row r="259" spans="1:14" ht="14.1" customHeight="1" x14ac:dyDescent="0.45">
      <c r="A259" s="850"/>
      <c r="B259" s="850"/>
      <c r="C259" s="850"/>
      <c r="D259" s="850"/>
      <c r="E259" s="850"/>
      <c r="F259" s="850"/>
      <c r="G259" s="850"/>
      <c r="H259" s="850"/>
      <c r="I259" s="850"/>
      <c r="J259" s="850"/>
      <c r="K259" s="850"/>
      <c r="L259" s="850"/>
      <c r="M259" s="850"/>
      <c r="N259" s="850"/>
    </row>
    <row r="260" spans="1:14" ht="14.1" customHeight="1" x14ac:dyDescent="0.45">
      <c r="A260" s="850"/>
      <c r="B260" s="850"/>
      <c r="C260" s="850"/>
      <c r="D260" s="850"/>
      <c r="E260" s="850"/>
      <c r="F260" s="850"/>
      <c r="G260" s="850"/>
      <c r="H260" s="850"/>
      <c r="I260" s="850"/>
      <c r="J260" s="850"/>
      <c r="K260" s="850"/>
      <c r="L260" s="850"/>
      <c r="M260" s="850"/>
      <c r="N260" s="850"/>
    </row>
    <row r="261" spans="1:14" ht="14.1" customHeight="1" x14ac:dyDescent="0.45">
      <c r="A261" s="850"/>
      <c r="B261" s="850"/>
      <c r="C261" s="850"/>
      <c r="D261" s="850"/>
      <c r="E261" s="850"/>
      <c r="F261" s="850"/>
      <c r="G261" s="850"/>
      <c r="H261" s="850"/>
      <c r="I261" s="850"/>
      <c r="J261" s="850"/>
      <c r="K261" s="850"/>
      <c r="L261" s="850"/>
      <c r="M261" s="850"/>
      <c r="N261" s="850"/>
    </row>
    <row r="262" spans="1:14" ht="14.1" customHeight="1" x14ac:dyDescent="0.45">
      <c r="A262" s="850"/>
      <c r="B262" s="850"/>
      <c r="C262" s="850"/>
      <c r="D262" s="850"/>
      <c r="E262" s="850"/>
      <c r="F262" s="850"/>
      <c r="G262" s="850"/>
      <c r="H262" s="850"/>
      <c r="I262" s="850"/>
      <c r="J262" s="850"/>
      <c r="K262" s="850"/>
      <c r="L262" s="850"/>
      <c r="M262" s="850"/>
      <c r="N262" s="850"/>
    </row>
    <row r="263" spans="1:14" ht="14.1" customHeight="1" x14ac:dyDescent="0.45">
      <c r="A263" s="850"/>
      <c r="B263" s="850"/>
      <c r="C263" s="850"/>
      <c r="D263" s="850"/>
      <c r="E263" s="850"/>
      <c r="F263" s="850"/>
      <c r="G263" s="850"/>
      <c r="H263" s="850"/>
      <c r="I263" s="850"/>
      <c r="J263" s="850"/>
      <c r="K263" s="850"/>
      <c r="L263" s="850"/>
      <c r="M263" s="850"/>
      <c r="N263" s="850"/>
    </row>
    <row r="264" spans="1:14" ht="14.1" customHeight="1" x14ac:dyDescent="0.45">
      <c r="A264" s="850"/>
      <c r="B264" s="850"/>
      <c r="C264" s="850"/>
      <c r="D264" s="850"/>
      <c r="E264" s="850"/>
      <c r="F264" s="850"/>
      <c r="G264" s="850"/>
      <c r="H264" s="850"/>
      <c r="I264" s="850"/>
      <c r="J264" s="850"/>
      <c r="K264" s="850"/>
      <c r="L264" s="850"/>
      <c r="M264" s="850"/>
      <c r="N264" s="850"/>
    </row>
    <row r="265" spans="1:14" ht="14.1" customHeight="1" x14ac:dyDescent="0.45">
      <c r="A265" s="850"/>
      <c r="B265" s="850"/>
      <c r="C265" s="850"/>
      <c r="D265" s="850"/>
      <c r="E265" s="850"/>
      <c r="F265" s="850"/>
      <c r="G265" s="850"/>
      <c r="H265" s="850"/>
      <c r="I265" s="850"/>
      <c r="J265" s="850"/>
      <c r="K265" s="850"/>
      <c r="L265" s="850"/>
      <c r="M265" s="850"/>
      <c r="N265" s="850"/>
    </row>
    <row r="266" spans="1:14" ht="14.1" customHeight="1" x14ac:dyDescent="0.45">
      <c r="A266" s="850"/>
      <c r="B266" s="850"/>
      <c r="C266" s="850"/>
      <c r="D266" s="850"/>
      <c r="E266" s="850"/>
      <c r="F266" s="850"/>
      <c r="G266" s="850"/>
      <c r="H266" s="850"/>
      <c r="I266" s="850"/>
      <c r="J266" s="850"/>
      <c r="K266" s="850"/>
      <c r="L266" s="850"/>
      <c r="M266" s="850"/>
      <c r="N266" s="850"/>
    </row>
    <row r="267" spans="1:14" ht="14.1" customHeight="1" x14ac:dyDescent="0.45">
      <c r="A267" s="850"/>
      <c r="B267" s="850"/>
      <c r="C267" s="850"/>
      <c r="D267" s="850"/>
      <c r="E267" s="850"/>
      <c r="F267" s="850"/>
      <c r="G267" s="850"/>
      <c r="H267" s="850"/>
      <c r="I267" s="850"/>
      <c r="J267" s="850"/>
      <c r="K267" s="850"/>
      <c r="L267" s="850"/>
      <c r="M267" s="850"/>
      <c r="N267" s="850"/>
    </row>
    <row r="268" spans="1:14" ht="14.1" customHeight="1" x14ac:dyDescent="0.45">
      <c r="A268" s="850"/>
      <c r="B268" s="850"/>
      <c r="C268" s="850"/>
      <c r="D268" s="850"/>
      <c r="E268" s="850"/>
      <c r="F268" s="850"/>
      <c r="G268" s="850"/>
      <c r="H268" s="850"/>
      <c r="I268" s="850"/>
      <c r="J268" s="850"/>
      <c r="K268" s="850"/>
      <c r="L268" s="850"/>
      <c r="M268" s="850"/>
      <c r="N268" s="850"/>
    </row>
    <row r="269" spans="1:14" ht="14.1" customHeight="1" x14ac:dyDescent="0.45">
      <c r="A269" s="850"/>
      <c r="B269" s="850"/>
      <c r="C269" s="850"/>
      <c r="D269" s="850"/>
      <c r="E269" s="850"/>
      <c r="F269" s="850"/>
      <c r="G269" s="850"/>
      <c r="H269" s="850"/>
      <c r="I269" s="850"/>
      <c r="J269" s="850"/>
      <c r="K269" s="850"/>
      <c r="L269" s="850"/>
      <c r="M269" s="850"/>
      <c r="N269" s="850"/>
    </row>
    <row r="270" spans="1:14" ht="14.1" customHeight="1" x14ac:dyDescent="0.45">
      <c r="A270" s="850"/>
      <c r="B270" s="850"/>
      <c r="C270" s="850"/>
      <c r="D270" s="850"/>
      <c r="E270" s="850"/>
      <c r="F270" s="850"/>
      <c r="G270" s="850"/>
      <c r="H270" s="850"/>
      <c r="I270" s="850"/>
      <c r="J270" s="850"/>
      <c r="K270" s="850"/>
      <c r="L270" s="850"/>
      <c r="M270" s="850"/>
      <c r="N270" s="850"/>
    </row>
    <row r="271" spans="1:14" ht="14.1" customHeight="1" x14ac:dyDescent="0.45">
      <c r="A271" s="850"/>
      <c r="B271" s="850"/>
      <c r="C271" s="850"/>
      <c r="D271" s="850"/>
      <c r="E271" s="850"/>
      <c r="F271" s="850"/>
      <c r="G271" s="850"/>
      <c r="H271" s="850"/>
      <c r="I271" s="850"/>
      <c r="J271" s="850"/>
      <c r="K271" s="850"/>
      <c r="L271" s="850"/>
      <c r="M271" s="850"/>
      <c r="N271" s="850"/>
    </row>
    <row r="272" spans="1:14" ht="14.1" customHeight="1" x14ac:dyDescent="0.45">
      <c r="A272" s="850"/>
      <c r="B272" s="850"/>
      <c r="C272" s="850"/>
      <c r="D272" s="850"/>
      <c r="E272" s="850"/>
      <c r="F272" s="850"/>
      <c r="G272" s="850"/>
      <c r="H272" s="850"/>
      <c r="I272" s="850"/>
      <c r="J272" s="850"/>
      <c r="K272" s="850"/>
      <c r="L272" s="850"/>
      <c r="M272" s="850"/>
      <c r="N272" s="850"/>
    </row>
    <row r="273" spans="1:14" ht="14.1" customHeight="1" x14ac:dyDescent="0.45">
      <c r="A273" s="850"/>
      <c r="B273" s="850"/>
      <c r="C273" s="850"/>
      <c r="D273" s="850"/>
      <c r="E273" s="850"/>
      <c r="F273" s="850"/>
      <c r="G273" s="850"/>
      <c r="H273" s="850"/>
      <c r="I273" s="850"/>
      <c r="J273" s="850"/>
      <c r="K273" s="850"/>
      <c r="L273" s="850"/>
      <c r="M273" s="850"/>
      <c r="N273" s="850"/>
    </row>
    <row r="274" spans="1:14" ht="14.1" customHeight="1" x14ac:dyDescent="0.45">
      <c r="A274" s="850"/>
      <c r="B274" s="850"/>
      <c r="C274" s="850"/>
      <c r="D274" s="850"/>
      <c r="E274" s="850"/>
      <c r="F274" s="850"/>
      <c r="G274" s="850"/>
      <c r="H274" s="850"/>
      <c r="I274" s="850"/>
      <c r="J274" s="850"/>
      <c r="K274" s="850"/>
      <c r="L274" s="850"/>
      <c r="M274" s="850"/>
      <c r="N274" s="850"/>
    </row>
    <row r="275" spans="1:14" ht="14.1" customHeight="1" x14ac:dyDescent="0.45">
      <c r="A275" s="850"/>
      <c r="B275" s="850"/>
      <c r="C275" s="850"/>
      <c r="D275" s="850"/>
      <c r="E275" s="850"/>
      <c r="F275" s="850"/>
      <c r="G275" s="850"/>
      <c r="H275" s="850"/>
      <c r="I275" s="850"/>
      <c r="J275" s="850"/>
      <c r="K275" s="850"/>
      <c r="L275" s="850"/>
      <c r="M275" s="850"/>
      <c r="N275" s="850"/>
    </row>
    <row r="276" spans="1:14" ht="14.1" customHeight="1" x14ac:dyDescent="0.45">
      <c r="A276" s="850"/>
      <c r="B276" s="850"/>
      <c r="C276" s="850"/>
      <c r="D276" s="850"/>
      <c r="E276" s="850"/>
      <c r="F276" s="850"/>
      <c r="G276" s="850"/>
      <c r="H276" s="850"/>
      <c r="I276" s="850"/>
      <c r="J276" s="850"/>
      <c r="K276" s="850"/>
      <c r="L276" s="850"/>
      <c r="M276" s="850"/>
      <c r="N276" s="850"/>
    </row>
    <row r="277" spans="1:14" ht="14.1" customHeight="1" x14ac:dyDescent="0.45">
      <c r="A277" s="850"/>
      <c r="B277" s="850"/>
      <c r="C277" s="850"/>
      <c r="D277" s="850"/>
      <c r="E277" s="850"/>
      <c r="F277" s="850"/>
      <c r="G277" s="850"/>
      <c r="H277" s="850"/>
      <c r="I277" s="850"/>
      <c r="J277" s="850"/>
      <c r="K277" s="850"/>
      <c r="L277" s="850"/>
      <c r="M277" s="850"/>
      <c r="N277" s="850"/>
    </row>
    <row r="278" spans="1:14" ht="14.1" customHeight="1" x14ac:dyDescent="0.45">
      <c r="A278" s="850"/>
      <c r="B278" s="850"/>
      <c r="C278" s="850"/>
      <c r="D278" s="850"/>
      <c r="E278" s="850"/>
      <c r="F278" s="850"/>
      <c r="G278" s="850"/>
      <c r="H278" s="850"/>
      <c r="I278" s="850"/>
      <c r="J278" s="850"/>
      <c r="K278" s="850"/>
      <c r="L278" s="850"/>
      <c r="M278" s="850"/>
      <c r="N278" s="850"/>
    </row>
    <row r="279" spans="1:14" ht="14.1" customHeight="1" x14ac:dyDescent="0.45">
      <c r="A279" s="850"/>
      <c r="B279" s="850"/>
      <c r="C279" s="850"/>
      <c r="D279" s="850"/>
      <c r="E279" s="850"/>
      <c r="F279" s="850"/>
      <c r="G279" s="850"/>
      <c r="H279" s="850"/>
      <c r="I279" s="850"/>
      <c r="J279" s="850"/>
      <c r="K279" s="850"/>
      <c r="L279" s="850"/>
      <c r="M279" s="850"/>
      <c r="N279" s="850"/>
    </row>
    <row r="280" spans="1:14" ht="14.1" customHeight="1" x14ac:dyDescent="0.45">
      <c r="A280" s="850"/>
      <c r="B280" s="850"/>
      <c r="C280" s="850"/>
      <c r="D280" s="850"/>
      <c r="E280" s="850"/>
      <c r="F280" s="850"/>
      <c r="G280" s="850"/>
      <c r="H280" s="850"/>
      <c r="I280" s="850"/>
      <c r="J280" s="850"/>
      <c r="K280" s="850"/>
      <c r="L280" s="850"/>
      <c r="M280" s="850"/>
      <c r="N280" s="850"/>
    </row>
    <row r="281" spans="1:14" ht="14.1" customHeight="1" x14ac:dyDescent="0.45">
      <c r="A281" s="850"/>
      <c r="B281" s="850"/>
      <c r="C281" s="850"/>
      <c r="D281" s="850"/>
      <c r="E281" s="850"/>
      <c r="F281" s="850"/>
      <c r="G281" s="850"/>
      <c r="H281" s="850"/>
      <c r="I281" s="850"/>
      <c r="J281" s="850"/>
      <c r="K281" s="850"/>
      <c r="L281" s="850"/>
      <c r="M281" s="850"/>
      <c r="N281" s="850"/>
    </row>
    <row r="282" spans="1:14" ht="14.1" customHeight="1" x14ac:dyDescent="0.45">
      <c r="A282" s="850"/>
      <c r="B282" s="850"/>
      <c r="C282" s="850"/>
      <c r="D282" s="850"/>
      <c r="E282" s="850"/>
      <c r="F282" s="850"/>
      <c r="G282" s="850"/>
      <c r="H282" s="850"/>
      <c r="I282" s="850"/>
      <c r="J282" s="850"/>
      <c r="K282" s="850"/>
      <c r="L282" s="850"/>
      <c r="M282" s="850"/>
      <c r="N282" s="850"/>
    </row>
    <row r="283" spans="1:14" ht="14.1" customHeight="1" x14ac:dyDescent="0.45">
      <c r="A283" s="850"/>
      <c r="B283" s="850"/>
      <c r="C283" s="850"/>
      <c r="D283" s="850"/>
      <c r="E283" s="850"/>
      <c r="F283" s="850"/>
      <c r="G283" s="850"/>
      <c r="H283" s="850"/>
      <c r="I283" s="850"/>
      <c r="J283" s="850"/>
      <c r="K283" s="850"/>
      <c r="L283" s="850"/>
      <c r="M283" s="850"/>
      <c r="N283" s="850"/>
    </row>
    <row r="284" spans="1:14" ht="14.1" customHeight="1" x14ac:dyDescent="0.45">
      <c r="A284" s="850"/>
      <c r="B284" s="850"/>
      <c r="C284" s="850"/>
      <c r="D284" s="850"/>
      <c r="E284" s="850"/>
      <c r="F284" s="850"/>
      <c r="G284" s="850"/>
      <c r="H284" s="850"/>
      <c r="I284" s="850"/>
      <c r="J284" s="850"/>
      <c r="K284" s="850"/>
      <c r="L284" s="850"/>
      <c r="M284" s="850"/>
      <c r="N284" s="850"/>
    </row>
    <row r="285" spans="1:14" ht="14.1" customHeight="1" x14ac:dyDescent="0.45">
      <c r="A285" s="850"/>
      <c r="B285" s="850"/>
      <c r="C285" s="850"/>
      <c r="D285" s="850"/>
      <c r="E285" s="850"/>
      <c r="F285" s="850"/>
      <c r="G285" s="850"/>
      <c r="H285" s="850"/>
      <c r="I285" s="850"/>
      <c r="J285" s="850"/>
      <c r="K285" s="850"/>
      <c r="L285" s="850"/>
      <c r="M285" s="850"/>
      <c r="N285" s="850"/>
    </row>
    <row r="286" spans="1:14" ht="14.1" customHeight="1" x14ac:dyDescent="0.45">
      <c r="A286" s="850"/>
      <c r="B286" s="850"/>
      <c r="C286" s="850"/>
      <c r="D286" s="850"/>
      <c r="E286" s="850"/>
      <c r="F286" s="850"/>
      <c r="G286" s="850"/>
      <c r="H286" s="850"/>
      <c r="I286" s="850"/>
      <c r="J286" s="850"/>
      <c r="K286" s="850"/>
      <c r="L286" s="850"/>
      <c r="M286" s="850"/>
      <c r="N286" s="850"/>
    </row>
    <row r="287" spans="1:14" ht="14.1" customHeight="1" x14ac:dyDescent="0.45">
      <c r="A287" s="850"/>
      <c r="B287" s="850"/>
      <c r="C287" s="850"/>
      <c r="D287" s="850"/>
      <c r="E287" s="850"/>
      <c r="F287" s="850"/>
      <c r="G287" s="850"/>
      <c r="H287" s="850"/>
      <c r="I287" s="850"/>
      <c r="J287" s="850"/>
      <c r="K287" s="850"/>
      <c r="L287" s="850"/>
      <c r="M287" s="850"/>
      <c r="N287" s="850"/>
    </row>
    <row r="288" spans="1:14" ht="14.1" customHeight="1" x14ac:dyDescent="0.45">
      <c r="A288" s="850"/>
      <c r="B288" s="850"/>
      <c r="C288" s="850"/>
      <c r="D288" s="850"/>
      <c r="E288" s="850"/>
      <c r="F288" s="850"/>
      <c r="G288" s="850"/>
      <c r="H288" s="850"/>
      <c r="I288" s="850"/>
      <c r="J288" s="850"/>
      <c r="K288" s="850"/>
      <c r="L288" s="850"/>
      <c r="M288" s="850"/>
      <c r="N288" s="850"/>
    </row>
    <row r="289" spans="1:14" ht="14.1" customHeight="1" x14ac:dyDescent="0.45">
      <c r="A289" s="850"/>
      <c r="B289" s="850"/>
      <c r="C289" s="850"/>
      <c r="D289" s="850"/>
      <c r="E289" s="850"/>
      <c r="F289" s="850"/>
      <c r="G289" s="850"/>
      <c r="H289" s="850"/>
      <c r="I289" s="850"/>
      <c r="J289" s="850"/>
      <c r="K289" s="850"/>
      <c r="L289" s="850"/>
      <c r="M289" s="850"/>
      <c r="N289" s="850"/>
    </row>
    <row r="290" spans="1:14" ht="14.1" customHeight="1" x14ac:dyDescent="0.45">
      <c r="A290" s="850"/>
      <c r="B290" s="850"/>
      <c r="C290" s="850"/>
      <c r="D290" s="850"/>
      <c r="E290" s="850"/>
      <c r="F290" s="850"/>
      <c r="G290" s="850"/>
      <c r="H290" s="850"/>
      <c r="I290" s="850"/>
      <c r="J290" s="850"/>
      <c r="K290" s="850"/>
      <c r="L290" s="850"/>
      <c r="M290" s="850"/>
      <c r="N290" s="850"/>
    </row>
    <row r="291" spans="1:14" ht="14.1" customHeight="1" x14ac:dyDescent="0.45">
      <c r="A291" s="850"/>
      <c r="B291" s="850"/>
      <c r="C291" s="850"/>
      <c r="D291" s="850"/>
      <c r="E291" s="850"/>
      <c r="F291" s="850"/>
      <c r="G291" s="850"/>
      <c r="H291" s="850"/>
      <c r="I291" s="850"/>
      <c r="J291" s="850"/>
      <c r="K291" s="850"/>
      <c r="L291" s="850"/>
      <c r="M291" s="850"/>
      <c r="N291" s="850"/>
    </row>
    <row r="292" spans="1:14" ht="14.1" customHeight="1" x14ac:dyDescent="0.45">
      <c r="A292" s="850"/>
      <c r="B292" s="850"/>
      <c r="C292" s="850"/>
      <c r="D292" s="850"/>
      <c r="E292" s="850"/>
      <c r="F292" s="850"/>
      <c r="G292" s="850"/>
      <c r="H292" s="850"/>
      <c r="I292" s="850"/>
      <c r="J292" s="850"/>
      <c r="K292" s="850"/>
      <c r="L292" s="850"/>
      <c r="M292" s="850"/>
      <c r="N292" s="850"/>
    </row>
    <row r="293" spans="1:14" ht="14.1" customHeight="1" x14ac:dyDescent="0.45">
      <c r="A293" s="850"/>
      <c r="B293" s="850"/>
      <c r="C293" s="850"/>
      <c r="D293" s="850"/>
      <c r="E293" s="850"/>
      <c r="F293" s="850"/>
      <c r="G293" s="850"/>
      <c r="H293" s="850"/>
      <c r="I293" s="850"/>
      <c r="J293" s="850"/>
      <c r="K293" s="850"/>
      <c r="L293" s="850"/>
      <c r="M293" s="850"/>
      <c r="N293" s="850"/>
    </row>
    <row r="294" spans="1:14" ht="14.1" customHeight="1" x14ac:dyDescent="0.45">
      <c r="A294" s="850"/>
      <c r="B294" s="850"/>
      <c r="C294" s="850"/>
      <c r="D294" s="850"/>
      <c r="E294" s="850"/>
      <c r="F294" s="850"/>
      <c r="G294" s="850"/>
      <c r="H294" s="850"/>
      <c r="I294" s="850"/>
      <c r="J294" s="850"/>
      <c r="K294" s="850"/>
      <c r="L294" s="850"/>
      <c r="M294" s="850"/>
      <c r="N294" s="850"/>
    </row>
    <row r="295" spans="1:14" ht="14.1" customHeight="1" x14ac:dyDescent="0.45">
      <c r="A295" s="850"/>
      <c r="B295" s="850"/>
      <c r="C295" s="850"/>
      <c r="D295" s="850"/>
      <c r="E295" s="850"/>
      <c r="F295" s="850"/>
      <c r="G295" s="850"/>
      <c r="H295" s="850"/>
      <c r="I295" s="850"/>
      <c r="J295" s="850"/>
      <c r="K295" s="850"/>
      <c r="L295" s="850"/>
      <c r="M295" s="850"/>
      <c r="N295" s="850"/>
    </row>
    <row r="296" spans="1:14" ht="14.1" customHeight="1" x14ac:dyDescent="0.45">
      <c r="A296" s="850"/>
      <c r="B296" s="850"/>
      <c r="C296" s="850"/>
      <c r="D296" s="850"/>
      <c r="E296" s="850"/>
      <c r="F296" s="850"/>
      <c r="G296" s="850"/>
      <c r="H296" s="850"/>
      <c r="I296" s="850"/>
      <c r="J296" s="850"/>
      <c r="K296" s="850"/>
      <c r="L296" s="850"/>
      <c r="M296" s="850"/>
      <c r="N296" s="850"/>
    </row>
    <row r="297" spans="1:14" ht="14.1" customHeight="1" x14ac:dyDescent="0.45">
      <c r="A297" s="850"/>
      <c r="B297" s="850"/>
      <c r="C297" s="850"/>
      <c r="D297" s="850"/>
      <c r="E297" s="850"/>
      <c r="F297" s="850"/>
      <c r="G297" s="850"/>
      <c r="H297" s="850"/>
      <c r="I297" s="850"/>
      <c r="J297" s="850"/>
      <c r="K297" s="850"/>
      <c r="L297" s="850"/>
      <c r="M297" s="850"/>
      <c r="N297" s="850"/>
    </row>
    <row r="1039" ht="14.1" customHeight="1" collapsed="1" x14ac:dyDescent="0.45"/>
  </sheetData>
  <mergeCells count="75">
    <mergeCell ref="E15:F15"/>
    <mergeCell ref="E16:F16"/>
    <mergeCell ref="K2:N2"/>
    <mergeCell ref="A4:F4"/>
    <mergeCell ref="H4:M4"/>
    <mergeCell ref="L16:M16"/>
    <mergeCell ref="L9:M9"/>
    <mergeCell ref="L10:M10"/>
    <mergeCell ref="L11:M11"/>
    <mergeCell ref="L13:M13"/>
    <mergeCell ref="L14:M14"/>
    <mergeCell ref="A6:F6"/>
    <mergeCell ref="L7:N7"/>
    <mergeCell ref="A30:C30"/>
    <mergeCell ref="H20:M20"/>
    <mergeCell ref="A20:F21"/>
    <mergeCell ref="L17:M17"/>
    <mergeCell ref="E17:F17"/>
    <mergeCell ref="E18:F18"/>
    <mergeCell ref="A24:F25"/>
    <mergeCell ref="H21:M21"/>
    <mergeCell ref="H25:M25"/>
    <mergeCell ref="G148:H148"/>
    <mergeCell ref="F144:G144"/>
    <mergeCell ref="F145:G145"/>
    <mergeCell ref="F146:G146"/>
    <mergeCell ref="F147:G147"/>
    <mergeCell ref="F142:G142"/>
    <mergeCell ref="F143:G143"/>
    <mergeCell ref="H136:M147"/>
    <mergeCell ref="H106:M119"/>
    <mergeCell ref="A128:F128"/>
    <mergeCell ref="H128:M128"/>
    <mergeCell ref="A124:F124"/>
    <mergeCell ref="H131:M131"/>
    <mergeCell ref="H122:M124"/>
    <mergeCell ref="E106:F106"/>
    <mergeCell ref="E107:F107"/>
    <mergeCell ref="E108:F108"/>
    <mergeCell ref="E109:F109"/>
    <mergeCell ref="E79:F79"/>
    <mergeCell ref="G80:N98"/>
    <mergeCell ref="H133:M133"/>
    <mergeCell ref="F152:G152"/>
    <mergeCell ref="F153:G153"/>
    <mergeCell ref="A103:F103"/>
    <mergeCell ref="H103:N103"/>
    <mergeCell ref="A122:G122"/>
    <mergeCell ref="F136:G136"/>
    <mergeCell ref="F137:G137"/>
    <mergeCell ref="F138:G138"/>
    <mergeCell ref="F139:G139"/>
    <mergeCell ref="F140:G140"/>
    <mergeCell ref="F141:G141"/>
    <mergeCell ref="A133:F133"/>
    <mergeCell ref="A131:F131"/>
    <mergeCell ref="A170:F170"/>
    <mergeCell ref="H170:M170"/>
    <mergeCell ref="L164:M164"/>
    <mergeCell ref="F162:G162"/>
    <mergeCell ref="F163:G163"/>
    <mergeCell ref="F164:G164"/>
    <mergeCell ref="F165:G165"/>
    <mergeCell ref="G166:H166"/>
    <mergeCell ref="F161:G161"/>
    <mergeCell ref="I152:N157"/>
    <mergeCell ref="F154:G154"/>
    <mergeCell ref="A169:F169"/>
    <mergeCell ref="H169:M169"/>
    <mergeCell ref="F156:G156"/>
    <mergeCell ref="F157:G157"/>
    <mergeCell ref="F158:G158"/>
    <mergeCell ref="F159:G159"/>
    <mergeCell ref="F160:G160"/>
    <mergeCell ref="F155:G155"/>
  </mergeCells>
  <conditionalFormatting sqref="B56:N56">
    <cfRule type="cellIs" dxfId="25" priority="28" operator="lessThan">
      <formula>0</formula>
    </cfRule>
  </conditionalFormatting>
  <conditionalFormatting sqref="B61:N61">
    <cfRule type="cellIs" dxfId="24" priority="25" operator="lessThan">
      <formula>0</formula>
    </cfRule>
  </conditionalFormatting>
  <conditionalFormatting sqref="B66:N66">
    <cfRule type="cellIs" dxfId="23" priority="22" operator="lessThan">
      <formula>0</formula>
    </cfRule>
  </conditionalFormatting>
  <conditionalFormatting sqref="B68:N68">
    <cfRule type="cellIs" dxfId="22" priority="24" operator="lessThan">
      <formula>0</formula>
    </cfRule>
  </conditionalFormatting>
  <conditionalFormatting sqref="D107:D108 G109">
    <cfRule type="cellIs" dxfId="21" priority="5" operator="lessThan">
      <formula>0</formula>
    </cfRule>
    <cfRule type="cellIs" dxfId="20" priority="6" operator="greaterThan">
      <formula>1</formula>
    </cfRule>
  </conditionalFormatting>
  <conditionalFormatting sqref="E41 N46 F111:F114 F116:F118">
    <cfRule type="cellIs" dxfId="19" priority="27" operator="greaterThan">
      <formula>1</formula>
    </cfRule>
  </conditionalFormatting>
  <conditionalFormatting sqref="F136">
    <cfRule type="cellIs" dxfId="18" priority="4" operator="greaterThan">
      <formula>1</formula>
    </cfRule>
  </conditionalFormatting>
  <conditionalFormatting sqref="L11">
    <cfRule type="cellIs" dxfId="17" priority="1" operator="lessThan">
      <formula>1</formula>
    </cfRule>
    <cfRule type="cellIs" dxfId="16" priority="2" operator="greaterThan">
      <formula>1</formula>
    </cfRule>
    <cfRule type="cellIs" dxfId="15" priority="3" operator="greaterThan">
      <formula>1</formula>
    </cfRule>
  </conditionalFormatting>
  <conditionalFormatting sqref="L31:L41">
    <cfRule type="top10" dxfId="14" priority="11" percent="1" rank="10"/>
    <cfRule type="top10" dxfId="13" priority="12" percent="1" bottom="1" rank="10"/>
  </conditionalFormatting>
  <conditionalFormatting sqref="M32:M41">
    <cfRule type="cellIs" dxfId="12" priority="13" operator="equal">
      <formula>0</formula>
    </cfRule>
    <cfRule type="top10" dxfId="11" priority="17" percent="1" bottom="1" rank="10"/>
    <cfRule type="top10" dxfId="10" priority="18" percent="1" rank="10"/>
  </conditionalFormatting>
  <conditionalFormatting sqref="N32:N41">
    <cfRule type="cellIs" dxfId="9" priority="14" operator="equal">
      <formula>0</formula>
    </cfRule>
    <cfRule type="top10" dxfId="8" priority="15" percent="1" bottom="1" rank="10"/>
    <cfRule type="top10" dxfId="7" priority="16" percent="1" rank="10"/>
  </conditionalFormatting>
  <conditionalFormatting sqref="N49">
    <cfRule type="cellIs" dxfId="6" priority="23" operator="greaterThan">
      <formula>1</formula>
    </cfRule>
  </conditionalFormatting>
  <conditionalFormatting sqref="N52">
    <cfRule type="cellIs" dxfId="5" priority="26" operator="greaterThan">
      <formula>1</formula>
    </cfRule>
  </conditionalFormatting>
  <hyperlinks>
    <hyperlink ref="H5" r:id="rId1" xr:uid="{2DB1316A-D37E-4D56-938B-9587F26A8181}"/>
  </hyperlinks>
  <printOptions horizontalCentered="1"/>
  <pageMargins left="0.19685039370078741" right="0.11811023622047245" top="0.19685039370078741" bottom="0.11811023622047245" header="0.31496062992125984" footer="0.31496062992125984"/>
  <pageSetup paperSize="9" fitToHeight="3" orientation="portrait" r:id="rId2"/>
  <rowBreaks count="5" manualBreakCount="5">
    <brk id="21" max="16383" man="1"/>
    <brk id="42" max="16383" man="1"/>
    <brk id="99" max="16383" man="1"/>
    <brk id="124" max="16383" man="1"/>
    <brk id="148" max="16383" man="1"/>
  </rowBreaks>
  <colBreaks count="1" manualBreakCount="1">
    <brk id="14"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5C56-1637-4083-B9CE-A7CB618E3452}">
  <sheetPr>
    <tabColor theme="0" tint="-4.9989318521683403E-2"/>
  </sheetPr>
  <dimension ref="A1:P260"/>
  <sheetViews>
    <sheetView showGridLines="0" zoomScale="115" zoomScaleNormal="115" workbookViewId="0">
      <selection activeCell="E20" sqref="E20"/>
    </sheetView>
  </sheetViews>
  <sheetFormatPr baseColWidth="10" defaultRowHeight="14.25" outlineLevelRow="1" x14ac:dyDescent="0.45"/>
  <cols>
    <col min="1" max="1" width="8.53125" style="107" customWidth="1"/>
    <col min="2" max="2" width="25.53125" style="167" customWidth="1"/>
    <col min="3" max="3" width="15.86328125" customWidth="1"/>
    <col min="4" max="4" width="3.86328125" customWidth="1"/>
    <col min="5" max="8" width="10.86328125" customWidth="1"/>
    <col min="9" max="9" width="3.86328125" customWidth="1"/>
    <col min="10" max="11" width="10.86328125" customWidth="1"/>
    <col min="12" max="12" width="10.86328125" style="152" customWidth="1"/>
    <col min="13" max="13" width="12.86328125" customWidth="1"/>
    <col min="15" max="15" width="12.1328125" style="175" customWidth="1"/>
    <col min="16" max="16" width="12.86328125" style="175" customWidth="1"/>
  </cols>
  <sheetData>
    <row r="1" spans="1:16" ht="30" customHeight="1" x14ac:dyDescent="0.45">
      <c r="B1" s="108"/>
      <c r="C1" s="151"/>
      <c r="L1"/>
      <c r="O1" s="179"/>
      <c r="P1" s="168"/>
    </row>
    <row r="2" spans="1:16" s="153" customFormat="1" x14ac:dyDescent="0.45">
      <c r="A2" s="107"/>
      <c r="B2" s="170" t="s">
        <v>164</v>
      </c>
      <c r="C2" s="168"/>
      <c r="E2"/>
      <c r="F2"/>
      <c r="G2"/>
      <c r="H2"/>
      <c r="J2" s="123" t="s">
        <v>559</v>
      </c>
      <c r="K2" s="123" t="s">
        <v>559</v>
      </c>
      <c r="L2" s="123" t="s">
        <v>559</v>
      </c>
      <c r="M2" s="123" t="s">
        <v>559</v>
      </c>
      <c r="O2" s="127"/>
      <c r="P2" s="169"/>
    </row>
    <row r="3" spans="1:16" s="153" customFormat="1" x14ac:dyDescent="0.45">
      <c r="A3" s="107"/>
      <c r="B3" s="172"/>
      <c r="C3" s="168"/>
      <c r="E3" s="156"/>
      <c r="F3" s="107"/>
      <c r="G3" s="107"/>
      <c r="H3" s="107"/>
      <c r="J3" s="155">
        <v>7347</v>
      </c>
      <c r="K3" s="155">
        <v>8658</v>
      </c>
      <c r="L3" s="155">
        <v>9339</v>
      </c>
      <c r="M3" s="155">
        <v>3056</v>
      </c>
      <c r="O3" s="168"/>
      <c r="P3" s="169"/>
    </row>
    <row r="4" spans="1:16" s="174" customFormat="1" x14ac:dyDescent="0.45">
      <c r="A4" s="171"/>
      <c r="B4" s="172"/>
      <c r="C4" s="173"/>
      <c r="E4" s="1216" t="s">
        <v>817</v>
      </c>
      <c r="F4" s="1216">
        <v>0</v>
      </c>
      <c r="G4" s="1216">
        <v>0</v>
      </c>
      <c r="H4" s="1216">
        <v>0</v>
      </c>
      <c r="J4" s="1216" t="s">
        <v>816</v>
      </c>
      <c r="K4" s="1216">
        <v>0</v>
      </c>
      <c r="L4" s="1216">
        <v>0</v>
      </c>
      <c r="M4" s="1216">
        <v>0</v>
      </c>
      <c r="O4" s="168"/>
      <c r="P4" s="169"/>
    </row>
    <row r="5" spans="1:16" s="153" customFormat="1" x14ac:dyDescent="0.45">
      <c r="A5" s="107"/>
      <c r="B5" s="154" t="s">
        <v>818</v>
      </c>
      <c r="C5" s="157">
        <v>55</v>
      </c>
      <c r="D5" s="107"/>
      <c r="E5" s="158">
        <v>0.10885707329185421</v>
      </c>
      <c r="F5" s="158">
        <v>8.8638460143848435E-2</v>
      </c>
      <c r="G5" s="159">
        <v>1.3612006383599327</v>
      </c>
      <c r="H5" s="158">
        <v>0.48597506256371431</v>
      </c>
      <c r="I5" s="107"/>
      <c r="J5" s="160">
        <v>0.11192705079242819</v>
      </c>
      <c r="K5" s="160">
        <v>9.3472614326571613E-2</v>
      </c>
      <c r="L5" s="159">
        <v>1.3037934038092365</v>
      </c>
      <c r="M5" s="158">
        <v>0.48340181254005332</v>
      </c>
      <c r="O5" s="180"/>
      <c r="P5" s="180"/>
    </row>
    <row r="6" spans="1:16" s="153" customFormat="1" x14ac:dyDescent="0.45">
      <c r="A6" s="107"/>
      <c r="B6" s="154" t="s">
        <v>399</v>
      </c>
      <c r="C6" s="157">
        <v>1</v>
      </c>
      <c r="D6" s="107"/>
      <c r="E6" s="158">
        <v>-8.2869965592844637E-5</v>
      </c>
      <c r="F6" s="158">
        <v>-7.5864114746318547</v>
      </c>
      <c r="G6" s="159">
        <v>-2.0360564700157342</v>
      </c>
      <c r="H6" s="158">
        <v>-1045.2798213904937</v>
      </c>
      <c r="I6" s="107"/>
      <c r="J6" s="160">
        <v>6.3785419279639005E-4</v>
      </c>
      <c r="K6" s="160">
        <v>-7.5864114746318547</v>
      </c>
      <c r="L6" s="159">
        <v>-0.48619765656714714</v>
      </c>
      <c r="M6" s="158">
        <v>-1045.2798213904937</v>
      </c>
      <c r="O6" s="180"/>
      <c r="P6" s="180"/>
    </row>
    <row r="7" spans="1:16" s="153" customFormat="1" x14ac:dyDescent="0.45">
      <c r="A7" s="107"/>
      <c r="B7" s="154" t="s">
        <v>400</v>
      </c>
      <c r="C7" s="157">
        <v>507</v>
      </c>
      <c r="D7" s="107"/>
      <c r="E7" s="158">
        <v>0.40766213296473486</v>
      </c>
      <c r="F7" s="158">
        <v>11.21871354671336</v>
      </c>
      <c r="G7" s="159">
        <v>43.250416152526867</v>
      </c>
      <c r="H7" s="158">
        <v>367.22924840492755</v>
      </c>
      <c r="I7" s="107"/>
      <c r="J7" s="160">
        <v>0.48511692459895178</v>
      </c>
      <c r="K7" s="160">
        <v>0.49537590381403246</v>
      </c>
      <c r="L7" s="159">
        <v>5</v>
      </c>
      <c r="M7" s="158">
        <v>367.22924840492755</v>
      </c>
      <c r="O7" s="168"/>
      <c r="P7" s="168"/>
    </row>
    <row r="8" spans="1:16" s="153" customFormat="1" x14ac:dyDescent="0.45">
      <c r="A8" s="107"/>
      <c r="B8" s="161"/>
      <c r="C8" s="161"/>
      <c r="D8" s="162"/>
      <c r="E8" s="162"/>
      <c r="F8" s="162"/>
      <c r="G8" s="162"/>
      <c r="H8" s="162"/>
      <c r="I8" s="162"/>
      <c r="J8" s="162"/>
      <c r="K8" s="162"/>
      <c r="L8" s="162"/>
      <c r="M8" s="162"/>
      <c r="O8" s="181"/>
      <c r="P8" s="181"/>
    </row>
    <row r="9" spans="1:16" ht="51" customHeight="1" x14ac:dyDescent="0.45">
      <c r="B9" s="137" t="s">
        <v>137</v>
      </c>
      <c r="C9" s="148" t="s">
        <v>819</v>
      </c>
      <c r="E9" s="163" t="s">
        <v>160</v>
      </c>
      <c r="F9" s="163" t="s">
        <v>161</v>
      </c>
      <c r="G9" s="163" t="s">
        <v>162</v>
      </c>
      <c r="H9" s="163" t="s">
        <v>163</v>
      </c>
      <c r="J9" s="163" t="str">
        <f>E9</f>
        <v>EBIT-Marge
Historie
10 Jahre</v>
      </c>
      <c r="K9" s="163" t="str">
        <f t="shared" ref="K9:M9" si="0">F9</f>
        <v>ROCE
Historie
10 Jahre</v>
      </c>
      <c r="L9" s="163" t="str">
        <f t="shared" si="0"/>
        <v>Umsatz
/Kapital
Historie
10 Jahre</v>
      </c>
      <c r="M9" s="163" t="str">
        <f t="shared" si="0"/>
        <v>R-Rate
Historie
10 Jahre</v>
      </c>
      <c r="O9" s="148" t="str">
        <f>C9</f>
        <v>Anzahl
Titel</v>
      </c>
      <c r="P9" s="148" t="s">
        <v>159</v>
      </c>
    </row>
    <row r="10" spans="1:16" x14ac:dyDescent="0.45">
      <c r="A10" s="123">
        <v>1</v>
      </c>
      <c r="B10" s="149" t="s">
        <v>658</v>
      </c>
      <c r="C10" s="150">
        <v>100</v>
      </c>
      <c r="D10" s="107"/>
      <c r="E10" s="111">
        <v>0.10204913620268187</v>
      </c>
      <c r="F10" s="109">
        <v>0.27584244166954691</v>
      </c>
      <c r="G10" s="164">
        <v>2.2941125309316011</v>
      </c>
      <c r="H10" s="109">
        <v>0.39891852653167109</v>
      </c>
      <c r="I10" s="107"/>
      <c r="J10" s="165">
        <v>0.10986153334109143</v>
      </c>
      <c r="K10" s="165">
        <v>0.19528276954402907</v>
      </c>
      <c r="L10" s="166">
        <v>2.7385266949056621</v>
      </c>
      <c r="M10" s="130">
        <v>0.39891852653167109</v>
      </c>
      <c r="O10" s="176">
        <v>40</v>
      </c>
      <c r="P10" s="177">
        <v>0.93215348065079895</v>
      </c>
    </row>
    <row r="11" spans="1:16" x14ac:dyDescent="0.45">
      <c r="A11" s="123">
        <f>A10+1</f>
        <v>2</v>
      </c>
      <c r="B11" s="149" t="s">
        <v>659</v>
      </c>
      <c r="C11" s="150">
        <v>96</v>
      </c>
      <c r="D11" s="107"/>
      <c r="E11" s="111">
        <v>7.9905662894825744E-2</v>
      </c>
      <c r="F11" s="109">
        <v>0.10060608710013097</v>
      </c>
      <c r="G11" s="164">
        <v>2.4701822755274963</v>
      </c>
      <c r="H11" s="109">
        <v>0.366079243760424</v>
      </c>
      <c r="I11" s="107"/>
      <c r="J11" s="165">
        <v>9.342068759268457E-2</v>
      </c>
      <c r="K11" s="165">
        <v>0.13459563759240339</v>
      </c>
      <c r="L11" s="166">
        <v>1.4154758726060253</v>
      </c>
      <c r="M11" s="130">
        <v>0.366079243760424</v>
      </c>
      <c r="O11" s="176">
        <v>52</v>
      </c>
      <c r="P11" s="177">
        <v>0.99258809642008761</v>
      </c>
    </row>
    <row r="12" spans="1:16" x14ac:dyDescent="0.45">
      <c r="A12" s="123">
        <f t="shared" ref="A12:A75" si="1">A11+1</f>
        <v>3</v>
      </c>
      <c r="B12" s="149" t="s">
        <v>660</v>
      </c>
      <c r="C12" s="150">
        <v>17</v>
      </c>
      <c r="D12" s="107"/>
      <c r="E12" s="111">
        <v>0.1142513070377142</v>
      </c>
      <c r="F12" s="109">
        <v>0.21663656325637146</v>
      </c>
      <c r="G12" s="164">
        <v>1.8623011938720888</v>
      </c>
      <c r="H12" s="109">
        <v>0.31879426052874227</v>
      </c>
      <c r="I12" s="107"/>
      <c r="J12" s="165">
        <v>9.3906842843845748E-2</v>
      </c>
      <c r="K12" s="165">
        <v>0.15417895972429643</v>
      </c>
      <c r="L12" s="166">
        <v>1.7614181155005633</v>
      </c>
      <c r="M12" s="130">
        <v>0.31879426052874227</v>
      </c>
      <c r="O12" s="176">
        <v>15</v>
      </c>
      <c r="P12" s="177">
        <v>0.81857608148194028</v>
      </c>
    </row>
    <row r="13" spans="1:16" x14ac:dyDescent="0.45">
      <c r="A13" s="123">
        <f t="shared" si="1"/>
        <v>4</v>
      </c>
      <c r="B13" s="149" t="s">
        <v>661</v>
      </c>
      <c r="C13" s="150">
        <v>61</v>
      </c>
      <c r="D13" s="107"/>
      <c r="E13" s="111">
        <v>5.1782945512898651E-2</v>
      </c>
      <c r="F13" s="109">
        <v>7.0809072582150689E-2</v>
      </c>
      <c r="G13" s="164">
        <v>1.7825736952797673</v>
      </c>
      <c r="H13" s="109">
        <v>0.50588031335645156</v>
      </c>
      <c r="I13" s="107"/>
      <c r="J13" s="165">
        <v>0.11774273748440808</v>
      </c>
      <c r="K13" s="165">
        <v>8.1999876146912537E-2</v>
      </c>
      <c r="L13" s="166">
        <v>0.83661693704705109</v>
      </c>
      <c r="M13" s="130">
        <v>0.50588031335645156</v>
      </c>
      <c r="O13" s="176">
        <v>19</v>
      </c>
      <c r="P13" s="177">
        <v>0.74050322738129415</v>
      </c>
    </row>
    <row r="14" spans="1:16" x14ac:dyDescent="0.45">
      <c r="A14" s="123">
        <f t="shared" si="1"/>
        <v>5</v>
      </c>
      <c r="B14" s="149" t="s">
        <v>662</v>
      </c>
      <c r="C14" s="150">
        <v>64</v>
      </c>
      <c r="D14" s="107"/>
      <c r="E14" s="111">
        <v>7.9122705478759298E-2</v>
      </c>
      <c r="F14" s="109">
        <v>0.11461335446068532</v>
      </c>
      <c r="G14" s="164">
        <v>1.4992254594534149</v>
      </c>
      <c r="H14" s="109">
        <v>0.57729058881780149</v>
      </c>
      <c r="I14" s="107"/>
      <c r="J14" s="165">
        <v>8.7524470893152767E-2</v>
      </c>
      <c r="K14" s="165">
        <v>8.8845102312781227E-2</v>
      </c>
      <c r="L14" s="166">
        <v>1.9742226489893668</v>
      </c>
      <c r="M14" s="130">
        <v>0.57729058881780149</v>
      </c>
      <c r="O14" s="176">
        <v>40</v>
      </c>
      <c r="P14" s="177">
        <v>0.82356953688806533</v>
      </c>
    </row>
    <row r="15" spans="1:16" x14ac:dyDescent="0.45">
      <c r="A15" s="123">
        <f t="shared" si="1"/>
        <v>6</v>
      </c>
      <c r="B15" s="149" t="s">
        <v>663</v>
      </c>
      <c r="C15" s="150">
        <v>22</v>
      </c>
      <c r="D15" s="107"/>
      <c r="E15" s="111">
        <v>0.15554467918973025</v>
      </c>
      <c r="F15" s="109">
        <v>0.13753008264509661</v>
      </c>
      <c r="G15" s="164">
        <v>0.52909244555389467</v>
      </c>
      <c r="H15" s="109">
        <v>0.38088590786404763</v>
      </c>
      <c r="I15" s="107"/>
      <c r="J15" s="165">
        <v>0.38929759900727334</v>
      </c>
      <c r="K15" s="165">
        <v>8.0684370273298098E-2</v>
      </c>
      <c r="L15" s="166">
        <v>0.5988622462044555</v>
      </c>
      <c r="M15" s="130">
        <v>0.37614158555851079</v>
      </c>
      <c r="O15" s="176">
        <v>9</v>
      </c>
      <c r="P15" s="177">
        <v>0.71350422434991823</v>
      </c>
    </row>
    <row r="16" spans="1:16" x14ac:dyDescent="0.45">
      <c r="A16" s="123">
        <f t="shared" si="1"/>
        <v>7</v>
      </c>
      <c r="B16" s="149" t="s">
        <v>664</v>
      </c>
      <c r="C16" s="150">
        <v>40</v>
      </c>
      <c r="D16" s="107"/>
      <c r="E16" s="111">
        <v>0.12810722970519303</v>
      </c>
      <c r="F16" s="109">
        <v>0.12409316588809742</v>
      </c>
      <c r="G16" s="164">
        <v>0.59111696147183956</v>
      </c>
      <c r="H16" s="109">
        <v>0.37135942708672237</v>
      </c>
      <c r="I16" s="107"/>
      <c r="J16" s="165">
        <v>0.14577161032571609</v>
      </c>
      <c r="K16" s="165">
        <v>7.3663282662038865E-2</v>
      </c>
      <c r="L16" s="166">
        <v>0.60214269793202491</v>
      </c>
      <c r="M16" s="130">
        <v>0.37135942708672237</v>
      </c>
      <c r="O16" s="176">
        <v>13</v>
      </c>
      <c r="P16" s="177">
        <v>0.81512515113504103</v>
      </c>
    </row>
    <row r="17" spans="1:16" x14ac:dyDescent="0.45">
      <c r="A17" s="123">
        <f t="shared" si="1"/>
        <v>8</v>
      </c>
      <c r="B17" s="149" t="s">
        <v>665</v>
      </c>
      <c r="C17" s="150">
        <v>34</v>
      </c>
      <c r="D17" s="107"/>
      <c r="E17" s="111">
        <v>0.10454177935971055</v>
      </c>
      <c r="F17" s="109">
        <v>0.19637943123077539</v>
      </c>
      <c r="G17" s="164">
        <v>1.3612006383599327</v>
      </c>
      <c r="H17" s="109">
        <v>0.20086755861027483</v>
      </c>
      <c r="I17" s="107"/>
      <c r="J17" s="165">
        <v>6.3392747977212408E-2</v>
      </c>
      <c r="K17" s="165">
        <v>7.7895344587225232E-2</v>
      </c>
      <c r="L17" s="166">
        <v>1.478748195807849</v>
      </c>
      <c r="M17" s="130">
        <v>0.20086755861027483</v>
      </c>
      <c r="O17" s="176">
        <v>22</v>
      </c>
      <c r="P17" s="177">
        <v>0.85965376331499277</v>
      </c>
    </row>
    <row r="18" spans="1:16" x14ac:dyDescent="0.45">
      <c r="A18" s="123">
        <f t="shared" si="1"/>
        <v>9</v>
      </c>
      <c r="B18" s="149" t="s">
        <v>666</v>
      </c>
      <c r="C18" s="150">
        <v>98</v>
      </c>
      <c r="D18" s="107"/>
      <c r="E18" s="111">
        <v>0.13719932088771652</v>
      </c>
      <c r="F18" s="109">
        <v>0.11509965766987533</v>
      </c>
      <c r="G18" s="164">
        <v>1.2925520196335003</v>
      </c>
      <c r="H18" s="109">
        <v>0.40660282460424252</v>
      </c>
      <c r="I18" s="107"/>
      <c r="J18" s="165">
        <v>0.11153781264497568</v>
      </c>
      <c r="K18" s="165">
        <v>7.8184183370313867E-2</v>
      </c>
      <c r="L18" s="166">
        <v>1.0720611764575294</v>
      </c>
      <c r="M18" s="130">
        <v>0.40660282460424252</v>
      </c>
      <c r="O18" s="176">
        <v>40</v>
      </c>
      <c r="P18" s="177">
        <v>0.99243076440213307</v>
      </c>
    </row>
    <row r="19" spans="1:16" x14ac:dyDescent="0.45">
      <c r="A19" s="123">
        <f t="shared" si="1"/>
        <v>10</v>
      </c>
      <c r="B19" s="149" t="s">
        <v>667</v>
      </c>
      <c r="C19" s="150">
        <v>153</v>
      </c>
      <c r="D19" s="107"/>
      <c r="E19" s="111">
        <v>0.14655473903223934</v>
      </c>
      <c r="F19" s="109">
        <v>9.1891473426430961E-2</v>
      </c>
      <c r="G19" s="164">
        <v>1.1838057832632958</v>
      </c>
      <c r="H19" s="109">
        <v>0.48340181254005332</v>
      </c>
      <c r="I19" s="107"/>
      <c r="J19" s="165">
        <v>0.10946585755479521</v>
      </c>
      <c r="K19" s="165">
        <v>9.2646527858429056E-2</v>
      </c>
      <c r="L19" s="166">
        <v>1.2971932425282997</v>
      </c>
      <c r="M19" s="130">
        <v>0.48340181254005332</v>
      </c>
      <c r="O19" s="176">
        <v>75</v>
      </c>
      <c r="P19" s="177">
        <v>0.97014505973054155</v>
      </c>
    </row>
    <row r="20" spans="1:16" x14ac:dyDescent="0.45">
      <c r="A20" s="123">
        <f t="shared" si="1"/>
        <v>11</v>
      </c>
      <c r="B20" s="149" t="s">
        <v>668</v>
      </c>
      <c r="C20" s="150">
        <v>298</v>
      </c>
      <c r="D20" s="107"/>
      <c r="E20" s="111">
        <v>0.25517459940486814</v>
      </c>
      <c r="F20" s="109">
        <v>7.2261995556480482E-2</v>
      </c>
      <c r="G20" s="164">
        <v>2.7339114581727939</v>
      </c>
      <c r="H20" s="109">
        <v>0.39874636600903429</v>
      </c>
      <c r="I20" s="107"/>
      <c r="J20" s="165">
        <v>0.13721325248732641</v>
      </c>
      <c r="K20" s="165">
        <v>0.19075664776815693</v>
      </c>
      <c r="L20" s="166">
        <v>2.0923243438792989</v>
      </c>
      <c r="M20" s="130">
        <v>0.39874636600903429</v>
      </c>
      <c r="O20" s="176">
        <v>156</v>
      </c>
      <c r="P20" s="177">
        <v>1.0622406865654068</v>
      </c>
    </row>
    <row r="21" spans="1:16" x14ac:dyDescent="0.45">
      <c r="A21" s="123">
        <f t="shared" si="1"/>
        <v>12</v>
      </c>
      <c r="B21" s="149" t="s">
        <v>669</v>
      </c>
      <c r="C21" s="150">
        <v>89</v>
      </c>
      <c r="D21" s="107"/>
      <c r="E21" s="111">
        <v>8.7256608630015359E-2</v>
      </c>
      <c r="F21" s="109">
        <v>0.20056426944803779</v>
      </c>
      <c r="G21" s="164">
        <v>-1.7816563757727872</v>
      </c>
      <c r="H21" s="109">
        <v>2.7565728718458744</v>
      </c>
      <c r="I21" s="107"/>
      <c r="J21" s="165">
        <v>0.32459600132649885</v>
      </c>
      <c r="K21" s="165">
        <v>0.16766105323790256</v>
      </c>
      <c r="L21" s="166">
        <v>1.0234648382855498</v>
      </c>
      <c r="M21" s="130">
        <v>0.56301038225058508</v>
      </c>
      <c r="O21" s="176">
        <v>33</v>
      </c>
      <c r="P21" s="177">
        <v>0.91815065274392882</v>
      </c>
    </row>
    <row r="22" spans="1:16" x14ac:dyDescent="0.45">
      <c r="A22" s="123">
        <f t="shared" si="1"/>
        <v>13</v>
      </c>
      <c r="B22" s="149" t="s">
        <v>670</v>
      </c>
      <c r="C22" s="150">
        <v>36</v>
      </c>
      <c r="D22" s="107"/>
      <c r="E22" s="111">
        <v>6.7904770199742268E-2</v>
      </c>
      <c r="F22" s="109">
        <v>0.11372151595656879</v>
      </c>
      <c r="G22" s="164">
        <v>1.7196712490584194</v>
      </c>
      <c r="H22" s="109">
        <v>0.54952192123887145</v>
      </c>
      <c r="I22" s="107"/>
      <c r="J22" s="165">
        <v>7.1773871108925538E-2</v>
      </c>
      <c r="K22" s="165">
        <v>0.11158912292908485</v>
      </c>
      <c r="L22" s="166">
        <v>2.0690811820652173</v>
      </c>
      <c r="M22" s="130">
        <v>0.54952192123887145</v>
      </c>
      <c r="O22" s="176">
        <v>21</v>
      </c>
      <c r="P22" s="177">
        <v>0.86472425739009495</v>
      </c>
    </row>
    <row r="23" spans="1:16" x14ac:dyDescent="0.45">
      <c r="A23" s="123">
        <f t="shared" si="1"/>
        <v>14</v>
      </c>
      <c r="B23" s="149" t="s">
        <v>671</v>
      </c>
      <c r="C23" s="150">
        <v>295</v>
      </c>
      <c r="D23" s="107"/>
      <c r="E23" s="111">
        <v>5.7607617749694168E-2</v>
      </c>
      <c r="F23" s="109">
        <v>7.2226488588434778E-2</v>
      </c>
      <c r="G23" s="164">
        <v>1.9606282933281887</v>
      </c>
      <c r="H23" s="109">
        <v>0.48372869937192758</v>
      </c>
      <c r="I23" s="107"/>
      <c r="J23" s="165">
        <v>6.0962603403944507E-2</v>
      </c>
      <c r="K23" s="165">
        <v>6.5040696832090794E-2</v>
      </c>
      <c r="L23" s="166">
        <v>1.68628349580929</v>
      </c>
      <c r="M23" s="130">
        <v>0.48372869937192758</v>
      </c>
      <c r="O23" s="176">
        <v>138</v>
      </c>
      <c r="P23" s="177">
        <v>0.89520320652959173</v>
      </c>
    </row>
    <row r="24" spans="1:16" x14ac:dyDescent="0.45">
      <c r="A24" s="123">
        <f t="shared" si="1"/>
        <v>15</v>
      </c>
      <c r="B24" s="149" t="s">
        <v>672</v>
      </c>
      <c r="C24" s="150">
        <v>75</v>
      </c>
      <c r="D24" s="107"/>
      <c r="E24" s="111">
        <v>6.7710933943916932E-2</v>
      </c>
      <c r="F24" s="109">
        <v>7.5329552119086193E-2</v>
      </c>
      <c r="G24" s="164">
        <v>1.5290890505074075</v>
      </c>
      <c r="H24" s="109">
        <v>0.54334242581105952</v>
      </c>
      <c r="I24" s="107"/>
      <c r="J24" s="165">
        <v>7.7299372551714096E-2</v>
      </c>
      <c r="K24" s="165">
        <v>7.7095078563979763E-2</v>
      </c>
      <c r="L24" s="166">
        <v>2.1762731418265369</v>
      </c>
      <c r="M24" s="130">
        <v>0.54334242581105952</v>
      </c>
      <c r="O24" s="176">
        <v>40</v>
      </c>
      <c r="P24" s="177">
        <v>0.75893121548875386</v>
      </c>
    </row>
    <row r="25" spans="1:16" x14ac:dyDescent="0.45">
      <c r="A25" s="123">
        <f t="shared" si="1"/>
        <v>16</v>
      </c>
      <c r="B25" s="149" t="s">
        <v>673</v>
      </c>
      <c r="C25" s="150">
        <v>137</v>
      </c>
      <c r="D25" s="107"/>
      <c r="E25" s="111">
        <v>0.26768696851956475</v>
      </c>
      <c r="F25" s="109">
        <v>-0.15553118533996166</v>
      </c>
      <c r="G25" s="164">
        <v>1.210878599371223</v>
      </c>
      <c r="H25" s="109">
        <v>0.38905434710872122</v>
      </c>
      <c r="I25" s="107"/>
      <c r="J25" s="165">
        <v>0.27045633178572842</v>
      </c>
      <c r="K25" s="165">
        <v>0.14391033290728039</v>
      </c>
      <c r="L25" s="166">
        <v>1.1299007328416322</v>
      </c>
      <c r="M25" s="130">
        <v>0.38905434710872122</v>
      </c>
      <c r="O25" s="176">
        <v>57</v>
      </c>
      <c r="P25" s="177">
        <v>1.1355869471474389</v>
      </c>
    </row>
    <row r="26" spans="1:16" x14ac:dyDescent="0.45">
      <c r="A26" s="123">
        <f t="shared" si="1"/>
        <v>17</v>
      </c>
      <c r="B26" s="149" t="s">
        <v>674</v>
      </c>
      <c r="C26" s="150">
        <v>24</v>
      </c>
      <c r="D26" s="107"/>
      <c r="E26" s="111">
        <v>0.18702819193279271</v>
      </c>
      <c r="F26" s="109">
        <v>0.22048069045196661</v>
      </c>
      <c r="G26" s="164">
        <v>1.1811351402201828</v>
      </c>
      <c r="H26" s="109">
        <v>0.20404296852545756</v>
      </c>
      <c r="I26" s="107"/>
      <c r="J26" s="165">
        <v>0.16768571195766077</v>
      </c>
      <c r="K26" s="165">
        <v>0.16846713517515902</v>
      </c>
      <c r="L26" s="166">
        <v>1.6072098286056964</v>
      </c>
      <c r="M26" s="130">
        <v>0.20404296852545756</v>
      </c>
      <c r="O26" s="176">
        <v>10</v>
      </c>
      <c r="P26" s="177">
        <v>0.74903321229464459</v>
      </c>
    </row>
    <row r="27" spans="1:16" x14ac:dyDescent="0.45">
      <c r="A27" s="123">
        <f t="shared" si="1"/>
        <v>18</v>
      </c>
      <c r="B27" s="149" t="s">
        <v>675</v>
      </c>
      <c r="C27" s="150">
        <v>45</v>
      </c>
      <c r="D27" s="107"/>
      <c r="E27" s="111">
        <v>0.15408679712895712</v>
      </c>
      <c r="F27" s="109">
        <v>0.14347357745366485</v>
      </c>
      <c r="G27" s="164">
        <v>1.0257489556318546</v>
      </c>
      <c r="H27" s="109">
        <v>0.64472802611986002</v>
      </c>
      <c r="I27" s="107"/>
      <c r="J27" s="165">
        <v>0.17309879323128863</v>
      </c>
      <c r="K27" s="165">
        <v>0.12396026240143243</v>
      </c>
      <c r="L27" s="166">
        <v>0.87727580563237195</v>
      </c>
      <c r="M27" s="130">
        <v>0.62383282897263348</v>
      </c>
      <c r="O27" s="176">
        <v>21</v>
      </c>
      <c r="P27" s="177">
        <v>0.8197183315918215</v>
      </c>
    </row>
    <row r="28" spans="1:16" x14ac:dyDescent="0.45">
      <c r="A28" s="123">
        <f t="shared" si="1"/>
        <v>19</v>
      </c>
      <c r="B28" s="149" t="s">
        <v>676</v>
      </c>
      <c r="C28" s="150">
        <v>81</v>
      </c>
      <c r="D28" s="107"/>
      <c r="E28" s="111">
        <v>6.1352135820711737E-2</v>
      </c>
      <c r="F28" s="109">
        <v>0.22486408103127728</v>
      </c>
      <c r="G28" s="164">
        <v>1.4793319288809057</v>
      </c>
      <c r="H28" s="109">
        <v>1.8090276760799715</v>
      </c>
      <c r="I28" s="107"/>
      <c r="J28" s="165">
        <v>7.3241397764015392E-2</v>
      </c>
      <c r="K28" s="165">
        <v>7.463681930638405E-2</v>
      </c>
      <c r="L28" s="166">
        <v>1.2950515395027771</v>
      </c>
      <c r="M28" s="130">
        <v>0.61347708318194372</v>
      </c>
      <c r="O28" s="176">
        <v>40</v>
      </c>
      <c r="P28" s="177">
        <v>0.92253988258870978</v>
      </c>
    </row>
    <row r="29" spans="1:16" x14ac:dyDescent="0.45">
      <c r="A29" s="123">
        <f t="shared" si="1"/>
        <v>20</v>
      </c>
      <c r="B29" s="149" t="s">
        <v>677</v>
      </c>
      <c r="C29" s="150">
        <v>169</v>
      </c>
      <c r="D29" s="107"/>
      <c r="E29" s="111">
        <v>0.11070783903859288</v>
      </c>
      <c r="F29" s="109">
        <v>0.12602069362379428</v>
      </c>
      <c r="G29" s="164">
        <v>1.5454106988696785</v>
      </c>
      <c r="H29" s="109">
        <v>0.35241842782070187</v>
      </c>
      <c r="I29" s="107"/>
      <c r="J29" s="165">
        <v>0.11218191479574512</v>
      </c>
      <c r="K29" s="165">
        <v>0.10991296353873925</v>
      </c>
      <c r="L29" s="166">
        <v>1.5389271571294063</v>
      </c>
      <c r="M29" s="130">
        <v>0.35241842782070187</v>
      </c>
      <c r="O29" s="176">
        <v>91</v>
      </c>
      <c r="P29" s="177">
        <v>0.96599170606340468</v>
      </c>
    </row>
    <row r="30" spans="1:16" x14ac:dyDescent="0.45">
      <c r="A30" s="123">
        <f t="shared" si="1"/>
        <v>21</v>
      </c>
      <c r="B30" s="149" t="s">
        <v>678</v>
      </c>
      <c r="C30" s="150">
        <v>16</v>
      </c>
      <c r="D30" s="107"/>
      <c r="E30" s="111">
        <v>0.19403781870207376</v>
      </c>
      <c r="F30" s="109">
        <v>0.24335866329727429</v>
      </c>
      <c r="G30" s="164">
        <v>0.74219229373019613</v>
      </c>
      <c r="H30" s="109">
        <v>0.59392521519946739</v>
      </c>
      <c r="I30" s="107"/>
      <c r="J30" s="165">
        <v>0.19403781870207376</v>
      </c>
      <c r="K30" s="165">
        <v>0.10793369722363848</v>
      </c>
      <c r="L30" s="166">
        <v>0.84986799251644496</v>
      </c>
      <c r="M30" s="130">
        <v>0.57066690015741184</v>
      </c>
      <c r="O30" s="176">
        <v>7</v>
      </c>
      <c r="P30" s="177">
        <v>0.71272938512996187</v>
      </c>
    </row>
    <row r="31" spans="1:16" x14ac:dyDescent="0.45">
      <c r="A31" s="123">
        <f t="shared" si="1"/>
        <v>22</v>
      </c>
      <c r="B31" s="149" t="s">
        <v>679</v>
      </c>
      <c r="C31" s="150">
        <v>45</v>
      </c>
      <c r="D31" s="107"/>
      <c r="E31" s="111">
        <v>8.3804648527759165E-2</v>
      </c>
      <c r="F31" s="109">
        <v>9.6390843372134799E-2</v>
      </c>
      <c r="G31" s="164">
        <v>1.4176673200955994</v>
      </c>
      <c r="H31" s="109">
        <v>0.79222808574650561</v>
      </c>
      <c r="I31" s="107"/>
      <c r="J31" s="165">
        <v>8.2141652435148926E-2</v>
      </c>
      <c r="K31" s="165">
        <v>6.6403660955844185E-2</v>
      </c>
      <c r="L31" s="166">
        <v>1.33485703462045</v>
      </c>
      <c r="M31" s="130">
        <v>0.6682884747818213</v>
      </c>
      <c r="O31" s="176">
        <v>23</v>
      </c>
      <c r="P31" s="177">
        <v>0.94193943806740943</v>
      </c>
    </row>
    <row r="32" spans="1:16" x14ac:dyDescent="0.45">
      <c r="A32" s="123">
        <f t="shared" si="1"/>
        <v>23</v>
      </c>
      <c r="B32" s="149" t="s">
        <v>680</v>
      </c>
      <c r="C32" s="150">
        <v>63</v>
      </c>
      <c r="D32" s="107"/>
      <c r="E32" s="111">
        <v>0.1214296774504747</v>
      </c>
      <c r="F32" s="109">
        <v>-8.4957532546367995E-2</v>
      </c>
      <c r="G32" s="164">
        <v>0.65645874816628746</v>
      </c>
      <c r="H32" s="109">
        <v>1.2749681114832649</v>
      </c>
      <c r="I32" s="107"/>
      <c r="J32" s="165">
        <v>0.17226263540644182</v>
      </c>
      <c r="K32" s="165">
        <v>0.10642652546688024</v>
      </c>
      <c r="L32" s="166">
        <v>0.90092563731524145</v>
      </c>
      <c r="M32" s="130">
        <v>0.60890063870146127</v>
      </c>
      <c r="O32" s="176">
        <v>37</v>
      </c>
      <c r="P32" s="177">
        <v>0.91825996459676706</v>
      </c>
    </row>
    <row r="33" spans="1:16" x14ac:dyDescent="0.45">
      <c r="A33" s="123">
        <f t="shared" si="1"/>
        <v>24</v>
      </c>
      <c r="B33" s="149" t="s">
        <v>681</v>
      </c>
      <c r="C33" s="150">
        <v>18</v>
      </c>
      <c r="D33" s="107"/>
      <c r="E33" s="111">
        <v>0.11996264509102161</v>
      </c>
      <c r="F33" s="109">
        <v>9.3943938919232639E-2</v>
      </c>
      <c r="G33" s="164">
        <v>0.75871654776032815</v>
      </c>
      <c r="H33" s="109">
        <v>0.59077793728533134</v>
      </c>
      <c r="I33" s="107"/>
      <c r="J33" s="165">
        <v>0.1528195402635858</v>
      </c>
      <c r="K33" s="165">
        <v>9.6738569970487437E-2</v>
      </c>
      <c r="L33" s="166">
        <v>0.8558127119473693</v>
      </c>
      <c r="M33" s="130">
        <v>0.4230745885099233</v>
      </c>
      <c r="O33" s="176">
        <v>2</v>
      </c>
      <c r="P33" s="177">
        <v>0.95794479296159663</v>
      </c>
    </row>
    <row r="34" spans="1:16" x14ac:dyDescent="0.45">
      <c r="A34" s="123">
        <f t="shared" si="1"/>
        <v>25</v>
      </c>
      <c r="B34" s="149" t="s">
        <v>682</v>
      </c>
      <c r="C34" s="150">
        <v>35</v>
      </c>
      <c r="D34" s="107"/>
      <c r="E34" s="111">
        <v>0.28876516562751359</v>
      </c>
      <c r="F34" s="109">
        <v>4.3867855501421839E-2</v>
      </c>
      <c r="G34" s="164">
        <v>0.13177279250990867</v>
      </c>
      <c r="H34" s="109">
        <v>2.8643922821905248</v>
      </c>
      <c r="I34" s="107"/>
      <c r="J34" s="165">
        <v>0.48511692459895178</v>
      </c>
      <c r="K34" s="165">
        <v>4.3867855501421839E-2</v>
      </c>
      <c r="L34" s="166">
        <v>9.9738650771955345E-2</v>
      </c>
      <c r="M34" s="130">
        <v>0.8676822705040077</v>
      </c>
      <c r="O34" s="176">
        <v>28</v>
      </c>
      <c r="P34" s="177">
        <v>0.8238593196232481</v>
      </c>
    </row>
    <row r="35" spans="1:16" x14ac:dyDescent="0.45">
      <c r="A35" s="123">
        <f t="shared" si="1"/>
        <v>26</v>
      </c>
      <c r="B35" s="149" t="s">
        <v>683</v>
      </c>
      <c r="C35" s="150">
        <v>33</v>
      </c>
      <c r="D35" s="107"/>
      <c r="E35" s="111">
        <v>5.0168640363989471E-2</v>
      </c>
      <c r="F35" s="109">
        <v>8.1562819069562822E-2</v>
      </c>
      <c r="G35" s="164">
        <v>1.5101594045515991</v>
      </c>
      <c r="H35" s="109">
        <v>9.6124733670019571E-2</v>
      </c>
      <c r="I35" s="107"/>
      <c r="J35" s="165">
        <v>6.3815246560966807E-2</v>
      </c>
      <c r="K35" s="165">
        <v>8.6388028839731332E-2</v>
      </c>
      <c r="L35" s="166">
        <v>1.901801077504266</v>
      </c>
      <c r="M35" s="130">
        <v>9.6124733670019571E-2</v>
      </c>
      <c r="O35" s="176">
        <v>12</v>
      </c>
      <c r="P35" s="177">
        <v>0.83487479651994978</v>
      </c>
    </row>
    <row r="36" spans="1:16" x14ac:dyDescent="0.45">
      <c r="A36" s="123">
        <f t="shared" si="1"/>
        <v>27</v>
      </c>
      <c r="B36" s="149" t="s">
        <v>684</v>
      </c>
      <c r="C36" s="150">
        <v>287</v>
      </c>
      <c r="D36" s="107"/>
      <c r="E36" s="111">
        <v>0.104147635682257</v>
      </c>
      <c r="F36" s="109">
        <v>0.12847159531603791</v>
      </c>
      <c r="G36" s="164">
        <v>1.1084936120317237</v>
      </c>
      <c r="H36" s="109">
        <v>0.47461044065079028</v>
      </c>
      <c r="I36" s="107"/>
      <c r="J36" s="165">
        <v>0.10811424178982576</v>
      </c>
      <c r="K36" s="165">
        <v>8.0518417166974804E-2</v>
      </c>
      <c r="L36" s="166">
        <v>1.2552072918895234</v>
      </c>
      <c r="M36" s="130">
        <v>0.47461044065079028</v>
      </c>
      <c r="O36" s="176">
        <v>98</v>
      </c>
      <c r="P36" s="177">
        <v>0.8526355267979242</v>
      </c>
    </row>
    <row r="37" spans="1:16" x14ac:dyDescent="0.45">
      <c r="A37" s="123">
        <f t="shared" si="1"/>
        <v>28</v>
      </c>
      <c r="B37" s="149" t="s">
        <v>685</v>
      </c>
      <c r="C37" s="150">
        <v>158</v>
      </c>
      <c r="D37" s="107"/>
      <c r="E37" s="111">
        <v>0.1396606776219029</v>
      </c>
      <c r="F37" s="109">
        <v>0.19009951955015195</v>
      </c>
      <c r="G37" s="164">
        <v>4.6251465639625193</v>
      </c>
      <c r="H37" s="109">
        <v>0.14720922791834976</v>
      </c>
      <c r="I37" s="107"/>
      <c r="J37" s="165">
        <v>0.11768065152872058</v>
      </c>
      <c r="K37" s="165">
        <v>0.11010323201250052</v>
      </c>
      <c r="L37" s="166">
        <v>1.5979037129479456</v>
      </c>
      <c r="M37" s="130">
        <v>0.14720922791834976</v>
      </c>
      <c r="O37" s="176">
        <v>71</v>
      </c>
      <c r="P37" s="177">
        <v>1.0217389714459229</v>
      </c>
    </row>
    <row r="38" spans="1:16" x14ac:dyDescent="0.45">
      <c r="A38" s="123">
        <f t="shared" si="1"/>
        <v>29</v>
      </c>
      <c r="B38" s="149" t="s">
        <v>686</v>
      </c>
      <c r="C38" s="150">
        <v>24</v>
      </c>
      <c r="D38" s="107"/>
      <c r="E38" s="111">
        <v>4.2341483119465034E-2</v>
      </c>
      <c r="F38" s="109">
        <v>0.15738320357949787</v>
      </c>
      <c r="G38" s="164">
        <v>3.8810250491399247</v>
      </c>
      <c r="H38" s="109">
        <v>0.27859603984083303</v>
      </c>
      <c r="I38" s="107"/>
      <c r="J38" s="165">
        <v>4.1200403281911505E-2</v>
      </c>
      <c r="K38" s="165">
        <v>0.105300557261768</v>
      </c>
      <c r="L38" s="166">
        <v>2.7708474835305172</v>
      </c>
      <c r="M38" s="130">
        <v>0.27859603984083303</v>
      </c>
      <c r="O38" s="176">
        <v>9</v>
      </c>
      <c r="P38" s="177">
        <v>0.91997486259754646</v>
      </c>
    </row>
    <row r="39" spans="1:16" x14ac:dyDescent="0.45">
      <c r="A39" s="123">
        <f t="shared" si="1"/>
        <v>30</v>
      </c>
      <c r="B39" s="149" t="s">
        <v>687</v>
      </c>
      <c r="C39" s="150">
        <v>434</v>
      </c>
      <c r="D39" s="107"/>
      <c r="E39" s="111">
        <v>5.2818408914814693E-2</v>
      </c>
      <c r="F39" s="109">
        <v>9.161073347389255E-2</v>
      </c>
      <c r="G39" s="164">
        <v>1.5429693631208325</v>
      </c>
      <c r="H39" s="109">
        <v>1.0229193646910255</v>
      </c>
      <c r="I39" s="107"/>
      <c r="J39" s="165">
        <v>6.3270331937601357E-2</v>
      </c>
      <c r="K39" s="165">
        <v>8.0474122867813455E-2</v>
      </c>
      <c r="L39" s="166">
        <v>1.7037512969465674</v>
      </c>
      <c r="M39" s="130">
        <v>0.73177022576014572</v>
      </c>
      <c r="O39" s="176">
        <v>160</v>
      </c>
      <c r="P39" s="177">
        <v>0.91460227458173082</v>
      </c>
    </row>
    <row r="40" spans="1:16" x14ac:dyDescent="0.45">
      <c r="A40" s="123">
        <f t="shared" si="1"/>
        <v>31</v>
      </c>
      <c r="B40" s="149" t="s">
        <v>688</v>
      </c>
      <c r="C40" s="150">
        <v>107</v>
      </c>
      <c r="D40" s="107"/>
      <c r="E40" s="111">
        <v>9.5927684605828845E-2</v>
      </c>
      <c r="F40" s="109">
        <v>0.10834533478814094</v>
      </c>
      <c r="G40" s="164">
        <v>1.7002459822707956</v>
      </c>
      <c r="H40" s="109">
        <v>0.363436094423226</v>
      </c>
      <c r="I40" s="107"/>
      <c r="J40" s="165">
        <v>9.3083577546555829E-2</v>
      </c>
      <c r="K40" s="165">
        <v>0.10048665222298965</v>
      </c>
      <c r="L40" s="166">
        <v>1.662297785112935</v>
      </c>
      <c r="M40" s="130">
        <v>0.363436094423226</v>
      </c>
      <c r="O40" s="176">
        <v>70</v>
      </c>
      <c r="P40" s="177">
        <v>1.002353217544804</v>
      </c>
    </row>
    <row r="41" spans="1:16" x14ac:dyDescent="0.45">
      <c r="A41" s="123">
        <f t="shared" si="1"/>
        <v>32</v>
      </c>
      <c r="B41" s="149" t="s">
        <v>689</v>
      </c>
      <c r="C41" s="150">
        <v>145</v>
      </c>
      <c r="D41" s="107"/>
      <c r="E41" s="111">
        <v>0.11548304897188963</v>
      </c>
      <c r="F41" s="109">
        <v>8.3530534990103211E-2</v>
      </c>
      <c r="G41" s="164">
        <v>0.94503473628158341</v>
      </c>
      <c r="H41" s="109">
        <v>0.61477727118996728</v>
      </c>
      <c r="I41" s="107"/>
      <c r="J41" s="165">
        <v>0.11782493427764501</v>
      </c>
      <c r="K41" s="165">
        <v>8.1214467570054766E-2</v>
      </c>
      <c r="L41" s="166">
        <v>0.92303237228382695</v>
      </c>
      <c r="M41" s="130">
        <v>0.59766600741269993</v>
      </c>
      <c r="O41" s="176">
        <v>54</v>
      </c>
      <c r="P41" s="177">
        <v>0.82882967537124075</v>
      </c>
    </row>
    <row r="42" spans="1:16" x14ac:dyDescent="0.45">
      <c r="A42" s="123">
        <f t="shared" si="1"/>
        <v>33</v>
      </c>
      <c r="B42" s="149" t="s">
        <v>690</v>
      </c>
      <c r="C42" s="150">
        <v>55</v>
      </c>
      <c r="D42" s="107"/>
      <c r="E42" s="111">
        <v>0.1001966146419373</v>
      </c>
      <c r="F42" s="109">
        <v>8.9994654112846004E-2</v>
      </c>
      <c r="G42" s="164">
        <v>1.8326947283505368</v>
      </c>
      <c r="H42" s="109">
        <v>0.44399228727721657</v>
      </c>
      <c r="I42" s="107"/>
      <c r="J42" s="165">
        <v>8.6901487140141884E-2</v>
      </c>
      <c r="K42" s="165">
        <v>7.1167676454963552E-2</v>
      </c>
      <c r="L42" s="166">
        <v>2.2232464114623398</v>
      </c>
      <c r="M42" s="130">
        <v>0.44399228727721657</v>
      </c>
      <c r="O42" s="176">
        <v>25</v>
      </c>
      <c r="P42" s="177">
        <v>0.93547768646304263</v>
      </c>
    </row>
    <row r="43" spans="1:16" x14ac:dyDescent="0.45">
      <c r="A43" s="123">
        <f t="shared" si="1"/>
        <v>34</v>
      </c>
      <c r="B43" s="149" t="s">
        <v>691</v>
      </c>
      <c r="C43" s="150">
        <v>105</v>
      </c>
      <c r="D43" s="107"/>
      <c r="E43" s="111">
        <v>5.1818165876512813E-2</v>
      </c>
      <c r="F43" s="109">
        <v>3.9024504927654698E-2</v>
      </c>
      <c r="G43" s="164">
        <v>0.35116633861101021</v>
      </c>
      <c r="H43" s="109">
        <v>3.5635249891872434</v>
      </c>
      <c r="I43" s="107"/>
      <c r="J43" s="165">
        <v>0.21143973764688881</v>
      </c>
      <c r="K43" s="165">
        <v>3.9024504927654698E-2</v>
      </c>
      <c r="L43" s="166">
        <v>0.18607460634096973</v>
      </c>
      <c r="M43" s="130">
        <v>0.87741556475988647</v>
      </c>
      <c r="O43" s="176">
        <v>51</v>
      </c>
      <c r="P43" s="177">
        <v>0.85331867695139862</v>
      </c>
    </row>
    <row r="44" spans="1:16" x14ac:dyDescent="0.45">
      <c r="A44" s="123">
        <f t="shared" si="1"/>
        <v>35</v>
      </c>
      <c r="B44" s="149" t="s">
        <v>692</v>
      </c>
      <c r="C44" s="150">
        <v>27</v>
      </c>
      <c r="D44" s="107"/>
      <c r="E44" s="111">
        <v>4.6165566775914151E-2</v>
      </c>
      <c r="F44" s="109">
        <v>9.7573680737125482E-2</v>
      </c>
      <c r="G44" s="164">
        <v>3.4383155289214637</v>
      </c>
      <c r="H44" s="109">
        <v>0.46790885904637575</v>
      </c>
      <c r="I44" s="107"/>
      <c r="J44" s="165">
        <v>5.2744180777555119E-2</v>
      </c>
      <c r="K44" s="165">
        <v>9.2578503661060157E-2</v>
      </c>
      <c r="L44" s="166">
        <v>2.0279088189707957</v>
      </c>
      <c r="M44" s="130">
        <v>0.46790885904637575</v>
      </c>
      <c r="O44" s="176">
        <v>9</v>
      </c>
      <c r="P44" s="177">
        <v>0.76547552487329584</v>
      </c>
    </row>
    <row r="45" spans="1:16" x14ac:dyDescent="0.45">
      <c r="A45" s="123">
        <f t="shared" si="1"/>
        <v>36</v>
      </c>
      <c r="B45" s="149" t="s">
        <v>693</v>
      </c>
      <c r="C45" s="150">
        <v>25</v>
      </c>
      <c r="D45" s="107"/>
      <c r="E45" s="111">
        <v>0.15475375407381517</v>
      </c>
      <c r="F45" s="109">
        <v>7.2103084701454809E-2</v>
      </c>
      <c r="G45" s="164">
        <v>0.65059137745797235</v>
      </c>
      <c r="H45" s="109">
        <v>0.44167840979699569</v>
      </c>
      <c r="I45" s="107"/>
      <c r="J45" s="165">
        <v>0.18278244801905486</v>
      </c>
      <c r="K45" s="165">
        <v>7.5739321397572681E-2</v>
      </c>
      <c r="L45" s="166">
        <v>0.64962470553355023</v>
      </c>
      <c r="M45" s="130">
        <v>0.44167840979699569</v>
      </c>
      <c r="O45" s="176">
        <v>17</v>
      </c>
      <c r="P45" s="177">
        <v>1.2164456660227556</v>
      </c>
    </row>
    <row r="46" spans="1:16" x14ac:dyDescent="0.45">
      <c r="A46" s="123">
        <f t="shared" si="1"/>
        <v>37</v>
      </c>
      <c r="B46" s="149" t="s">
        <v>694</v>
      </c>
      <c r="C46" s="150">
        <v>29</v>
      </c>
      <c r="D46" s="107"/>
      <c r="E46" s="111">
        <v>0.1097473392020486</v>
      </c>
      <c r="F46" s="109">
        <v>0.39933920189076055</v>
      </c>
      <c r="G46" s="164">
        <v>2.4291143339164973</v>
      </c>
      <c r="H46" s="109">
        <v>0.45370396617725051</v>
      </c>
      <c r="I46" s="107"/>
      <c r="J46" s="165">
        <v>0.12322483095912125</v>
      </c>
      <c r="K46" s="165">
        <v>0.14911669716695883</v>
      </c>
      <c r="L46" s="166">
        <v>2.1843758357112062</v>
      </c>
      <c r="M46" s="130">
        <v>0.3959090293094189</v>
      </c>
      <c r="O46" s="176">
        <v>17</v>
      </c>
      <c r="P46" s="177">
        <v>0.83227399438824334</v>
      </c>
    </row>
    <row r="47" spans="1:16" x14ac:dyDescent="0.45">
      <c r="A47" s="123">
        <f t="shared" si="1"/>
        <v>38</v>
      </c>
      <c r="B47" s="149" t="s">
        <v>695</v>
      </c>
      <c r="C47" s="150">
        <v>30</v>
      </c>
      <c r="D47" s="107"/>
      <c r="E47" s="111">
        <v>0.24850401926789922</v>
      </c>
      <c r="F47" s="109">
        <v>8.8058318780313324E-2</v>
      </c>
      <c r="G47" s="164">
        <v>0.68494643315857051</v>
      </c>
      <c r="H47" s="109">
        <v>0.18468317880844898</v>
      </c>
      <c r="I47" s="107"/>
      <c r="J47" s="165">
        <v>0.11510995084037272</v>
      </c>
      <c r="K47" s="165">
        <v>8.1291636646966536E-2</v>
      </c>
      <c r="L47" s="166">
        <v>0.87256476582148146</v>
      </c>
      <c r="M47" s="130">
        <v>0.18468317880844898</v>
      </c>
      <c r="O47" s="176">
        <v>13</v>
      </c>
      <c r="P47" s="177">
        <v>0.76117553668314575</v>
      </c>
    </row>
    <row r="48" spans="1:16" x14ac:dyDescent="0.45">
      <c r="A48" s="123">
        <f t="shared" si="1"/>
        <v>39</v>
      </c>
      <c r="B48" s="149" t="s">
        <v>696</v>
      </c>
      <c r="C48" s="150">
        <v>88</v>
      </c>
      <c r="D48" s="107"/>
      <c r="E48" s="111">
        <v>5.1976404919946546E-2</v>
      </c>
      <c r="F48" s="109">
        <v>3.5550382196820482E-2</v>
      </c>
      <c r="G48" s="164">
        <v>2.5177314189381366</v>
      </c>
      <c r="H48" s="109">
        <v>0.61772050435580261</v>
      </c>
      <c r="I48" s="107"/>
      <c r="J48" s="165">
        <v>7.1285747378841025E-2</v>
      </c>
      <c r="K48" s="165">
        <v>9.7493915166957379E-2</v>
      </c>
      <c r="L48" s="166">
        <v>1.6997057970514373</v>
      </c>
      <c r="M48" s="130">
        <v>0.61772050435580261</v>
      </c>
      <c r="O48" s="176">
        <v>24</v>
      </c>
      <c r="P48" s="177">
        <v>0.88684438890530737</v>
      </c>
    </row>
    <row r="49" spans="1:16" x14ac:dyDescent="0.45">
      <c r="A49" s="123">
        <f t="shared" si="1"/>
        <v>40</v>
      </c>
      <c r="B49" s="149" t="s">
        <v>697</v>
      </c>
      <c r="C49" s="150">
        <v>305</v>
      </c>
      <c r="D49" s="107"/>
      <c r="E49" s="111">
        <v>3.8005447370776562E-3</v>
      </c>
      <c r="F49" s="109">
        <v>-7.5864114746318547</v>
      </c>
      <c r="G49" s="164">
        <v>1.1117471107048313</v>
      </c>
      <c r="H49" s="109">
        <v>43.083977914446734</v>
      </c>
      <c r="I49" s="107"/>
      <c r="J49" s="165">
        <v>3.8005447370776562E-3</v>
      </c>
      <c r="K49" s="165">
        <v>-7.5864114746318547</v>
      </c>
      <c r="L49" s="166">
        <v>0.22866652527558221</v>
      </c>
      <c r="M49" s="130">
        <v>1.2331164655532336</v>
      </c>
      <c r="O49" s="176">
        <v>145</v>
      </c>
      <c r="P49" s="177">
        <v>0.85133438937953543</v>
      </c>
    </row>
    <row r="50" spans="1:16" x14ac:dyDescent="0.45">
      <c r="A50" s="123">
        <f t="shared" si="1"/>
        <v>41</v>
      </c>
      <c r="B50" s="149" t="s">
        <v>698</v>
      </c>
      <c r="C50" s="150">
        <v>4</v>
      </c>
      <c r="D50" s="107"/>
      <c r="E50" s="111">
        <v>-8.2869965592844637E-5</v>
      </c>
      <c r="F50" s="109">
        <v>7.3467031859564394E-2</v>
      </c>
      <c r="G50" s="164">
        <v>-0.48619765656714714</v>
      </c>
      <c r="H50" s="109">
        <v>-1045.2798213904937</v>
      </c>
      <c r="I50" s="107"/>
      <c r="J50" s="165">
        <v>0</v>
      </c>
      <c r="K50" s="165">
        <v>3.4400000000000001E-4</v>
      </c>
      <c r="L50" s="166">
        <v>-0.48619765656714714</v>
      </c>
      <c r="M50" s="130">
        <v>-1045.2798213904937</v>
      </c>
      <c r="O50" s="176">
        <v>7</v>
      </c>
      <c r="P50" s="177">
        <v>0.82135989987216063</v>
      </c>
    </row>
    <row r="51" spans="1:16" x14ac:dyDescent="0.45">
      <c r="A51" s="123">
        <f t="shared" si="1"/>
        <v>42</v>
      </c>
      <c r="B51" s="149" t="s">
        <v>699</v>
      </c>
      <c r="C51" s="150">
        <v>21</v>
      </c>
      <c r="D51" s="107"/>
      <c r="E51" s="111">
        <v>7.7848756533900748E-2</v>
      </c>
      <c r="F51" s="109">
        <v>7.2975168026658266E-2</v>
      </c>
      <c r="G51" s="164">
        <v>1.0880708331259261</v>
      </c>
      <c r="H51" s="109">
        <v>0.15418680228918352</v>
      </c>
      <c r="I51" s="107"/>
      <c r="J51" s="165">
        <v>7.7848756533900748E-2</v>
      </c>
      <c r="K51" s="165">
        <v>7.1547092574513818E-2</v>
      </c>
      <c r="L51" s="166">
        <v>0.98310939271112718</v>
      </c>
      <c r="M51" s="130">
        <v>0.15418680228918352</v>
      </c>
      <c r="O51" s="176">
        <v>11</v>
      </c>
      <c r="P51" s="177">
        <v>0.75784204028209889</v>
      </c>
    </row>
    <row r="52" spans="1:16" x14ac:dyDescent="0.45">
      <c r="A52" s="123">
        <f t="shared" si="1"/>
        <v>43</v>
      </c>
      <c r="B52" s="149" t="s">
        <v>700</v>
      </c>
      <c r="C52" s="150">
        <v>5</v>
      </c>
      <c r="D52" s="107"/>
      <c r="E52" s="111">
        <v>0.11759584502471764</v>
      </c>
      <c r="F52" s="109">
        <v>-7.5294424425410608E-2</v>
      </c>
      <c r="G52" s="164">
        <v>2.1876836967866296</v>
      </c>
      <c r="H52" s="109">
        <v>2.2689478793802342</v>
      </c>
      <c r="I52" s="107"/>
      <c r="J52" s="165">
        <v>0.11759584502471764</v>
      </c>
      <c r="K52" s="165">
        <v>2.0611000000000001E-2</v>
      </c>
      <c r="L52" s="166">
        <v>2.1876836967866296</v>
      </c>
      <c r="M52" s="130">
        <v>2.2689478793802342</v>
      </c>
      <c r="O52" s="176">
        <v>15</v>
      </c>
      <c r="P52" s="177">
        <v>0.90011377989050512</v>
      </c>
    </row>
    <row r="53" spans="1:16" x14ac:dyDescent="0.45">
      <c r="A53" s="123">
        <f t="shared" si="1"/>
        <v>44</v>
      </c>
      <c r="B53" s="149" t="s">
        <v>701</v>
      </c>
      <c r="C53" s="150">
        <v>109</v>
      </c>
      <c r="D53" s="107"/>
      <c r="E53" s="111">
        <v>0.14025988266245765</v>
      </c>
      <c r="F53" s="109">
        <v>-0.20087009004763384</v>
      </c>
      <c r="G53" s="164">
        <v>0.87697130311709393</v>
      </c>
      <c r="H53" s="109">
        <v>0.36353405277161804</v>
      </c>
      <c r="I53" s="107"/>
      <c r="J53" s="165">
        <v>0.15079338387015126</v>
      </c>
      <c r="K53" s="165">
        <v>6.9753842563153812E-2</v>
      </c>
      <c r="L53" s="166">
        <v>1.083633298509443</v>
      </c>
      <c r="M53" s="130">
        <v>0.36353405277161804</v>
      </c>
      <c r="O53" s="176">
        <v>57</v>
      </c>
      <c r="P53" s="177">
        <v>0.94980958113280234</v>
      </c>
    </row>
    <row r="54" spans="1:16" x14ac:dyDescent="0.45">
      <c r="A54" s="123">
        <f t="shared" si="1"/>
        <v>45</v>
      </c>
      <c r="B54" s="149" t="s">
        <v>702</v>
      </c>
      <c r="C54" s="150">
        <v>34</v>
      </c>
      <c r="D54" s="107"/>
      <c r="E54" s="111">
        <v>0.14645155152925252</v>
      </c>
      <c r="F54" s="109">
        <v>6.4052030413260783E-2</v>
      </c>
      <c r="G54" s="164">
        <v>0.39041286095557665</v>
      </c>
      <c r="H54" s="109">
        <v>0.86662581323692467</v>
      </c>
      <c r="I54" s="107"/>
      <c r="J54" s="165">
        <v>0.14435869338976445</v>
      </c>
      <c r="K54" s="165">
        <v>4.1881808435528148E-2</v>
      </c>
      <c r="L54" s="166">
        <v>0.47399954397837374</v>
      </c>
      <c r="M54" s="130">
        <v>0.86662581323692467</v>
      </c>
      <c r="O54" s="176">
        <v>36</v>
      </c>
      <c r="P54" s="177">
        <v>0.80067773016722921</v>
      </c>
    </row>
    <row r="55" spans="1:16" x14ac:dyDescent="0.45">
      <c r="A55" s="123">
        <f t="shared" si="1"/>
        <v>46</v>
      </c>
      <c r="B55" s="149" t="s">
        <v>703</v>
      </c>
      <c r="C55" s="150">
        <v>90</v>
      </c>
      <c r="D55" s="107"/>
      <c r="E55" s="111">
        <v>9.7054656862379143E-2</v>
      </c>
      <c r="F55" s="109">
        <v>0.16471175034858473</v>
      </c>
      <c r="G55" s="164">
        <v>1.9379020518975081</v>
      </c>
      <c r="H55" s="109">
        <v>0.40163136981438047</v>
      </c>
      <c r="I55" s="107"/>
      <c r="J55" s="165">
        <v>9.2707251423079784E-2</v>
      </c>
      <c r="K55" s="165">
        <v>0.10546428337484885</v>
      </c>
      <c r="L55" s="166">
        <v>1.5497413339913155</v>
      </c>
      <c r="M55" s="130">
        <v>0.40163136981438047</v>
      </c>
      <c r="O55" s="176">
        <v>38</v>
      </c>
      <c r="P55" s="177">
        <v>0.83253543182872003</v>
      </c>
    </row>
    <row r="56" spans="1:16" x14ac:dyDescent="0.45">
      <c r="A56" s="123">
        <f t="shared" si="1"/>
        <v>47</v>
      </c>
      <c r="B56" s="149" t="s">
        <v>704</v>
      </c>
      <c r="C56" s="150">
        <v>27</v>
      </c>
      <c r="D56" s="107"/>
      <c r="E56" s="111">
        <v>4.6859711051806155E-2</v>
      </c>
      <c r="F56" s="109">
        <v>6.3086117976591971E-2</v>
      </c>
      <c r="G56" s="164">
        <v>2.4015180090900312</v>
      </c>
      <c r="H56" s="109">
        <v>1.0506743136584069</v>
      </c>
      <c r="I56" s="107"/>
      <c r="J56" s="165">
        <v>5.168740389496275E-2</v>
      </c>
      <c r="K56" s="165">
        <v>7.0046883162138862E-2</v>
      </c>
      <c r="L56" s="166">
        <v>2.4872405379448055</v>
      </c>
      <c r="M56" s="130">
        <v>0.89196912482561963</v>
      </c>
      <c r="O56" s="176">
        <v>9</v>
      </c>
      <c r="P56" s="177">
        <v>0.87400474427955244</v>
      </c>
    </row>
    <row r="57" spans="1:16" x14ac:dyDescent="0.45">
      <c r="A57" s="123">
        <f t="shared" si="1"/>
        <v>48</v>
      </c>
      <c r="B57" s="149" t="s">
        <v>705</v>
      </c>
      <c r="C57" s="150">
        <v>71</v>
      </c>
      <c r="D57" s="107"/>
      <c r="E57" s="111">
        <v>0.14141986431309664</v>
      </c>
      <c r="F57" s="109">
        <v>-0.16471725948764296</v>
      </c>
      <c r="G57" s="164">
        <v>0.9195365003363235</v>
      </c>
      <c r="H57" s="109">
        <v>0.50080480436867203</v>
      </c>
      <c r="I57" s="107"/>
      <c r="J57" s="165">
        <v>0.16342309743077377</v>
      </c>
      <c r="K57" s="165">
        <v>0.12804753360408824</v>
      </c>
      <c r="L57" s="166">
        <v>1.1085827921365814</v>
      </c>
      <c r="M57" s="130">
        <v>0.50080480436867203</v>
      </c>
      <c r="O57" s="176">
        <v>18</v>
      </c>
      <c r="P57" s="177">
        <v>1.0237815753164279</v>
      </c>
    </row>
    <row r="58" spans="1:16" x14ac:dyDescent="0.45">
      <c r="A58" s="123">
        <f t="shared" si="1"/>
        <v>49</v>
      </c>
      <c r="B58" s="149" t="s">
        <v>706</v>
      </c>
      <c r="C58" s="150">
        <v>119</v>
      </c>
      <c r="D58" s="107"/>
      <c r="E58" s="111">
        <v>0.1497096545342326</v>
      </c>
      <c r="F58" s="109">
        <v>6.5809455254023319E-2</v>
      </c>
      <c r="G58" s="164">
        <v>0.52659235914270519</v>
      </c>
      <c r="H58" s="109">
        <v>0.87316317214168548</v>
      </c>
      <c r="I58" s="107"/>
      <c r="J58" s="165">
        <v>0.17355614899884964</v>
      </c>
      <c r="K58" s="165">
        <v>7.030284831109862E-2</v>
      </c>
      <c r="L58" s="166">
        <v>0.52771374645751257</v>
      </c>
      <c r="M58" s="130">
        <v>0.87316317214168548</v>
      </c>
      <c r="O58" s="176">
        <v>48</v>
      </c>
      <c r="P58" s="177">
        <v>0.73563565281137466</v>
      </c>
    </row>
    <row r="59" spans="1:16" x14ac:dyDescent="0.45">
      <c r="A59" s="123">
        <f t="shared" si="1"/>
        <v>50</v>
      </c>
      <c r="B59" s="149" t="s">
        <v>707</v>
      </c>
      <c r="C59" s="150">
        <v>247</v>
      </c>
      <c r="D59" s="107"/>
      <c r="E59" s="111">
        <v>0.10339231925800094</v>
      </c>
      <c r="F59" s="109">
        <v>6.7612117654437517E-2</v>
      </c>
      <c r="G59" s="164">
        <v>1.7336821909944335</v>
      </c>
      <c r="H59" s="109">
        <v>0.48597506256371431</v>
      </c>
      <c r="I59" s="107"/>
      <c r="J59" s="165">
        <v>7.4418998629170396E-2</v>
      </c>
      <c r="K59" s="165">
        <v>9.5674901998955855E-2</v>
      </c>
      <c r="L59" s="166">
        <v>1.5638858074462667</v>
      </c>
      <c r="M59" s="130">
        <v>0.48597506256371431</v>
      </c>
      <c r="O59" s="176">
        <v>117</v>
      </c>
      <c r="P59" s="177">
        <v>0.9900661605285499</v>
      </c>
    </row>
    <row r="60" spans="1:16" x14ac:dyDescent="0.45">
      <c r="A60" s="123">
        <f t="shared" si="1"/>
        <v>51</v>
      </c>
      <c r="B60" s="149" t="s">
        <v>708</v>
      </c>
      <c r="C60" s="150">
        <v>327</v>
      </c>
      <c r="D60" s="107"/>
      <c r="E60" s="111">
        <v>7.4154799529546539E-2</v>
      </c>
      <c r="F60" s="109">
        <v>9.27081151003981E-2</v>
      </c>
      <c r="G60" s="164">
        <v>1.5442702250163542</v>
      </c>
      <c r="H60" s="109">
        <v>0.52720188012551716</v>
      </c>
      <c r="I60" s="107"/>
      <c r="J60" s="165">
        <v>8.2451575875816141E-2</v>
      </c>
      <c r="K60" s="165">
        <v>8.5661993016384622E-2</v>
      </c>
      <c r="L60" s="166">
        <v>1.4342306697436777</v>
      </c>
      <c r="M60" s="130">
        <v>0.52720188012551716</v>
      </c>
      <c r="O60" s="176">
        <v>130</v>
      </c>
      <c r="P60" s="177">
        <v>1.0165780280087664</v>
      </c>
    </row>
    <row r="61" spans="1:16" x14ac:dyDescent="0.45">
      <c r="A61" s="123">
        <f t="shared" si="1"/>
        <v>52</v>
      </c>
      <c r="B61" s="149" t="s">
        <v>709</v>
      </c>
      <c r="C61" s="150">
        <v>176</v>
      </c>
      <c r="D61" s="107"/>
      <c r="E61" s="111">
        <v>0.17110213916022718</v>
      </c>
      <c r="F61" s="109">
        <v>9.9672153426290377E-2</v>
      </c>
      <c r="G61" s="164">
        <v>1.5170700978216143</v>
      </c>
      <c r="H61" s="109">
        <v>0.3532886580996023</v>
      </c>
      <c r="I61" s="107"/>
      <c r="J61" s="165">
        <v>0.10748105149161291</v>
      </c>
      <c r="K61" s="165">
        <v>0.10852580705760136</v>
      </c>
      <c r="L61" s="166">
        <v>1.4948848953932212</v>
      </c>
      <c r="M61" s="130">
        <v>0.3532886580996023</v>
      </c>
      <c r="O61" s="176">
        <v>97</v>
      </c>
      <c r="P61" s="177">
        <v>1.0475320042114331</v>
      </c>
    </row>
    <row r="62" spans="1:16" x14ac:dyDescent="0.45">
      <c r="A62" s="123">
        <f t="shared" si="1"/>
        <v>53</v>
      </c>
      <c r="B62" s="149" t="s">
        <v>710</v>
      </c>
      <c r="C62" s="150">
        <v>68</v>
      </c>
      <c r="D62" s="107"/>
      <c r="E62" s="111">
        <v>4.2411814847154873E-2</v>
      </c>
      <c r="F62" s="109">
        <v>6.4117460409214913E-2</v>
      </c>
      <c r="G62" s="164">
        <v>3.6531659469605624</v>
      </c>
      <c r="H62" s="109">
        <v>0.52282882789752205</v>
      </c>
      <c r="I62" s="107"/>
      <c r="J62" s="165">
        <v>6.3942825630955449E-2</v>
      </c>
      <c r="K62" s="165">
        <v>0.1096778136773853</v>
      </c>
      <c r="L62" s="166">
        <v>2.0080545003664145</v>
      </c>
      <c r="M62" s="130">
        <v>0.52282882789752205</v>
      </c>
      <c r="O62" s="176">
        <v>30</v>
      </c>
      <c r="P62" s="177">
        <v>1.0112110620367234</v>
      </c>
    </row>
    <row r="63" spans="1:16" x14ac:dyDescent="0.45">
      <c r="A63" s="123">
        <f t="shared" si="1"/>
        <v>54</v>
      </c>
      <c r="B63" s="149" t="s">
        <v>711</v>
      </c>
      <c r="C63" s="150">
        <v>71</v>
      </c>
      <c r="D63" s="107"/>
      <c r="E63" s="111">
        <v>0.10865492857834405</v>
      </c>
      <c r="F63" s="109">
        <v>0.2479919702391897</v>
      </c>
      <c r="G63" s="164">
        <v>1.428104416145185</v>
      </c>
      <c r="H63" s="109">
        <v>0.68153630882980665</v>
      </c>
      <c r="I63" s="107"/>
      <c r="J63" s="165">
        <v>0.10678436190472806</v>
      </c>
      <c r="K63" s="165">
        <v>0.11259099261540076</v>
      </c>
      <c r="L63" s="166">
        <v>1.2862351102365797</v>
      </c>
      <c r="M63" s="130">
        <v>0.68153630882980665</v>
      </c>
      <c r="O63" s="176">
        <v>34</v>
      </c>
      <c r="P63" s="177">
        <v>0.831919613087026</v>
      </c>
    </row>
    <row r="64" spans="1:16" x14ac:dyDescent="0.45">
      <c r="A64" s="123">
        <f t="shared" si="1"/>
        <v>55</v>
      </c>
      <c r="B64" s="149" t="s">
        <v>712</v>
      </c>
      <c r="C64" s="150">
        <v>55</v>
      </c>
      <c r="D64" s="107"/>
      <c r="E64" s="111">
        <v>0.14885195503636819</v>
      </c>
      <c r="F64" s="109">
        <v>0.11633217056172866</v>
      </c>
      <c r="G64" s="164">
        <v>0.9919349339247302</v>
      </c>
      <c r="H64" s="109">
        <v>0.393884510722322</v>
      </c>
      <c r="I64" s="107"/>
      <c r="J64" s="165">
        <v>0.14033091844914738</v>
      </c>
      <c r="K64" s="165">
        <v>0.10601971431692774</v>
      </c>
      <c r="L64" s="166">
        <v>1.0623211022262167</v>
      </c>
      <c r="M64" s="130">
        <v>0.393884510722322</v>
      </c>
      <c r="O64" s="176">
        <v>16</v>
      </c>
      <c r="P64" s="177">
        <v>0.79612928736029076</v>
      </c>
    </row>
    <row r="65" spans="1:16" x14ac:dyDescent="0.45">
      <c r="A65" s="123">
        <f t="shared" si="1"/>
        <v>56</v>
      </c>
      <c r="B65" s="149" t="s">
        <v>713</v>
      </c>
      <c r="C65" s="150">
        <v>39</v>
      </c>
      <c r="D65" s="107"/>
      <c r="E65" s="111">
        <v>0.40766213296473486</v>
      </c>
      <c r="F65" s="109">
        <v>-2.3092273720545191</v>
      </c>
      <c r="G65" s="164">
        <v>1.021269712726971</v>
      </c>
      <c r="H65" s="109">
        <v>0.40704617222558243</v>
      </c>
      <c r="I65" s="107"/>
      <c r="J65" s="165">
        <v>0.41489059714350501</v>
      </c>
      <c r="K65" s="165">
        <v>0.29678237322561368</v>
      </c>
      <c r="L65" s="166">
        <v>1.2301425663777095</v>
      </c>
      <c r="M65" s="130">
        <v>0.3249896418499883</v>
      </c>
      <c r="O65" s="176">
        <v>24</v>
      </c>
      <c r="P65" s="177">
        <v>0.89664182279477833</v>
      </c>
    </row>
    <row r="66" spans="1:16" x14ac:dyDescent="0.45">
      <c r="A66" s="123">
        <f t="shared" si="1"/>
        <v>57</v>
      </c>
      <c r="B66" s="149" t="s">
        <v>714</v>
      </c>
      <c r="C66" s="150">
        <v>40</v>
      </c>
      <c r="D66" s="107"/>
      <c r="E66" s="111">
        <v>2.8817491394659171E-2</v>
      </c>
      <c r="F66" s="109">
        <v>5.6116676710394366E-2</v>
      </c>
      <c r="G66" s="164">
        <v>4.8671247452997521</v>
      </c>
      <c r="H66" s="109">
        <v>0.62205616483658377</v>
      </c>
      <c r="I66" s="107"/>
      <c r="J66" s="165">
        <v>2.5498532243698451E-2</v>
      </c>
      <c r="K66" s="165">
        <v>6.5167128459351464E-2</v>
      </c>
      <c r="L66" s="166">
        <v>3.106809656369713</v>
      </c>
      <c r="M66" s="130">
        <v>0.62205616483658377</v>
      </c>
      <c r="O66" s="176">
        <v>15</v>
      </c>
      <c r="P66" s="177">
        <v>0.84127029041056856</v>
      </c>
    </row>
    <row r="67" spans="1:16" x14ac:dyDescent="0.45">
      <c r="A67" s="123">
        <f t="shared" si="1"/>
        <v>58</v>
      </c>
      <c r="B67" s="149" t="s">
        <v>715</v>
      </c>
      <c r="C67" s="150">
        <v>87</v>
      </c>
      <c r="D67" s="107"/>
      <c r="E67" s="111">
        <v>4.5729937197381255E-2</v>
      </c>
      <c r="F67" s="109">
        <v>4.5292084436365197E-2</v>
      </c>
      <c r="G67" s="164">
        <v>2.6919529884538353</v>
      </c>
      <c r="H67" s="109">
        <v>0.34186086997306314</v>
      </c>
      <c r="I67" s="107"/>
      <c r="J67" s="165">
        <v>4.4445639058564655E-2</v>
      </c>
      <c r="K67" s="165">
        <v>7.0375840792707797E-2</v>
      </c>
      <c r="L67" s="166">
        <v>2.3526202678128616</v>
      </c>
      <c r="M67" s="130">
        <v>0.34186086997306314</v>
      </c>
      <c r="O67" s="176">
        <v>38</v>
      </c>
      <c r="P67" s="177">
        <v>0.77972010673012071</v>
      </c>
    </row>
    <row r="68" spans="1:16" x14ac:dyDescent="0.45">
      <c r="A68" s="123">
        <f t="shared" si="1"/>
        <v>59</v>
      </c>
      <c r="B68" s="149" t="s">
        <v>716</v>
      </c>
      <c r="C68" s="150">
        <v>21</v>
      </c>
      <c r="D68" s="107"/>
      <c r="E68" s="111">
        <v>0.104407860148301</v>
      </c>
      <c r="F68" s="109">
        <v>0.11817163531520143</v>
      </c>
      <c r="G68" s="164">
        <v>1.8476348599995522</v>
      </c>
      <c r="H68" s="109">
        <v>0.3240746963702239</v>
      </c>
      <c r="I68" s="107"/>
      <c r="J68" s="165">
        <v>0.10334629646719787</v>
      </c>
      <c r="K68" s="165">
        <v>0.12565647570103103</v>
      </c>
      <c r="L68" s="166">
        <v>1.5234901852558345</v>
      </c>
      <c r="M68" s="130">
        <v>0.3240746963702239</v>
      </c>
      <c r="O68" s="176">
        <v>11</v>
      </c>
      <c r="P68" s="177">
        <v>1.0158595218948767</v>
      </c>
    </row>
    <row r="69" spans="1:16" x14ac:dyDescent="0.45">
      <c r="A69" s="123">
        <f t="shared" si="1"/>
        <v>60</v>
      </c>
      <c r="B69" s="149" t="s">
        <v>717</v>
      </c>
      <c r="C69" s="150">
        <v>35</v>
      </c>
      <c r="D69" s="107"/>
      <c r="E69" s="111">
        <v>9.6810339314381544E-2</v>
      </c>
      <c r="F69" s="109">
        <v>6.1796190444606339E-2</v>
      </c>
      <c r="G69" s="164">
        <v>1.0949021850881488</v>
      </c>
      <c r="H69" s="109">
        <v>0.46647696571213215</v>
      </c>
      <c r="I69" s="107"/>
      <c r="J69" s="165">
        <v>8.5092816473429922E-2</v>
      </c>
      <c r="K69" s="165">
        <v>6.7485024368530891E-2</v>
      </c>
      <c r="L69" s="166">
        <v>1.2424651092856238</v>
      </c>
      <c r="M69" s="130">
        <v>0.46647696571213215</v>
      </c>
      <c r="O69" s="176">
        <v>10</v>
      </c>
      <c r="P69" s="177">
        <v>0.90761696798395997</v>
      </c>
    </row>
    <row r="70" spans="1:16" x14ac:dyDescent="0.45">
      <c r="A70" s="123">
        <f t="shared" si="1"/>
        <v>61</v>
      </c>
      <c r="B70" s="149" t="s">
        <v>718</v>
      </c>
      <c r="C70" s="150">
        <v>53</v>
      </c>
      <c r="D70" s="107"/>
      <c r="E70" s="111">
        <v>0.13316547734712308</v>
      </c>
      <c r="F70" s="109">
        <v>9.8078670413558527E-2</v>
      </c>
      <c r="G70" s="164">
        <v>0.69820759283091649</v>
      </c>
      <c r="H70" s="109">
        <v>0.78919441260224477</v>
      </c>
      <c r="I70" s="107"/>
      <c r="J70" s="165">
        <v>0.15433369954673895</v>
      </c>
      <c r="K70" s="165">
        <v>6.2628115675556706E-2</v>
      </c>
      <c r="L70" s="166">
        <v>0.97003850029955596</v>
      </c>
      <c r="M70" s="130">
        <v>0.78919441260224477</v>
      </c>
      <c r="O70" s="176">
        <v>26</v>
      </c>
      <c r="P70" s="177">
        <v>0.70075241458158688</v>
      </c>
    </row>
    <row r="71" spans="1:16" x14ac:dyDescent="0.45">
      <c r="A71" s="123">
        <f t="shared" si="1"/>
        <v>62</v>
      </c>
      <c r="B71" s="149" t="s">
        <v>719</v>
      </c>
      <c r="C71" s="150">
        <v>66</v>
      </c>
      <c r="D71" s="107"/>
      <c r="E71" s="111">
        <v>0.21810085652541919</v>
      </c>
      <c r="F71" s="109">
        <v>8.8638460143848435E-2</v>
      </c>
      <c r="G71" s="164">
        <v>0.50063919109209731</v>
      </c>
      <c r="H71" s="109">
        <v>1.3351873762498878</v>
      </c>
      <c r="I71" s="107"/>
      <c r="J71" s="165">
        <v>0.22532582032212461</v>
      </c>
      <c r="K71" s="165">
        <v>9.1287307524299005E-2</v>
      </c>
      <c r="L71" s="166">
        <v>0.69089051962657144</v>
      </c>
      <c r="M71" s="130">
        <v>0.84893188987098267</v>
      </c>
      <c r="O71" s="176">
        <v>46</v>
      </c>
      <c r="P71" s="177">
        <v>1.1565623044478561</v>
      </c>
    </row>
    <row r="72" spans="1:16" x14ac:dyDescent="0.45">
      <c r="A72" s="123">
        <f t="shared" si="1"/>
        <v>63</v>
      </c>
      <c r="B72" s="149" t="s">
        <v>720</v>
      </c>
      <c r="C72" s="150">
        <v>43</v>
      </c>
      <c r="D72" s="107"/>
      <c r="E72" s="111">
        <v>1.5605783214904844E-2</v>
      </c>
      <c r="F72" s="109">
        <v>8.7168235919694623E-2</v>
      </c>
      <c r="G72" s="164">
        <v>43.250416152526867</v>
      </c>
      <c r="H72" s="109">
        <v>0.11098196524791892</v>
      </c>
      <c r="I72" s="107"/>
      <c r="J72" s="165">
        <v>5.2968501909099491E-2</v>
      </c>
      <c r="K72" s="165">
        <v>8.5235478011222471E-2</v>
      </c>
      <c r="L72" s="166">
        <v>2.5113408596513378</v>
      </c>
      <c r="M72" s="130">
        <v>0.11098196524791892</v>
      </c>
      <c r="O72" s="176">
        <v>19</v>
      </c>
      <c r="P72" s="177">
        <v>0.78493215080314938</v>
      </c>
    </row>
    <row r="73" spans="1:16" x14ac:dyDescent="0.45">
      <c r="A73" s="123">
        <f t="shared" si="1"/>
        <v>64</v>
      </c>
      <c r="B73" s="149" t="s">
        <v>721</v>
      </c>
      <c r="C73" s="150">
        <v>171</v>
      </c>
      <c r="D73" s="107"/>
      <c r="E73" s="111">
        <v>0.15826117834921435</v>
      </c>
      <c r="F73" s="109">
        <v>-0.3228641629394009</v>
      </c>
      <c r="G73" s="164">
        <v>1.2789085563071221</v>
      </c>
      <c r="H73" s="109">
        <v>0.34599349343416547</v>
      </c>
      <c r="I73" s="107"/>
      <c r="J73" s="165">
        <v>0.16829583195676637</v>
      </c>
      <c r="K73" s="165">
        <v>0.15089843250616075</v>
      </c>
      <c r="L73" s="166">
        <v>1.3956860608082502</v>
      </c>
      <c r="M73" s="130">
        <v>0.34599349343416547</v>
      </c>
      <c r="O73" s="176">
        <v>91</v>
      </c>
      <c r="P73" s="177">
        <v>0.97041522211379561</v>
      </c>
    </row>
    <row r="74" spans="1:16" x14ac:dyDescent="0.45">
      <c r="A74" s="123">
        <f t="shared" si="1"/>
        <v>65</v>
      </c>
      <c r="B74" s="149" t="s">
        <v>722</v>
      </c>
      <c r="C74" s="150">
        <v>77</v>
      </c>
      <c r="D74" s="107"/>
      <c r="E74" s="111">
        <v>0.12301072809333241</v>
      </c>
      <c r="F74" s="109">
        <v>0.18356716159817371</v>
      </c>
      <c r="G74" s="164">
        <v>1.1825941881086699</v>
      </c>
      <c r="H74" s="109">
        <v>0.45421227935832226</v>
      </c>
      <c r="I74" s="107"/>
      <c r="J74" s="165">
        <v>0.12907822234896332</v>
      </c>
      <c r="K74" s="165">
        <v>0.10827654717942403</v>
      </c>
      <c r="L74" s="166">
        <v>0.9982225763130228</v>
      </c>
      <c r="M74" s="130">
        <v>0.45421227935832226</v>
      </c>
      <c r="O74" s="176">
        <v>30</v>
      </c>
      <c r="P74" s="177">
        <v>0.85212685624836182</v>
      </c>
    </row>
    <row r="75" spans="1:16" x14ac:dyDescent="0.45">
      <c r="A75" s="123">
        <f t="shared" si="1"/>
        <v>66</v>
      </c>
      <c r="B75" s="149" t="s">
        <v>723</v>
      </c>
      <c r="C75" s="150">
        <v>74</v>
      </c>
      <c r="D75" s="107"/>
      <c r="E75" s="111">
        <v>5.9853530517488727E-2</v>
      </c>
      <c r="F75" s="109">
        <v>0.37231257571566462</v>
      </c>
      <c r="G75" s="164">
        <v>3.3660567101974554</v>
      </c>
      <c r="H75" s="109">
        <v>0.4037235492123834</v>
      </c>
      <c r="I75" s="107"/>
      <c r="J75" s="165">
        <v>0.1260225471091454</v>
      </c>
      <c r="K75" s="165">
        <v>0.18639860988983917</v>
      </c>
      <c r="L75" s="166">
        <v>1.5569891406322425</v>
      </c>
      <c r="M75" s="130">
        <v>0.4037235492123834</v>
      </c>
      <c r="O75" s="176">
        <v>33</v>
      </c>
      <c r="P75" s="177">
        <v>0.99720510304789245</v>
      </c>
    </row>
    <row r="76" spans="1:16" x14ac:dyDescent="0.45">
      <c r="A76" s="123">
        <f t="shared" ref="A76:A139" si="2">A75+1</f>
        <v>67</v>
      </c>
      <c r="B76" s="149" t="s">
        <v>724</v>
      </c>
      <c r="C76" s="150">
        <v>82</v>
      </c>
      <c r="D76" s="107"/>
      <c r="E76" s="111">
        <v>0.1402362499715154</v>
      </c>
      <c r="F76" s="109">
        <v>5.4659504510227691E-2</v>
      </c>
      <c r="G76" s="164">
        <v>1.0014488748533608</v>
      </c>
      <c r="H76" s="109">
        <v>0.7492911227332596</v>
      </c>
      <c r="I76" s="107"/>
      <c r="J76" s="165">
        <v>0.15246457806671534</v>
      </c>
      <c r="K76" s="165">
        <v>0.12578129383438058</v>
      </c>
      <c r="L76" s="166">
        <v>1.2623456719812165</v>
      </c>
      <c r="M76" s="130">
        <v>0.54994919298460476</v>
      </c>
      <c r="O76" s="176">
        <v>36</v>
      </c>
      <c r="P76" s="177">
        <v>0.94389063382989613</v>
      </c>
    </row>
    <row r="77" spans="1:16" x14ac:dyDescent="0.45">
      <c r="A77" s="123">
        <f t="shared" si="2"/>
        <v>68</v>
      </c>
      <c r="B77" s="149" t="s">
        <v>725</v>
      </c>
      <c r="C77" s="150">
        <v>36</v>
      </c>
      <c r="D77" s="107"/>
      <c r="E77" s="111">
        <v>7.9782621728203301E-2</v>
      </c>
      <c r="F77" s="109">
        <v>0.48007869081005755</v>
      </c>
      <c r="G77" s="164">
        <v>1.6521176883974336</v>
      </c>
      <c r="H77" s="109">
        <v>1.0168198902879313</v>
      </c>
      <c r="I77" s="107"/>
      <c r="J77" s="165">
        <v>0.10856389370041673</v>
      </c>
      <c r="K77" s="165">
        <v>0.11790132168780533</v>
      </c>
      <c r="L77" s="166">
        <v>1.9837055484323454</v>
      </c>
      <c r="M77" s="130">
        <v>0.89038421238405485</v>
      </c>
      <c r="O77" s="176">
        <v>22</v>
      </c>
      <c r="P77" s="177">
        <v>1.0574589891124491</v>
      </c>
    </row>
    <row r="78" spans="1:16" x14ac:dyDescent="0.45">
      <c r="A78" s="123">
        <f t="shared" si="2"/>
        <v>69</v>
      </c>
      <c r="B78" s="149" t="s">
        <v>726</v>
      </c>
      <c r="C78" s="150">
        <v>51</v>
      </c>
      <c r="D78" s="107"/>
      <c r="E78" s="111">
        <v>5.9936289544439143E-2</v>
      </c>
      <c r="F78" s="109">
        <v>0.10833012571075588</v>
      </c>
      <c r="G78" s="164">
        <v>2.0366609267372651</v>
      </c>
      <c r="H78" s="109">
        <v>0.48707699501845819</v>
      </c>
      <c r="I78" s="107"/>
      <c r="J78" s="165">
        <v>7.8678972466089542E-2</v>
      </c>
      <c r="K78" s="165">
        <v>9.8548882767500415E-2</v>
      </c>
      <c r="L78" s="166">
        <v>1.6070182771509849</v>
      </c>
      <c r="M78" s="130">
        <v>0.48707699501845819</v>
      </c>
      <c r="O78" s="176">
        <v>16</v>
      </c>
      <c r="P78" s="177">
        <v>1.0379065351352696</v>
      </c>
    </row>
    <row r="79" spans="1:16" x14ac:dyDescent="0.45">
      <c r="A79" s="123">
        <f t="shared" si="2"/>
        <v>70</v>
      </c>
      <c r="B79" s="149" t="s">
        <v>727</v>
      </c>
      <c r="C79" s="150">
        <v>13</v>
      </c>
      <c r="D79" s="107"/>
      <c r="E79" s="111">
        <v>0.34516099617910873</v>
      </c>
      <c r="F79" s="109">
        <v>8.7858181503124536E-2</v>
      </c>
      <c r="G79" s="164">
        <v>0.23818061879206015</v>
      </c>
      <c r="H79" s="109">
        <v>0.79786936373450712</v>
      </c>
      <c r="I79" s="107"/>
      <c r="J79" s="165">
        <v>0.33308552888557025</v>
      </c>
      <c r="K79" s="165">
        <v>7.404877428801282E-2</v>
      </c>
      <c r="L79" s="166">
        <v>0.2922358847153021</v>
      </c>
      <c r="M79" s="130">
        <v>0.79786936373450712</v>
      </c>
      <c r="O79" s="176">
        <v>5</v>
      </c>
      <c r="P79" s="177">
        <v>0.76960758114381367</v>
      </c>
    </row>
    <row r="80" spans="1:16" x14ac:dyDescent="0.45">
      <c r="A80" s="123">
        <f t="shared" si="2"/>
        <v>71</v>
      </c>
      <c r="B80" s="149" t="s">
        <v>728</v>
      </c>
      <c r="C80" s="150">
        <v>55</v>
      </c>
      <c r="D80" s="107"/>
      <c r="E80" s="111">
        <v>8.6853755169482488E-2</v>
      </c>
      <c r="F80" s="109">
        <v>8.8346368758907848E-2</v>
      </c>
      <c r="G80" s="164">
        <v>1.7526818549417702</v>
      </c>
      <c r="H80" s="109">
        <v>0.63945857782006676</v>
      </c>
      <c r="I80" s="107"/>
      <c r="J80" s="165">
        <v>9.6037821019173963E-2</v>
      </c>
      <c r="K80" s="165">
        <v>0.10877680091422207</v>
      </c>
      <c r="L80" s="166">
        <v>1.6412847271542625</v>
      </c>
      <c r="M80" s="130">
        <v>0.63945857782006676</v>
      </c>
      <c r="O80" s="176">
        <v>24</v>
      </c>
      <c r="P80" s="177">
        <v>0.95368871520590071</v>
      </c>
    </row>
    <row r="81" spans="1:16" x14ac:dyDescent="0.45">
      <c r="A81" s="123">
        <f t="shared" si="2"/>
        <v>72</v>
      </c>
      <c r="B81" s="149" t="s">
        <v>729</v>
      </c>
      <c r="C81" s="150">
        <v>29</v>
      </c>
      <c r="D81" s="107"/>
      <c r="E81" s="111">
        <v>0.12036388094494732</v>
      </c>
      <c r="F81" s="109">
        <v>0.11403333528122926</v>
      </c>
      <c r="G81" s="164">
        <v>2.4366799328834499</v>
      </c>
      <c r="H81" s="109">
        <v>0.27840938157871203</v>
      </c>
      <c r="I81" s="107"/>
      <c r="J81" s="165">
        <v>7.5926397821112171E-2</v>
      </c>
      <c r="K81" s="165">
        <v>9.6167443532776356E-2</v>
      </c>
      <c r="L81" s="166">
        <v>1.4450117834614304</v>
      </c>
      <c r="M81" s="130">
        <v>0.27840938157871203</v>
      </c>
      <c r="O81" s="176">
        <v>15</v>
      </c>
      <c r="P81" s="177">
        <v>0.90579231059458221</v>
      </c>
    </row>
    <row r="82" spans="1:16" x14ac:dyDescent="0.45">
      <c r="A82" s="123">
        <f t="shared" si="2"/>
        <v>73</v>
      </c>
      <c r="B82" s="149" t="s">
        <v>730</v>
      </c>
      <c r="C82" s="150">
        <v>80</v>
      </c>
      <c r="D82" s="107"/>
      <c r="E82" s="111">
        <v>0.13033184693186153</v>
      </c>
      <c r="F82" s="109">
        <v>6.7108581564245942E-2</v>
      </c>
      <c r="G82" s="164">
        <v>1.3728845486713994</v>
      </c>
      <c r="H82" s="109">
        <v>0.52996731390378771</v>
      </c>
      <c r="I82" s="107"/>
      <c r="J82" s="165">
        <v>0.11676806699599847</v>
      </c>
      <c r="K82" s="165">
        <v>0.10539084429443851</v>
      </c>
      <c r="L82" s="166">
        <v>1.2185213040984584</v>
      </c>
      <c r="M82" s="130">
        <v>0.52996731390378771</v>
      </c>
      <c r="O82" s="176">
        <v>46</v>
      </c>
      <c r="P82" s="177">
        <v>1.052385992778091</v>
      </c>
    </row>
    <row r="83" spans="1:16" x14ac:dyDescent="0.45">
      <c r="A83" s="123">
        <f t="shared" si="2"/>
        <v>74</v>
      </c>
      <c r="B83" s="149" t="s">
        <v>731</v>
      </c>
      <c r="C83" s="150">
        <v>28</v>
      </c>
      <c r="D83" s="107"/>
      <c r="E83" s="111">
        <v>0.11199460275753095</v>
      </c>
      <c r="F83" s="109">
        <v>6.1024702431167747E-2</v>
      </c>
      <c r="G83" s="164">
        <v>1.3925266243560115</v>
      </c>
      <c r="H83" s="109">
        <v>0.51961928601880958</v>
      </c>
      <c r="I83" s="107"/>
      <c r="J83" s="165">
        <v>0.10957899523083622</v>
      </c>
      <c r="K83" s="165">
        <v>0.11524180667445183</v>
      </c>
      <c r="L83" s="166">
        <v>1.2519841295006608</v>
      </c>
      <c r="M83" s="130">
        <v>0.51961928601880958</v>
      </c>
      <c r="O83" s="176">
        <v>17</v>
      </c>
      <c r="P83" s="177">
        <v>0.98484422949879757</v>
      </c>
    </row>
    <row r="84" spans="1:16" x14ac:dyDescent="0.45">
      <c r="A84" s="123">
        <f t="shared" si="2"/>
        <v>75</v>
      </c>
      <c r="B84" s="149" t="s">
        <v>732</v>
      </c>
      <c r="C84" s="150">
        <v>97</v>
      </c>
      <c r="D84" s="107"/>
      <c r="E84" s="111">
        <v>0.12887791546836649</v>
      </c>
      <c r="F84" s="109">
        <v>0.19016640695927217</v>
      </c>
      <c r="G84" s="164">
        <v>0.71611024565401937</v>
      </c>
      <c r="H84" s="109">
        <v>0.55677556090759339</v>
      </c>
      <c r="I84" s="107"/>
      <c r="J84" s="165">
        <v>0.20381557567871178</v>
      </c>
      <c r="K84" s="165">
        <v>5.5304787535829195E-2</v>
      </c>
      <c r="L84" s="166">
        <v>0.4661019836143015</v>
      </c>
      <c r="M84" s="130">
        <v>0.55677556090759339</v>
      </c>
      <c r="O84" s="176">
        <v>40</v>
      </c>
      <c r="P84" s="177">
        <v>0.93711948033407744</v>
      </c>
    </row>
    <row r="85" spans="1:16" x14ac:dyDescent="0.45">
      <c r="A85" s="123">
        <f t="shared" si="2"/>
        <v>76</v>
      </c>
      <c r="B85" s="149" t="s">
        <v>733</v>
      </c>
      <c r="C85" s="150">
        <v>59</v>
      </c>
      <c r="D85" s="107"/>
      <c r="E85" s="111">
        <v>7.7207306119651292E-2</v>
      </c>
      <c r="F85" s="109">
        <v>0.11287607998968946</v>
      </c>
      <c r="G85" s="164">
        <v>2.3867648764836309</v>
      </c>
      <c r="H85" s="109">
        <v>0.34583042281828275</v>
      </c>
      <c r="I85" s="107"/>
      <c r="J85" s="165">
        <v>8.5388701737408923E-2</v>
      </c>
      <c r="K85" s="165">
        <v>0.10728895174332093</v>
      </c>
      <c r="L85" s="166">
        <v>1.8692095887179254</v>
      </c>
      <c r="M85" s="130">
        <v>0.34583042281828275</v>
      </c>
      <c r="O85" s="176">
        <v>29</v>
      </c>
      <c r="P85" s="177">
        <v>0.84513953314228019</v>
      </c>
    </row>
    <row r="86" spans="1:16" x14ac:dyDescent="0.45">
      <c r="A86" s="123">
        <f t="shared" si="2"/>
        <v>77</v>
      </c>
      <c r="B86" s="149" t="s">
        <v>734</v>
      </c>
      <c r="C86" s="150">
        <v>37</v>
      </c>
      <c r="D86" s="107"/>
      <c r="E86" s="111">
        <v>0.19654661356646125</v>
      </c>
      <c r="F86" s="109">
        <v>0.13842686182663019</v>
      </c>
      <c r="G86" s="164">
        <v>1.7961899113321453</v>
      </c>
      <c r="H86" s="109">
        <v>5.2733456367703845E-2</v>
      </c>
      <c r="I86" s="107"/>
      <c r="J86" s="165">
        <v>9.8903071677992976E-2</v>
      </c>
      <c r="K86" s="165">
        <v>0.13294006227438004</v>
      </c>
      <c r="L86" s="166">
        <v>2.1192482111990572</v>
      </c>
      <c r="M86" s="130">
        <v>5.2733456367703845E-2</v>
      </c>
      <c r="O86" s="176">
        <v>18</v>
      </c>
      <c r="P86" s="177">
        <v>0.77740490306958709</v>
      </c>
    </row>
    <row r="87" spans="1:16" x14ac:dyDescent="0.45">
      <c r="A87" s="123">
        <f t="shared" si="2"/>
        <v>78</v>
      </c>
      <c r="B87" s="149" t="s">
        <v>735</v>
      </c>
      <c r="C87" s="150">
        <v>15</v>
      </c>
      <c r="D87" s="107"/>
      <c r="E87" s="111">
        <v>8.3712030376906318E-2</v>
      </c>
      <c r="F87" s="109">
        <v>0.11816924792556134</v>
      </c>
      <c r="G87" s="164">
        <v>1.1951061820375541</v>
      </c>
      <c r="H87" s="109">
        <v>0.33591173714588746</v>
      </c>
      <c r="I87" s="107"/>
      <c r="J87" s="165">
        <v>8.2594837043664299E-2</v>
      </c>
      <c r="K87" s="165">
        <v>9.3472614326571613E-2</v>
      </c>
      <c r="L87" s="166">
        <v>1.485170790462611</v>
      </c>
      <c r="M87" s="130">
        <v>0.33591173714588746</v>
      </c>
      <c r="O87" s="176">
        <v>5</v>
      </c>
      <c r="P87" s="177">
        <v>0.93061897440528296</v>
      </c>
    </row>
    <row r="88" spans="1:16" x14ac:dyDescent="0.45">
      <c r="A88" s="123">
        <f t="shared" si="2"/>
        <v>79</v>
      </c>
      <c r="B88" s="149" t="s">
        <v>736</v>
      </c>
      <c r="C88" s="150">
        <v>73</v>
      </c>
      <c r="D88" s="107"/>
      <c r="E88" s="111">
        <v>7.9425380785210262E-2</v>
      </c>
      <c r="F88" s="109">
        <v>0.40902645362372397</v>
      </c>
      <c r="G88" s="164">
        <v>6.1612726019357797</v>
      </c>
      <c r="H88" s="109">
        <v>7.1428183912970206E-2</v>
      </c>
      <c r="I88" s="107"/>
      <c r="J88" s="165">
        <v>0.10623732166058733</v>
      </c>
      <c r="K88" s="165">
        <v>0.25638824493364309</v>
      </c>
      <c r="L88" s="166">
        <v>4.4751645121170718</v>
      </c>
      <c r="M88" s="130">
        <v>7.1428183912970206E-2</v>
      </c>
      <c r="O88" s="176">
        <v>43</v>
      </c>
      <c r="P88" s="177">
        <v>0.90755366278883809</v>
      </c>
    </row>
    <row r="89" spans="1:16" x14ac:dyDescent="0.45">
      <c r="A89" s="123">
        <f t="shared" si="2"/>
        <v>80</v>
      </c>
      <c r="B89" s="149" t="s">
        <v>737</v>
      </c>
      <c r="C89" s="150">
        <v>33</v>
      </c>
      <c r="D89" s="107"/>
      <c r="E89" s="111">
        <v>0.17960493544360492</v>
      </c>
      <c r="F89" s="109">
        <v>7.9432071705871798E-2</v>
      </c>
      <c r="G89" s="164">
        <v>0.35715845748872943</v>
      </c>
      <c r="H89" s="109">
        <v>1.300707559947794</v>
      </c>
      <c r="I89" s="107"/>
      <c r="J89" s="165">
        <v>0.20301986125058466</v>
      </c>
      <c r="K89" s="165">
        <v>7.4918831983385503E-2</v>
      </c>
      <c r="L89" s="166">
        <v>0.38055482590166795</v>
      </c>
      <c r="M89" s="130">
        <v>0.80426929106034795</v>
      </c>
      <c r="O89" s="176">
        <v>10</v>
      </c>
      <c r="P89" s="177">
        <v>0.76605252237769306</v>
      </c>
    </row>
    <row r="90" spans="1:16" x14ac:dyDescent="0.45">
      <c r="A90" s="123">
        <f t="shared" si="2"/>
        <v>81</v>
      </c>
      <c r="B90" s="149" t="s">
        <v>738</v>
      </c>
      <c r="C90" s="150">
        <v>47</v>
      </c>
      <c r="D90" s="107"/>
      <c r="E90" s="111">
        <v>9.1509895106150721E-2</v>
      </c>
      <c r="F90" s="109">
        <v>7.917961463534598E-2</v>
      </c>
      <c r="G90" s="164">
        <v>1.0582642794945558</v>
      </c>
      <c r="H90" s="109">
        <v>0.66011960343294296</v>
      </c>
      <c r="I90" s="107"/>
      <c r="J90" s="165">
        <v>9.1509895106150721E-2</v>
      </c>
      <c r="K90" s="165">
        <v>4.1241028473509724E-2</v>
      </c>
      <c r="L90" s="166">
        <v>1.0510745263601067</v>
      </c>
      <c r="M90" s="130">
        <v>0.64494760904328574</v>
      </c>
      <c r="O90" s="176">
        <v>34</v>
      </c>
      <c r="P90" s="177">
        <v>0.84379336679185857</v>
      </c>
    </row>
    <row r="91" spans="1:16" x14ac:dyDescent="0.45">
      <c r="A91" s="123">
        <f t="shared" si="2"/>
        <v>82</v>
      </c>
      <c r="B91" s="149" t="s">
        <v>739</v>
      </c>
      <c r="C91" s="150">
        <v>12</v>
      </c>
      <c r="D91" s="107"/>
      <c r="E91" s="111">
        <v>0.16219910966361265</v>
      </c>
      <c r="F91" s="109">
        <v>0.10910690849321891</v>
      </c>
      <c r="G91" s="164">
        <v>0.91821711038590859</v>
      </c>
      <c r="H91" s="109">
        <v>0.65135686859048725</v>
      </c>
      <c r="I91" s="107"/>
      <c r="J91" s="165">
        <v>0.16219910966361265</v>
      </c>
      <c r="K91" s="165">
        <v>0.10307688288243137</v>
      </c>
      <c r="L91" s="166">
        <v>1.0110642666427745</v>
      </c>
      <c r="M91" s="130">
        <v>0.61077722118135136</v>
      </c>
      <c r="O91" s="176">
        <v>7</v>
      </c>
      <c r="P91" s="177">
        <v>0.83895803112508716</v>
      </c>
    </row>
    <row r="92" spans="1:16" x14ac:dyDescent="0.45">
      <c r="A92" s="123">
        <f t="shared" si="2"/>
        <v>83</v>
      </c>
      <c r="B92" s="149" t="s">
        <v>740</v>
      </c>
      <c r="C92" s="150">
        <v>507</v>
      </c>
      <c r="D92" s="107"/>
      <c r="E92" s="111">
        <v>0.10450158846463325</v>
      </c>
      <c r="F92" s="109">
        <v>0.14715355354195866</v>
      </c>
      <c r="G92" s="164">
        <v>1.6834211026726924</v>
      </c>
      <c r="H92" s="109">
        <v>0.30955662540051476</v>
      </c>
      <c r="I92" s="107"/>
      <c r="J92" s="165">
        <v>0.10639523098044834</v>
      </c>
      <c r="K92" s="165">
        <v>9.9743211948213534E-2</v>
      </c>
      <c r="L92" s="166">
        <v>1.4261397246565375</v>
      </c>
      <c r="M92" s="130">
        <v>0.30955662540051476</v>
      </c>
      <c r="O92" s="176">
        <v>233</v>
      </c>
      <c r="P92" s="177">
        <v>0.95896877717355422</v>
      </c>
    </row>
    <row r="93" spans="1:16" x14ac:dyDescent="0.45">
      <c r="A93" s="123">
        <f t="shared" si="2"/>
        <v>84</v>
      </c>
      <c r="B93" s="149" t="s">
        <v>741</v>
      </c>
      <c r="C93" s="150">
        <v>37</v>
      </c>
      <c r="D93" s="107"/>
      <c r="E93" s="111">
        <v>0.12775633100091077</v>
      </c>
      <c r="F93" s="109">
        <v>0.43272136001749556</v>
      </c>
      <c r="G93" s="164">
        <v>2.4643744101260068</v>
      </c>
      <c r="H93" s="109">
        <v>0.11947193994902396</v>
      </c>
      <c r="I93" s="107"/>
      <c r="J93" s="165">
        <v>0.13869309272750091</v>
      </c>
      <c r="K93" s="165">
        <v>0.19187198509158565</v>
      </c>
      <c r="L93" s="166">
        <v>1.5439332351694284</v>
      </c>
      <c r="M93" s="130">
        <v>0.11947193994902396</v>
      </c>
      <c r="O93" s="176">
        <v>12</v>
      </c>
      <c r="P93" s="177">
        <v>0.82215458076243608</v>
      </c>
    </row>
    <row r="94" spans="1:16" x14ac:dyDescent="0.45">
      <c r="A94" s="123">
        <f t="shared" si="2"/>
        <v>85</v>
      </c>
      <c r="B94" s="149" t="s">
        <v>742</v>
      </c>
      <c r="C94" s="150">
        <v>1</v>
      </c>
      <c r="D94" s="107"/>
      <c r="E94" s="111">
        <v>9.274775824211666E-2</v>
      </c>
      <c r="F94" s="109">
        <v>8.7239978938503174E-2</v>
      </c>
      <c r="G94" s="164">
        <v>1.7460559480712927</v>
      </c>
      <c r="H94" s="109">
        <v>0.16976723351440245</v>
      </c>
      <c r="I94" s="107"/>
      <c r="J94" s="165">
        <v>9.274775824211666E-2</v>
      </c>
      <c r="K94" s="165">
        <v>0.110719</v>
      </c>
      <c r="L94" s="166">
        <v>1.7460559480712927</v>
      </c>
      <c r="M94" s="130">
        <v>0.16976723351440245</v>
      </c>
      <c r="O94" s="176">
        <v>6</v>
      </c>
      <c r="P94" s="177">
        <v>0.75522726112050187</v>
      </c>
    </row>
    <row r="95" spans="1:16" x14ac:dyDescent="0.45">
      <c r="A95" s="123">
        <f t="shared" si="2"/>
        <v>86</v>
      </c>
      <c r="B95" s="149" t="s">
        <v>743</v>
      </c>
      <c r="C95" s="150">
        <v>54</v>
      </c>
      <c r="D95" s="107"/>
      <c r="E95" s="111">
        <v>0.14884141338386953</v>
      </c>
      <c r="F95" s="109">
        <v>0.17854476348025999</v>
      </c>
      <c r="G95" s="164">
        <v>0.781625962111682</v>
      </c>
      <c r="H95" s="109">
        <v>0.29364323798121533</v>
      </c>
      <c r="I95" s="107"/>
      <c r="J95" s="165">
        <v>0.15352016129483675</v>
      </c>
      <c r="K95" s="165">
        <v>0.10581396070970565</v>
      </c>
      <c r="L95" s="166">
        <v>0.80572517480372863</v>
      </c>
      <c r="M95" s="130">
        <v>0.29364323798121533</v>
      </c>
      <c r="O95" s="176">
        <v>27</v>
      </c>
      <c r="P95" s="177">
        <v>0.71263330465474395</v>
      </c>
    </row>
    <row r="96" spans="1:16" x14ac:dyDescent="0.45">
      <c r="A96" s="123">
        <f t="shared" si="2"/>
        <v>87</v>
      </c>
      <c r="B96" s="149" t="s">
        <v>744</v>
      </c>
      <c r="C96" s="150">
        <v>68</v>
      </c>
      <c r="D96" s="107"/>
      <c r="E96" s="111">
        <v>0.13355836949768848</v>
      </c>
      <c r="F96" s="109">
        <v>0.15404691001535853</v>
      </c>
      <c r="G96" s="164">
        <v>1.6339606020996684</v>
      </c>
      <c r="H96" s="109">
        <v>0.39183147795902634</v>
      </c>
      <c r="I96" s="107"/>
      <c r="J96" s="165">
        <v>0.18866161611912499</v>
      </c>
      <c r="K96" s="165">
        <v>0.21342237178317994</v>
      </c>
      <c r="L96" s="166">
        <v>1.7383880943306844</v>
      </c>
      <c r="M96" s="130">
        <v>0.39183147795902634</v>
      </c>
      <c r="O96" s="176">
        <v>26</v>
      </c>
      <c r="P96" s="177">
        <v>0.98112223827711886</v>
      </c>
    </row>
    <row r="97" spans="1:16" x14ac:dyDescent="0.45">
      <c r="A97" s="123">
        <f t="shared" si="2"/>
        <v>88</v>
      </c>
      <c r="B97" s="149" t="s">
        <v>650</v>
      </c>
      <c r="C97" s="150">
        <v>97</v>
      </c>
      <c r="D97" s="107"/>
      <c r="E97" s="111">
        <v>0.27288533467371323</v>
      </c>
      <c r="F97" s="109">
        <v>11.21871354671336</v>
      </c>
      <c r="G97" s="164">
        <v>1.5226997890383633</v>
      </c>
      <c r="H97" s="109">
        <v>0.60101872304904003</v>
      </c>
      <c r="I97" s="107"/>
      <c r="J97" s="165">
        <v>0.21385703132067158</v>
      </c>
      <c r="K97" s="165">
        <v>0.24949618830393022</v>
      </c>
      <c r="L97" s="166">
        <v>2.6703324971858202</v>
      </c>
      <c r="M97" s="130">
        <v>0.35358588984580186</v>
      </c>
      <c r="O97" s="176">
        <v>49</v>
      </c>
      <c r="P97" s="177">
        <v>1.0443053557297128</v>
      </c>
    </row>
    <row r="98" spans="1:16" x14ac:dyDescent="0.45">
      <c r="A98" s="123">
        <f t="shared" si="2"/>
        <v>89</v>
      </c>
      <c r="B98" s="149" t="s">
        <v>745</v>
      </c>
      <c r="C98" s="150">
        <v>51</v>
      </c>
      <c r="D98" s="107"/>
      <c r="E98" s="111">
        <v>6.0741429813288214E-2</v>
      </c>
      <c r="F98" s="109">
        <v>-0.56586161055941508</v>
      </c>
      <c r="G98" s="164">
        <v>2.8134391321740218</v>
      </c>
      <c r="H98" s="109">
        <v>1.3958689705481029</v>
      </c>
      <c r="I98" s="107"/>
      <c r="J98" s="165">
        <v>0.14714744970766863</v>
      </c>
      <c r="K98" s="165">
        <v>9.9270001663646107E-2</v>
      </c>
      <c r="L98" s="166">
        <v>1.812332904428779</v>
      </c>
      <c r="M98" s="130">
        <v>0.75036611524728114</v>
      </c>
      <c r="O98" s="176">
        <v>24</v>
      </c>
      <c r="P98" s="177">
        <v>1.1014190453449213</v>
      </c>
    </row>
    <row r="99" spans="1:16" x14ac:dyDescent="0.45">
      <c r="A99" s="123">
        <f t="shared" si="2"/>
        <v>90</v>
      </c>
      <c r="B99" s="149" t="s">
        <v>746</v>
      </c>
      <c r="C99" s="150">
        <v>139</v>
      </c>
      <c r="D99" s="107"/>
      <c r="E99" s="111">
        <v>2.0940816049563098E-2</v>
      </c>
      <c r="F99" s="109">
        <v>5.1978982567160464E-2</v>
      </c>
      <c r="G99" s="164">
        <v>-0.53912595605147917</v>
      </c>
      <c r="H99" s="109">
        <v>9.2275319917685401</v>
      </c>
      <c r="I99" s="107"/>
      <c r="J99" s="165">
        <v>0.39850070196044102</v>
      </c>
      <c r="K99" s="165">
        <v>5.1978982567160464E-2</v>
      </c>
      <c r="L99" s="166">
        <v>0.64221810148303093</v>
      </c>
      <c r="M99" s="130">
        <v>0.78986761561928753</v>
      </c>
      <c r="O99" s="176">
        <v>67</v>
      </c>
      <c r="P99" s="177">
        <v>1.0080077458113335</v>
      </c>
    </row>
    <row r="100" spans="1:16" x14ac:dyDescent="0.45">
      <c r="A100" s="123">
        <f t="shared" si="2"/>
        <v>91</v>
      </c>
      <c r="B100" s="149" t="s">
        <v>747</v>
      </c>
      <c r="C100" s="150">
        <v>246</v>
      </c>
      <c r="D100" s="107"/>
      <c r="E100" s="111">
        <v>0.10885707329185421</v>
      </c>
      <c r="F100" s="109">
        <v>0.37143109804430646</v>
      </c>
      <c r="G100" s="164">
        <v>2.6694565077988597</v>
      </c>
      <c r="H100" s="109">
        <v>0.15290404705274607</v>
      </c>
      <c r="I100" s="107"/>
      <c r="J100" s="165">
        <v>9.6873675629513295E-2</v>
      </c>
      <c r="K100" s="165">
        <v>0.23281950038200888</v>
      </c>
      <c r="L100" s="166">
        <v>3.3050157215196578</v>
      </c>
      <c r="M100" s="130">
        <v>0.15290404705274607</v>
      </c>
      <c r="O100" s="176">
        <v>104</v>
      </c>
      <c r="P100" s="177">
        <v>0.96100448036233865</v>
      </c>
    </row>
    <row r="101" spans="1:16" x14ac:dyDescent="0.45">
      <c r="A101" s="123">
        <f t="shared" si="2"/>
        <v>92</v>
      </c>
      <c r="B101" s="149" t="s">
        <v>748</v>
      </c>
      <c r="C101" s="150">
        <v>46</v>
      </c>
      <c r="D101" s="107"/>
      <c r="E101" s="111">
        <v>0.15311446726705036</v>
      </c>
      <c r="F101" s="109">
        <v>8.8269346895483117E-2</v>
      </c>
      <c r="G101" s="164">
        <v>0.64597096168743817</v>
      </c>
      <c r="H101" s="109">
        <v>0.72877844917949741</v>
      </c>
      <c r="I101" s="107"/>
      <c r="J101" s="165">
        <v>0.19515864746021175</v>
      </c>
      <c r="K101" s="165">
        <v>6.9925812340217983E-2</v>
      </c>
      <c r="L101" s="166">
        <v>0.64117935338962428</v>
      </c>
      <c r="M101" s="130">
        <v>0.72877844917949741</v>
      </c>
      <c r="O101" s="176">
        <v>16</v>
      </c>
      <c r="P101" s="177">
        <v>0.85513917390723693</v>
      </c>
    </row>
    <row r="102" spans="1:16" x14ac:dyDescent="0.45">
      <c r="A102" s="123">
        <f t="shared" si="2"/>
        <v>93</v>
      </c>
      <c r="B102" s="149" t="s">
        <v>749</v>
      </c>
      <c r="C102" s="150">
        <v>78</v>
      </c>
      <c r="D102" s="107"/>
      <c r="E102" s="111">
        <v>0.12714987073449202</v>
      </c>
      <c r="F102" s="109">
        <v>0.18489470500014876</v>
      </c>
      <c r="G102" s="164">
        <v>1.9039941357573351</v>
      </c>
      <c r="H102" s="109">
        <v>0.35833773351393911</v>
      </c>
      <c r="I102" s="107"/>
      <c r="J102" s="165">
        <v>0.12447610289054499</v>
      </c>
      <c r="K102" s="165">
        <v>0.11577495566476322</v>
      </c>
      <c r="L102" s="166">
        <v>1.8197025594715444</v>
      </c>
      <c r="M102" s="130">
        <v>0.35833773351393911</v>
      </c>
      <c r="O102" s="176">
        <v>38</v>
      </c>
      <c r="P102" s="177">
        <v>0.96773829542741208</v>
      </c>
    </row>
    <row r="103" spans="1:16" x14ac:dyDescent="0.45">
      <c r="A103" s="123">
        <f t="shared" si="2"/>
        <v>94</v>
      </c>
      <c r="B103" s="149" t="s">
        <v>750</v>
      </c>
      <c r="C103" s="150">
        <v>78</v>
      </c>
      <c r="D103" s="107"/>
      <c r="E103" s="111">
        <v>9.8145914914743421E-2</v>
      </c>
      <c r="F103" s="109">
        <v>-0.21560790592504886</v>
      </c>
      <c r="G103" s="164">
        <v>4.2177747483395187</v>
      </c>
      <c r="H103" s="109">
        <v>0.17695020636755215</v>
      </c>
      <c r="I103" s="107"/>
      <c r="J103" s="165">
        <v>9.456617279048013E-2</v>
      </c>
      <c r="K103" s="165">
        <v>0.10178829837435367</v>
      </c>
      <c r="L103" s="166">
        <v>1.3037934038092365</v>
      </c>
      <c r="M103" s="130">
        <v>0.17695020636755215</v>
      </c>
      <c r="O103" s="176">
        <v>37</v>
      </c>
      <c r="P103" s="177">
        <v>0.85454943178509413</v>
      </c>
    </row>
    <row r="104" spans="1:16" x14ac:dyDescent="0.45">
      <c r="A104" s="123">
        <f t="shared" si="2"/>
        <v>95</v>
      </c>
      <c r="B104" s="149" t="s">
        <v>751</v>
      </c>
      <c r="C104" s="150">
        <v>61</v>
      </c>
      <c r="D104" s="107"/>
      <c r="E104" s="111">
        <v>0.16383239721747053</v>
      </c>
      <c r="F104" s="109">
        <v>6.9909841736065265E-2</v>
      </c>
      <c r="G104" s="164">
        <v>1.2400059010650795</v>
      </c>
      <c r="H104" s="109">
        <v>0.58147480175530419</v>
      </c>
      <c r="I104" s="107"/>
      <c r="J104" s="165">
        <v>0.16526772182549754</v>
      </c>
      <c r="K104" s="165">
        <v>0.15534004622766287</v>
      </c>
      <c r="L104" s="166">
        <v>0.91135952983015889</v>
      </c>
      <c r="M104" s="130">
        <v>0.58147480175530419</v>
      </c>
      <c r="O104" s="176">
        <v>47</v>
      </c>
      <c r="P104" s="177">
        <v>1.0948984861731992</v>
      </c>
    </row>
    <row r="105" spans="1:16" x14ac:dyDescent="0.45">
      <c r="A105" s="123">
        <f t="shared" si="2"/>
        <v>96</v>
      </c>
      <c r="B105" s="149" t="s">
        <v>752</v>
      </c>
      <c r="C105" s="150">
        <v>10</v>
      </c>
      <c r="D105" s="107"/>
      <c r="E105" s="111">
        <v>6.3872807528167971E-2</v>
      </c>
      <c r="F105" s="109">
        <v>4.2113465212201007</v>
      </c>
      <c r="G105" s="164">
        <v>12.766110794179133</v>
      </c>
      <c r="H105" s="109">
        <v>0.26721544164815364</v>
      </c>
      <c r="I105" s="107"/>
      <c r="J105" s="165">
        <v>6.3872807528167971E-2</v>
      </c>
      <c r="K105" s="165">
        <v>0.43056359543476758</v>
      </c>
      <c r="L105" s="166">
        <v>5</v>
      </c>
      <c r="M105" s="130">
        <v>0.24937693636384498</v>
      </c>
      <c r="O105" s="176">
        <v>3</v>
      </c>
      <c r="P105" s="177">
        <v>1.0687841701218048</v>
      </c>
    </row>
    <row r="106" spans="1:16" x14ac:dyDescent="0.45">
      <c r="A106" s="123">
        <f t="shared" si="2"/>
        <v>97</v>
      </c>
      <c r="B106" s="149" t="s">
        <v>753</v>
      </c>
      <c r="C106" s="150">
        <v>43</v>
      </c>
      <c r="D106" s="107"/>
      <c r="E106" s="111">
        <v>0.21397504705432477</v>
      </c>
      <c r="F106" s="109">
        <v>9.6005876217784503E-2</v>
      </c>
      <c r="G106" s="164">
        <v>0.42142424044788745</v>
      </c>
      <c r="H106" s="109">
        <v>0.57657289452650151</v>
      </c>
      <c r="I106" s="107"/>
      <c r="J106" s="165">
        <v>0.22326040050558202</v>
      </c>
      <c r="K106" s="165">
        <v>6.4816404194399116E-2</v>
      </c>
      <c r="L106" s="166">
        <v>0.52953761596830062</v>
      </c>
      <c r="M106" s="130">
        <v>0.57657289452650151</v>
      </c>
      <c r="O106" s="176">
        <v>16</v>
      </c>
      <c r="P106" s="177">
        <v>0.71783266777123178</v>
      </c>
    </row>
    <row r="107" spans="1:16" x14ac:dyDescent="0.45">
      <c r="A107" s="123">
        <f t="shared" si="2"/>
        <v>98</v>
      </c>
      <c r="B107" s="149" t="s">
        <v>754</v>
      </c>
      <c r="C107" s="150">
        <v>73</v>
      </c>
      <c r="D107" s="107"/>
      <c r="E107" s="111">
        <v>0.16759857970706837</v>
      </c>
      <c r="F107" s="109">
        <v>5.0441280174154703E-2</v>
      </c>
      <c r="G107" s="164">
        <v>0.68495771023895013</v>
      </c>
      <c r="H107" s="109">
        <v>0.49510581983204471</v>
      </c>
      <c r="I107" s="107"/>
      <c r="J107" s="165">
        <v>0.16521548600871463</v>
      </c>
      <c r="K107" s="165">
        <v>6.228156027267974E-2</v>
      </c>
      <c r="L107" s="166">
        <v>0.61068074327290633</v>
      </c>
      <c r="M107" s="130">
        <v>0.49510581983204471</v>
      </c>
      <c r="O107" s="176">
        <v>31</v>
      </c>
      <c r="P107" s="177">
        <v>0.90736259574412115</v>
      </c>
    </row>
    <row r="108" spans="1:16" x14ac:dyDescent="0.45">
      <c r="A108" s="123">
        <f t="shared" si="2"/>
        <v>99</v>
      </c>
      <c r="B108" s="149" t="s">
        <v>755</v>
      </c>
      <c r="C108" s="150">
        <v>50</v>
      </c>
      <c r="D108" s="107"/>
      <c r="E108" s="111">
        <v>0.10370396983952819</v>
      </c>
      <c r="F108" s="109">
        <v>0.10410452215347281</v>
      </c>
      <c r="G108" s="164">
        <v>1.5631999317324221</v>
      </c>
      <c r="H108" s="109">
        <v>0.42957180205097806</v>
      </c>
      <c r="I108" s="107"/>
      <c r="J108" s="165">
        <v>0.10183951897283017</v>
      </c>
      <c r="K108" s="165">
        <v>0.11170860310329243</v>
      </c>
      <c r="L108" s="166">
        <v>1.3769829440817092</v>
      </c>
      <c r="M108" s="130">
        <v>0.42957180205097806</v>
      </c>
      <c r="O108" s="176">
        <v>19</v>
      </c>
      <c r="P108" s="177">
        <v>0.73790681158825389</v>
      </c>
    </row>
    <row r="109" spans="1:16" x14ac:dyDescent="0.45">
      <c r="A109" s="123">
        <f t="shared" si="2"/>
        <v>100</v>
      </c>
      <c r="B109" s="149" t="s">
        <v>756</v>
      </c>
      <c r="C109" s="150">
        <v>9</v>
      </c>
      <c r="D109" s="107"/>
      <c r="E109" s="111">
        <v>0.12453111582018911</v>
      </c>
      <c r="F109" s="109">
        <v>0.17524875119624098</v>
      </c>
      <c r="G109" s="164">
        <v>2.4188970073270393</v>
      </c>
      <c r="H109" s="109">
        <v>0.31074793575115672</v>
      </c>
      <c r="I109" s="107"/>
      <c r="J109" s="165">
        <v>0.12453111582018911</v>
      </c>
      <c r="K109" s="165">
        <v>0.17524875119624098</v>
      </c>
      <c r="L109" s="166">
        <v>2.2290810916325174</v>
      </c>
      <c r="M109" s="130">
        <v>0.31074793575115672</v>
      </c>
      <c r="O109" s="176">
        <v>6</v>
      </c>
      <c r="P109" s="177">
        <v>0.76977589894120724</v>
      </c>
    </row>
    <row r="110" spans="1:16" x14ac:dyDescent="0.45">
      <c r="A110" s="123">
        <f t="shared" si="2"/>
        <v>101</v>
      </c>
      <c r="B110" s="149" t="s">
        <v>757</v>
      </c>
      <c r="C110" s="150">
        <v>93</v>
      </c>
      <c r="D110" s="107"/>
      <c r="E110" s="111">
        <v>9.7061397703195523E-2</v>
      </c>
      <c r="F110" s="109">
        <v>0.16529067757171917</v>
      </c>
      <c r="G110" s="164">
        <v>1.2368177898435442</v>
      </c>
      <c r="H110" s="109">
        <v>0.66382950305493404</v>
      </c>
      <c r="I110" s="107"/>
      <c r="J110" s="165">
        <v>8.6648031021332644E-2</v>
      </c>
      <c r="K110" s="165">
        <v>8.246146253070849E-2</v>
      </c>
      <c r="L110" s="166">
        <v>0.89849938493983317</v>
      </c>
      <c r="M110" s="130">
        <v>0.66382950305493404</v>
      </c>
      <c r="O110" s="176">
        <v>43</v>
      </c>
      <c r="P110" s="177">
        <v>1.0068687887754972</v>
      </c>
    </row>
    <row r="111" spans="1:16" x14ac:dyDescent="0.45">
      <c r="A111" s="123">
        <f t="shared" si="2"/>
        <v>102</v>
      </c>
      <c r="B111" s="149" t="s">
        <v>758</v>
      </c>
      <c r="C111" s="150">
        <v>16</v>
      </c>
      <c r="D111" s="107"/>
      <c r="E111" s="111">
        <v>6.6913032008928827E-2</v>
      </c>
      <c r="F111" s="109">
        <v>-4.436477577833961E-2</v>
      </c>
      <c r="G111" s="164">
        <v>-2.0360564700157342</v>
      </c>
      <c r="H111" s="109">
        <v>0.40594624666311113</v>
      </c>
      <c r="I111" s="107"/>
      <c r="J111" s="165">
        <v>6.6913032008928827E-2</v>
      </c>
      <c r="K111" s="165">
        <v>7.904818809822535E-2</v>
      </c>
      <c r="L111" s="166">
        <v>0.71919856980556884</v>
      </c>
      <c r="M111" s="130">
        <v>0.40594624666311113</v>
      </c>
      <c r="O111" s="176">
        <v>21</v>
      </c>
      <c r="P111" s="177">
        <v>0.83651871299444447</v>
      </c>
    </row>
    <row r="112" spans="1:16" x14ac:dyDescent="0.45">
      <c r="A112" s="123">
        <f t="shared" si="2"/>
        <v>103</v>
      </c>
      <c r="B112" s="149" t="s">
        <v>759</v>
      </c>
      <c r="C112" s="150">
        <v>7</v>
      </c>
      <c r="D112" s="107"/>
      <c r="E112" s="111">
        <v>0.22401820248279922</v>
      </c>
      <c r="F112" s="109">
        <v>6.0100688842041242E-2</v>
      </c>
      <c r="G112" s="164">
        <v>0.83028643432782734</v>
      </c>
      <c r="H112" s="109">
        <v>0.42426997001079442</v>
      </c>
      <c r="I112" s="107"/>
      <c r="J112" s="165">
        <v>0.22401820248279922</v>
      </c>
      <c r="K112" s="165">
        <v>5.6548515847012024E-2</v>
      </c>
      <c r="L112" s="166">
        <v>0.32285394756278196</v>
      </c>
      <c r="M112" s="130">
        <v>0.42426997001079442</v>
      </c>
      <c r="O112" s="176">
        <v>7</v>
      </c>
      <c r="P112" s="177">
        <v>0.89714340972608897</v>
      </c>
    </row>
    <row r="113" spans="1:16" x14ac:dyDescent="0.45">
      <c r="A113" s="123">
        <f t="shared" si="2"/>
        <v>104</v>
      </c>
      <c r="B113" s="149" t="s">
        <v>760</v>
      </c>
      <c r="C113" s="150">
        <v>5</v>
      </c>
      <c r="D113" s="107"/>
      <c r="E113" s="111">
        <v>9.7683796564392661E-2</v>
      </c>
      <c r="F113" s="109">
        <v>6.057203280724055E-2</v>
      </c>
      <c r="G113" s="164">
        <v>1.0635287846891139</v>
      </c>
      <c r="H113" s="109">
        <v>0.22281455517764615</v>
      </c>
      <c r="I113" s="107"/>
      <c r="J113" s="165">
        <v>9.7683796564392661E-2</v>
      </c>
      <c r="K113" s="165">
        <v>3.9084000000000001E-2</v>
      </c>
      <c r="L113" s="166">
        <v>1.0635287846891139</v>
      </c>
      <c r="M113" s="130">
        <v>0.22281455517764615</v>
      </c>
      <c r="O113" s="176">
        <v>24</v>
      </c>
      <c r="P113" s="177">
        <v>0.69999999999999973</v>
      </c>
    </row>
    <row r="114" spans="1:16" x14ac:dyDescent="0.45">
      <c r="A114" s="123">
        <f t="shared" si="2"/>
        <v>105</v>
      </c>
      <c r="B114" s="149" t="s">
        <v>761</v>
      </c>
      <c r="C114" s="150">
        <v>49</v>
      </c>
      <c r="D114" s="107"/>
      <c r="E114" s="111">
        <v>8.4231681399584035E-2</v>
      </c>
      <c r="F114" s="109">
        <v>8.0973388330988841E-2</v>
      </c>
      <c r="G114" s="164">
        <v>1.3831796281680075</v>
      </c>
      <c r="H114" s="109">
        <v>0.67532625138863345</v>
      </c>
      <c r="I114" s="107"/>
      <c r="J114" s="165">
        <v>9.6758709493884876E-2</v>
      </c>
      <c r="K114" s="165">
        <v>9.2511918564433124E-2</v>
      </c>
      <c r="L114" s="166">
        <v>1.7075881205926393</v>
      </c>
      <c r="M114" s="130">
        <v>0.57750327963594617</v>
      </c>
      <c r="O114" s="176">
        <v>15</v>
      </c>
      <c r="P114" s="177">
        <v>0.83379691798354072</v>
      </c>
    </row>
    <row r="115" spans="1:16" x14ac:dyDescent="0.45">
      <c r="A115" s="123">
        <f t="shared" si="2"/>
        <v>106</v>
      </c>
      <c r="B115" s="149" t="s">
        <v>762</v>
      </c>
      <c r="C115" s="150">
        <v>14</v>
      </c>
      <c r="D115" s="107"/>
      <c r="E115" s="111">
        <v>5.6463377899869174E-2</v>
      </c>
      <c r="F115" s="109">
        <v>1.4098876235922958E-2</v>
      </c>
      <c r="G115" s="164">
        <v>0.35295017299543369</v>
      </c>
      <c r="H115" s="109">
        <v>0.63389246307193348</v>
      </c>
      <c r="I115" s="107"/>
      <c r="J115" s="165">
        <v>5.6463377899869174E-2</v>
      </c>
      <c r="K115" s="165">
        <v>2.3686812491202636E-2</v>
      </c>
      <c r="L115" s="166">
        <v>0.53553092580673767</v>
      </c>
      <c r="M115" s="130">
        <v>0.63389246307193348</v>
      </c>
      <c r="O115" s="176">
        <v>7</v>
      </c>
      <c r="P115" s="177">
        <v>0.94746230167293144</v>
      </c>
    </row>
    <row r="116" spans="1:16" x14ac:dyDescent="0.45">
      <c r="A116" s="123">
        <f t="shared" si="2"/>
        <v>107</v>
      </c>
      <c r="B116" s="149" t="s">
        <v>763</v>
      </c>
      <c r="C116" s="150">
        <v>78</v>
      </c>
      <c r="D116" s="107"/>
      <c r="E116" s="111">
        <v>7.9857761579730804E-2</v>
      </c>
      <c r="F116" s="109">
        <v>5.9541664762134121E-2</v>
      </c>
      <c r="G116" s="164">
        <v>0.96732123433840023</v>
      </c>
      <c r="H116" s="109">
        <v>0.47926911897850583</v>
      </c>
      <c r="I116" s="107"/>
      <c r="J116" s="165">
        <v>0.12214281002217672</v>
      </c>
      <c r="K116" s="165">
        <v>6.2587286087770158E-2</v>
      </c>
      <c r="L116" s="166">
        <v>1.0610062968641738</v>
      </c>
      <c r="M116" s="130">
        <v>0.47926911897850583</v>
      </c>
      <c r="O116" s="176">
        <v>31</v>
      </c>
      <c r="P116" s="177">
        <v>0.93374000366318111</v>
      </c>
    </row>
    <row r="117" spans="1:16" x14ac:dyDescent="0.45">
      <c r="A117" s="123">
        <f t="shared" si="2"/>
        <v>108</v>
      </c>
      <c r="B117" s="149" t="s">
        <v>764</v>
      </c>
      <c r="C117" s="150">
        <v>110</v>
      </c>
      <c r="D117" s="107"/>
      <c r="E117" s="111">
        <v>0.20251696052498619</v>
      </c>
      <c r="F117" s="109">
        <v>-0.25379751376658527</v>
      </c>
      <c r="G117" s="164">
        <v>0.55885151785737519</v>
      </c>
      <c r="H117" s="109">
        <v>0.80760082048062454</v>
      </c>
      <c r="I117" s="107"/>
      <c r="J117" s="165">
        <v>0.39892863018948943</v>
      </c>
      <c r="K117" s="165">
        <v>8.0358054847227509E-2</v>
      </c>
      <c r="L117" s="166">
        <v>0.41877290679840068</v>
      </c>
      <c r="M117" s="130">
        <v>0.7905412966440849</v>
      </c>
      <c r="O117" s="176">
        <v>28</v>
      </c>
      <c r="P117" s="177">
        <v>0.85549194572563148</v>
      </c>
    </row>
    <row r="118" spans="1:16" x14ac:dyDescent="0.45">
      <c r="A118" s="123">
        <f t="shared" si="2"/>
        <v>109</v>
      </c>
      <c r="B118" s="149" t="s">
        <v>765</v>
      </c>
      <c r="C118" s="150">
        <v>85</v>
      </c>
      <c r="D118" s="107"/>
      <c r="E118" s="111">
        <v>8.3226186423061482E-2</v>
      </c>
      <c r="F118" s="109">
        <v>8.4915774833840899E-2</v>
      </c>
      <c r="G118" s="164">
        <v>1.3631780963308702</v>
      </c>
      <c r="H118" s="109">
        <v>0.50691274804819464</v>
      </c>
      <c r="I118" s="107"/>
      <c r="J118" s="165">
        <v>0.11167218678911127</v>
      </c>
      <c r="K118" s="165">
        <v>8.5584282561336267E-2</v>
      </c>
      <c r="L118" s="166">
        <v>2.1149426662475639</v>
      </c>
      <c r="M118" s="130">
        <v>0.50691274804819464</v>
      </c>
      <c r="O118" s="176">
        <v>26</v>
      </c>
      <c r="P118" s="177">
        <v>0.84462742360731946</v>
      </c>
    </row>
    <row r="119" spans="1:16" x14ac:dyDescent="0.45">
      <c r="A119" s="123">
        <f t="shared" si="2"/>
        <v>110</v>
      </c>
      <c r="B119" s="149" t="s">
        <v>766</v>
      </c>
      <c r="C119" s="150">
        <v>46</v>
      </c>
      <c r="D119" s="107"/>
      <c r="E119" s="111">
        <v>0.13318851374723367</v>
      </c>
      <c r="F119" s="109">
        <v>0.15527407345872726</v>
      </c>
      <c r="G119" s="164">
        <v>0.6122130954375945</v>
      </c>
      <c r="H119" s="109">
        <v>0.85032504992986158</v>
      </c>
      <c r="I119" s="107"/>
      <c r="J119" s="165">
        <v>0.16894963480484726</v>
      </c>
      <c r="K119" s="165">
        <v>6.662490721775137E-2</v>
      </c>
      <c r="L119" s="166">
        <v>0.40655734378634506</v>
      </c>
      <c r="M119" s="130">
        <v>0.80916816462018881</v>
      </c>
      <c r="O119" s="176">
        <v>22</v>
      </c>
      <c r="P119" s="177">
        <v>0.75499613610970107</v>
      </c>
    </row>
    <row r="120" spans="1:16" x14ac:dyDescent="0.45">
      <c r="A120" s="123">
        <f t="shared" si="2"/>
        <v>111</v>
      </c>
      <c r="B120" s="149" t="s">
        <v>767</v>
      </c>
      <c r="C120" s="150">
        <v>89</v>
      </c>
      <c r="D120" s="107"/>
      <c r="E120" s="111">
        <v>0.11123320811567118</v>
      </c>
      <c r="F120" s="109">
        <v>0.13362238146351479</v>
      </c>
      <c r="G120" s="164">
        <v>1.2596067651243965</v>
      </c>
      <c r="H120" s="109">
        <v>0.80858360000129015</v>
      </c>
      <c r="I120" s="107"/>
      <c r="J120" s="165">
        <v>0.10342692577862919</v>
      </c>
      <c r="K120" s="165">
        <v>9.2903973834146641E-2</v>
      </c>
      <c r="L120" s="166">
        <v>1.3316622130094022</v>
      </c>
      <c r="M120" s="130">
        <v>0.75695189246039907</v>
      </c>
      <c r="O120" s="176">
        <v>34</v>
      </c>
      <c r="P120" s="177">
        <v>0.90250099369315229</v>
      </c>
    </row>
    <row r="121" spans="1:16" x14ac:dyDescent="0.45">
      <c r="A121" s="123">
        <f t="shared" si="2"/>
        <v>112</v>
      </c>
      <c r="B121" s="149" t="s">
        <v>768</v>
      </c>
      <c r="C121" s="150">
        <v>351</v>
      </c>
      <c r="D121" s="107"/>
      <c r="E121" s="111">
        <v>9.7832511536100855E-2</v>
      </c>
      <c r="F121" s="109">
        <v>9.524870015039022E-2</v>
      </c>
      <c r="G121" s="164">
        <v>1.4822012192999061</v>
      </c>
      <c r="H121" s="109">
        <v>0.39891961905936829</v>
      </c>
      <c r="I121" s="107"/>
      <c r="J121" s="165">
        <v>8.299987946571763E-2</v>
      </c>
      <c r="K121" s="165">
        <v>7.7671783247150433E-2</v>
      </c>
      <c r="L121" s="166">
        <v>1.6415574107036315</v>
      </c>
      <c r="M121" s="130">
        <v>0.39891961905936829</v>
      </c>
      <c r="O121" s="176">
        <v>94</v>
      </c>
      <c r="P121" s="177">
        <v>0.76057286868619878</v>
      </c>
    </row>
    <row r="122" spans="1:16" x14ac:dyDescent="0.45">
      <c r="A122" s="123">
        <f t="shared" si="2"/>
        <v>113</v>
      </c>
      <c r="B122" s="149" t="s">
        <v>769</v>
      </c>
      <c r="C122" s="150">
        <v>48</v>
      </c>
      <c r="D122" s="107"/>
      <c r="E122" s="111">
        <v>9.4074098912513379E-2</v>
      </c>
      <c r="F122" s="109">
        <v>9.5099579648112553E-2</v>
      </c>
      <c r="G122" s="164">
        <v>1.3689279964666268</v>
      </c>
      <c r="H122" s="109">
        <v>0.57402962820078962</v>
      </c>
      <c r="I122" s="107"/>
      <c r="J122" s="165">
        <v>8.5945541120527491E-2</v>
      </c>
      <c r="K122" s="165">
        <v>0.10001545001318578</v>
      </c>
      <c r="L122" s="166">
        <v>1.343207796876033</v>
      </c>
      <c r="M122" s="130">
        <v>0.57402962820078962</v>
      </c>
      <c r="O122" s="176">
        <v>24</v>
      </c>
      <c r="P122" s="177">
        <v>0.78514908198928879</v>
      </c>
    </row>
    <row r="123" spans="1:16" x14ac:dyDescent="0.45">
      <c r="A123" s="123">
        <f t="shared" si="2"/>
        <v>114</v>
      </c>
      <c r="B123" s="149" t="s">
        <v>770</v>
      </c>
      <c r="C123" s="150">
        <v>44</v>
      </c>
      <c r="D123" s="107"/>
      <c r="E123" s="111">
        <v>9.6042437185268767E-2</v>
      </c>
      <c r="F123" s="109">
        <v>6.2911640613143638E-2</v>
      </c>
      <c r="G123" s="164">
        <v>0.77578917854301122</v>
      </c>
      <c r="H123" s="109">
        <v>0.58763923198995849</v>
      </c>
      <c r="I123" s="107"/>
      <c r="J123" s="165">
        <v>0.10029506991355989</v>
      </c>
      <c r="K123" s="165">
        <v>6.3146866893315667E-2</v>
      </c>
      <c r="L123" s="166">
        <v>1.0696257749910356</v>
      </c>
      <c r="M123" s="130">
        <v>0.58763923198995849</v>
      </c>
      <c r="O123" s="176">
        <v>13</v>
      </c>
      <c r="P123" s="177">
        <v>0.74615384615384606</v>
      </c>
    </row>
    <row r="124" spans="1:16" x14ac:dyDescent="0.45">
      <c r="A124" s="123">
        <f t="shared" si="2"/>
        <v>115</v>
      </c>
      <c r="B124" s="149" t="s">
        <v>771</v>
      </c>
      <c r="C124" s="150">
        <v>48</v>
      </c>
      <c r="D124" s="107"/>
      <c r="E124" s="111">
        <v>6.9615021912851335E-2</v>
      </c>
      <c r="F124" s="109">
        <v>3.3648913772703105E-2</v>
      </c>
      <c r="G124" s="164">
        <v>0.96423477370688737</v>
      </c>
      <c r="H124" s="109">
        <v>0.73737952900147008</v>
      </c>
      <c r="I124" s="107"/>
      <c r="J124" s="165">
        <v>6.9615021912851335E-2</v>
      </c>
      <c r="K124" s="165">
        <v>7.1378245533958287E-2</v>
      </c>
      <c r="L124" s="166">
        <v>0.88457258455448096</v>
      </c>
      <c r="M124" s="130">
        <v>0.73737952900147008</v>
      </c>
      <c r="O124" s="176">
        <v>32</v>
      </c>
      <c r="P124" s="177">
        <v>0.90853428147120918</v>
      </c>
    </row>
    <row r="125" spans="1:16" x14ac:dyDescent="0.45">
      <c r="A125" s="123">
        <f t="shared" si="2"/>
        <v>116</v>
      </c>
      <c r="B125" s="149" t="s">
        <v>772</v>
      </c>
      <c r="C125" s="150">
        <v>27</v>
      </c>
      <c r="D125" s="107"/>
      <c r="E125" s="111">
        <v>2.9057911394494623E-2</v>
      </c>
      <c r="F125" s="109">
        <v>-0.65358019422113545</v>
      </c>
      <c r="G125" s="164">
        <v>0.90544956469093441</v>
      </c>
      <c r="H125" s="109">
        <v>3.8419490514676773</v>
      </c>
      <c r="I125" s="107"/>
      <c r="J125" s="165">
        <v>0.11686089130683427</v>
      </c>
      <c r="K125" s="165">
        <v>8.0838722992475992E-2</v>
      </c>
      <c r="L125" s="166">
        <v>0.82274212583337558</v>
      </c>
      <c r="M125" s="130">
        <v>0.94492238749012403</v>
      </c>
      <c r="O125" s="176">
        <v>10</v>
      </c>
      <c r="P125" s="177">
        <v>0.87412470336731296</v>
      </c>
    </row>
    <row r="126" spans="1:16" x14ac:dyDescent="0.45">
      <c r="A126" s="123">
        <f t="shared" si="2"/>
        <v>117</v>
      </c>
      <c r="B126" s="149" t="s">
        <v>773</v>
      </c>
      <c r="C126" s="150">
        <v>103</v>
      </c>
      <c r="D126" s="107"/>
      <c r="E126" s="111">
        <v>0.14490243357163557</v>
      </c>
      <c r="F126" s="109">
        <v>0.13421202321075862</v>
      </c>
      <c r="G126" s="164">
        <v>1.908371717202106</v>
      </c>
      <c r="H126" s="109">
        <v>0.24017101829536333</v>
      </c>
      <c r="I126" s="107"/>
      <c r="J126" s="165">
        <v>0.13282896202858552</v>
      </c>
      <c r="K126" s="165">
        <v>0.13741016135643042</v>
      </c>
      <c r="L126" s="166">
        <v>1.599237575490434</v>
      </c>
      <c r="M126" s="130">
        <v>0.24017101829536333</v>
      </c>
      <c r="O126" s="176">
        <v>38</v>
      </c>
      <c r="P126" s="177">
        <v>0.95079831789084734</v>
      </c>
    </row>
    <row r="127" spans="1:16" x14ac:dyDescent="0.45">
      <c r="A127" s="123">
        <f t="shared" si="2"/>
        <v>118</v>
      </c>
      <c r="B127" s="149" t="s">
        <v>774</v>
      </c>
      <c r="C127" s="150">
        <v>283</v>
      </c>
      <c r="D127" s="107"/>
      <c r="E127" s="111">
        <v>0.23182858584795413</v>
      </c>
      <c r="F127" s="109">
        <v>-2.4732911339983402E-2</v>
      </c>
      <c r="G127" s="164">
        <v>1.1855683248775031</v>
      </c>
      <c r="H127" s="109">
        <v>0.25146329149722757</v>
      </c>
      <c r="I127" s="107"/>
      <c r="J127" s="165">
        <v>0.14255728528789505</v>
      </c>
      <c r="K127" s="165">
        <v>9.5651525670661014E-2</v>
      </c>
      <c r="L127" s="166">
        <v>0.97521982794250051</v>
      </c>
      <c r="M127" s="130">
        <v>0.25146329149722757</v>
      </c>
      <c r="O127" s="176">
        <v>74</v>
      </c>
      <c r="P127" s="177">
        <v>0.90809391483257995</v>
      </c>
    </row>
    <row r="128" spans="1:16" x14ac:dyDescent="0.45">
      <c r="A128" s="123">
        <f t="shared" si="2"/>
        <v>119</v>
      </c>
      <c r="B128" s="149" t="s">
        <v>775</v>
      </c>
      <c r="C128" s="150">
        <v>10</v>
      </c>
      <c r="D128" s="107"/>
      <c r="E128" s="111">
        <v>0.11942076475440855</v>
      </c>
      <c r="F128" s="109">
        <v>0.12889374565695638</v>
      </c>
      <c r="G128" s="164">
        <v>2.1072231147826468</v>
      </c>
      <c r="H128" s="109">
        <v>0.17136119060485741</v>
      </c>
      <c r="I128" s="107"/>
      <c r="J128" s="165">
        <v>0.11942076475440855</v>
      </c>
      <c r="K128" s="165">
        <v>0.15420806876130061</v>
      </c>
      <c r="L128" s="166">
        <v>0.71914127534513672</v>
      </c>
      <c r="M128" s="130">
        <v>0.17136119060485741</v>
      </c>
      <c r="O128" s="176">
        <v>6</v>
      </c>
      <c r="P128" s="177">
        <v>1.0547116408906207</v>
      </c>
    </row>
    <row r="129" spans="1:16" x14ac:dyDescent="0.45">
      <c r="A129" s="123">
        <f t="shared" si="2"/>
        <v>120</v>
      </c>
      <c r="B129" s="149" t="s">
        <v>776</v>
      </c>
      <c r="C129" s="150">
        <v>110</v>
      </c>
      <c r="D129" s="107"/>
      <c r="E129" s="111">
        <v>0.10908309459916937</v>
      </c>
      <c r="F129" s="109">
        <v>0.17916336042528855</v>
      </c>
      <c r="G129" s="164">
        <v>1.5197166668606419</v>
      </c>
      <c r="H129" s="109">
        <v>0.32315876841654539</v>
      </c>
      <c r="I129" s="107"/>
      <c r="J129" s="165">
        <v>0.12792878645880373</v>
      </c>
      <c r="K129" s="165">
        <v>0.14606404605657164</v>
      </c>
      <c r="L129" s="166">
        <v>1.325391661678085</v>
      </c>
      <c r="M129" s="130">
        <v>0.32315876841654539</v>
      </c>
      <c r="O129" s="176">
        <v>42</v>
      </c>
      <c r="P129" s="177">
        <v>0.92337388539615994</v>
      </c>
    </row>
    <row r="130" spans="1:16" x14ac:dyDescent="0.45">
      <c r="A130" s="123">
        <f t="shared" si="2"/>
        <v>121</v>
      </c>
      <c r="B130" s="149" t="s">
        <v>777</v>
      </c>
      <c r="C130" s="150">
        <v>53</v>
      </c>
      <c r="D130" s="107"/>
      <c r="E130" s="111">
        <v>8.1196085070991325E-2</v>
      </c>
      <c r="F130" s="109">
        <v>0.10630171733773708</v>
      </c>
      <c r="G130" s="164">
        <v>1.4405633200274433</v>
      </c>
      <c r="H130" s="109">
        <v>0.27264177156621539</v>
      </c>
      <c r="I130" s="107"/>
      <c r="J130" s="165">
        <v>9.0188953326101037E-2</v>
      </c>
      <c r="K130" s="165">
        <v>0.11446165245571555</v>
      </c>
      <c r="L130" s="166">
        <v>1.6579827194275316</v>
      </c>
      <c r="M130" s="130">
        <v>0.27264177156621539</v>
      </c>
      <c r="O130" s="176">
        <v>22</v>
      </c>
      <c r="P130" s="177">
        <v>0.91162202337331133</v>
      </c>
    </row>
    <row r="131" spans="1:16" x14ac:dyDescent="0.45">
      <c r="A131" s="123">
        <f t="shared" si="2"/>
        <v>122</v>
      </c>
      <c r="B131" s="149" t="s">
        <v>778</v>
      </c>
      <c r="C131" s="150">
        <v>20</v>
      </c>
      <c r="D131" s="107"/>
      <c r="E131" s="111">
        <v>0.24571688161476898</v>
      </c>
      <c r="F131" s="109">
        <v>5.6512243272649289E-2</v>
      </c>
      <c r="G131" s="164">
        <v>0.46368536108586922</v>
      </c>
      <c r="H131" s="109">
        <v>0.5103367799798576</v>
      </c>
      <c r="I131" s="107"/>
      <c r="J131" s="165">
        <v>0.26416752071047833</v>
      </c>
      <c r="K131" s="165">
        <v>8.3533777100585793E-2</v>
      </c>
      <c r="L131" s="166">
        <v>0.45087644863779364</v>
      </c>
      <c r="M131" s="130">
        <v>0.5103367799798576</v>
      </c>
      <c r="O131" s="176">
        <v>10</v>
      </c>
      <c r="P131" s="177">
        <v>0.81999651425904807</v>
      </c>
    </row>
    <row r="132" spans="1:16" x14ac:dyDescent="0.45">
      <c r="A132" s="123">
        <f t="shared" si="2"/>
        <v>123</v>
      </c>
      <c r="B132" s="149" t="s">
        <v>779</v>
      </c>
      <c r="C132" s="150">
        <v>190</v>
      </c>
      <c r="D132" s="107"/>
      <c r="E132" s="111">
        <v>0.18811308719437628</v>
      </c>
      <c r="F132" s="109">
        <v>4.7683631397895693E-2</v>
      </c>
      <c r="G132" s="164">
        <v>0.36078303326596883</v>
      </c>
      <c r="H132" s="109">
        <v>1.6105311021373969</v>
      </c>
      <c r="I132" s="107"/>
      <c r="J132" s="165">
        <v>0.21466446042129886</v>
      </c>
      <c r="K132" s="165">
        <v>5.3881788948888537E-2</v>
      </c>
      <c r="L132" s="166">
        <v>0.39798047575588014</v>
      </c>
      <c r="M132" s="130">
        <v>1.0019090913815636</v>
      </c>
      <c r="O132" s="176">
        <v>44</v>
      </c>
      <c r="P132" s="177">
        <v>0.83386836027958156</v>
      </c>
    </row>
    <row r="133" spans="1:16" x14ac:dyDescent="0.45">
      <c r="A133" s="123">
        <f t="shared" si="2"/>
        <v>124</v>
      </c>
      <c r="B133" s="149" t="s">
        <v>780</v>
      </c>
      <c r="C133" s="150">
        <v>189</v>
      </c>
      <c r="D133" s="107"/>
      <c r="E133" s="111">
        <v>0.16655637759829273</v>
      </c>
      <c r="F133" s="109">
        <v>5.5547182601505374E-2</v>
      </c>
      <c r="G133" s="164">
        <v>0.28013864455249526</v>
      </c>
      <c r="H133" s="109">
        <v>1.7918645667749078</v>
      </c>
      <c r="I133" s="107"/>
      <c r="J133" s="165">
        <v>0.42239019820640422</v>
      </c>
      <c r="K133" s="165">
        <v>3.9007518324352897E-2</v>
      </c>
      <c r="L133" s="166">
        <v>0.11469063066526011</v>
      </c>
      <c r="M133" s="130">
        <v>1.1234624801354949</v>
      </c>
      <c r="O133" s="176">
        <v>70</v>
      </c>
      <c r="P133" s="177">
        <v>0.76113477292212695</v>
      </c>
    </row>
    <row r="134" spans="1:16" x14ac:dyDescent="0.45">
      <c r="A134" s="123">
        <f t="shared" si="2"/>
        <v>125</v>
      </c>
      <c r="B134" s="149" t="s">
        <v>781</v>
      </c>
      <c r="C134" s="150">
        <v>41</v>
      </c>
      <c r="D134" s="107"/>
      <c r="E134" s="111">
        <v>6.4862135962758208E-2</v>
      </c>
      <c r="F134" s="109">
        <v>0.15604173286451195</v>
      </c>
      <c r="G134" s="164">
        <v>1.1874504211070618</v>
      </c>
      <c r="H134" s="109">
        <v>0.56488794977563928</v>
      </c>
      <c r="I134" s="107"/>
      <c r="J134" s="165">
        <v>0.10033038541731473</v>
      </c>
      <c r="K134" s="165">
        <v>9.3260019366092198E-2</v>
      </c>
      <c r="L134" s="166">
        <v>1.3924356712759345</v>
      </c>
      <c r="M134" s="130">
        <v>0.56488794977563928</v>
      </c>
      <c r="O134" s="176">
        <v>23</v>
      </c>
      <c r="P134" s="177">
        <v>1.0451287459426379</v>
      </c>
    </row>
    <row r="135" spans="1:16" x14ac:dyDescent="0.45">
      <c r="A135" s="123">
        <f t="shared" si="2"/>
        <v>126</v>
      </c>
      <c r="B135" s="149" t="s">
        <v>782</v>
      </c>
      <c r="C135" s="150">
        <v>362</v>
      </c>
      <c r="D135" s="107"/>
      <c r="E135" s="111">
        <v>6.3785419279639005E-4</v>
      </c>
      <c r="F135" s="109">
        <v>5.6304847849292217E-4</v>
      </c>
      <c r="G135" s="164">
        <v>0.37551275802666884</v>
      </c>
      <c r="H135" s="109">
        <v>367.22924840492755</v>
      </c>
      <c r="I135" s="107"/>
      <c r="J135" s="165">
        <v>6.3785419279639005E-4</v>
      </c>
      <c r="K135" s="165">
        <v>5.6304847849292217E-4</v>
      </c>
      <c r="L135" s="166">
        <v>0.2800233807027675</v>
      </c>
      <c r="M135" s="130">
        <v>367.22924840492755</v>
      </c>
      <c r="O135" s="176">
        <v>227</v>
      </c>
      <c r="P135" s="177">
        <v>0.89587038096714022</v>
      </c>
    </row>
    <row r="136" spans="1:16" x14ac:dyDescent="0.45">
      <c r="A136" s="123">
        <f t="shared" si="2"/>
        <v>127</v>
      </c>
      <c r="B136" s="149" t="s">
        <v>783</v>
      </c>
      <c r="C136" s="150">
        <v>18</v>
      </c>
      <c r="D136" s="107"/>
      <c r="E136" s="111">
        <v>7.2816757824075706E-2</v>
      </c>
      <c r="F136" s="109">
        <v>0.10218972037819397</v>
      </c>
      <c r="G136" s="164">
        <v>2.9414892649039426</v>
      </c>
      <c r="H136" s="109">
        <v>0.63826040394679218</v>
      </c>
      <c r="I136" s="107"/>
      <c r="J136" s="165">
        <v>8.3623098425261999E-2</v>
      </c>
      <c r="K136" s="165">
        <v>0.10940267275204893</v>
      </c>
      <c r="L136" s="166">
        <v>1.3316151387171029</v>
      </c>
      <c r="M136" s="130">
        <v>0.580987253988825</v>
      </c>
      <c r="O136" s="176">
        <v>6</v>
      </c>
      <c r="P136" s="177">
        <v>0.79010649380491194</v>
      </c>
    </row>
    <row r="137" spans="1:16" x14ac:dyDescent="0.45">
      <c r="A137" s="123">
        <f t="shared" si="2"/>
        <v>128</v>
      </c>
      <c r="B137" s="149" t="s">
        <v>784</v>
      </c>
      <c r="C137" s="150">
        <v>46</v>
      </c>
      <c r="D137" s="107"/>
      <c r="E137" s="111">
        <v>0.1449643226023585</v>
      </c>
      <c r="F137" s="109">
        <v>5.8977389820155823E-2</v>
      </c>
      <c r="G137" s="164">
        <v>0.48955952782135032</v>
      </c>
      <c r="H137" s="109">
        <v>1.1010294981906996</v>
      </c>
      <c r="I137" s="107"/>
      <c r="J137" s="165">
        <v>0.28875402286242796</v>
      </c>
      <c r="K137" s="165">
        <v>5.8213946695037079E-2</v>
      </c>
      <c r="L137" s="166">
        <v>0.19892277505613035</v>
      </c>
      <c r="M137" s="130">
        <v>1.0643789075050929</v>
      </c>
      <c r="O137" s="176">
        <v>13</v>
      </c>
      <c r="P137" s="177">
        <v>0.73124785520398394</v>
      </c>
    </row>
    <row r="138" spans="1:16" x14ac:dyDescent="0.45">
      <c r="A138" s="123">
        <f t="shared" si="2"/>
        <v>129</v>
      </c>
      <c r="B138" s="149" t="s">
        <v>785</v>
      </c>
      <c r="C138" s="150">
        <v>87</v>
      </c>
      <c r="D138" s="107"/>
      <c r="E138" s="111">
        <v>9.8406311703620436E-2</v>
      </c>
      <c r="F138" s="109">
        <v>0.21798356773319039</v>
      </c>
      <c r="G138" s="164">
        <v>3.7152190066247996</v>
      </c>
      <c r="H138" s="109">
        <v>0.24110103797749277</v>
      </c>
      <c r="I138" s="107"/>
      <c r="J138" s="165">
        <v>0.11803661850605107</v>
      </c>
      <c r="K138" s="165">
        <v>0.24607687363681574</v>
      </c>
      <c r="L138" s="166">
        <v>2.2407806055216919</v>
      </c>
      <c r="M138" s="130">
        <v>0.24110103797749277</v>
      </c>
      <c r="O138" s="176">
        <v>53</v>
      </c>
      <c r="P138" s="177">
        <v>0.90268595360798265</v>
      </c>
    </row>
    <row r="139" spans="1:16" x14ac:dyDescent="0.45">
      <c r="A139" s="123">
        <f t="shared" si="2"/>
        <v>130</v>
      </c>
      <c r="B139" s="149" t="s">
        <v>786</v>
      </c>
      <c r="C139" s="150">
        <v>134</v>
      </c>
      <c r="D139" s="107"/>
      <c r="E139" s="111">
        <v>0.12761060265977767</v>
      </c>
      <c r="F139" s="109">
        <v>4.6138718254598497E-2</v>
      </c>
      <c r="G139" s="164">
        <v>1.0481414190205014</v>
      </c>
      <c r="H139" s="109">
        <v>0.63101635243285481</v>
      </c>
      <c r="I139" s="107"/>
      <c r="J139" s="165">
        <v>0.13591395293767558</v>
      </c>
      <c r="K139" s="165">
        <v>6.4898948489486935E-2</v>
      </c>
      <c r="L139" s="166">
        <v>0.91426310073684147</v>
      </c>
      <c r="M139" s="130">
        <v>0.63101635243285481</v>
      </c>
      <c r="O139" s="176">
        <v>56</v>
      </c>
      <c r="P139" s="177">
        <v>0.82509039764365166</v>
      </c>
    </row>
    <row r="140" spans="1:16" x14ac:dyDescent="0.45">
      <c r="A140" s="123">
        <f t="shared" ref="A140:A203" si="3">A139+1</f>
        <v>131</v>
      </c>
      <c r="B140" s="149" t="s">
        <v>787</v>
      </c>
      <c r="C140" s="150">
        <v>14</v>
      </c>
      <c r="D140" s="107"/>
      <c r="E140" s="111">
        <v>7.0960940130348885E-2</v>
      </c>
      <c r="F140" s="109">
        <v>8.3372701734536217E-2</v>
      </c>
      <c r="G140" s="164">
        <v>2.2957295522219745</v>
      </c>
      <c r="H140" s="109">
        <v>0.61741073549380021</v>
      </c>
      <c r="I140" s="107"/>
      <c r="J140" s="165">
        <v>7.0960940130348885E-2</v>
      </c>
      <c r="K140" s="165">
        <v>0.10602568273110449</v>
      </c>
      <c r="L140" s="166">
        <v>2.238635802094822</v>
      </c>
      <c r="M140" s="130">
        <v>0.57808970493899148</v>
      </c>
      <c r="O140" s="176">
        <v>3</v>
      </c>
      <c r="P140" s="177">
        <v>0.75142839196545885</v>
      </c>
    </row>
    <row r="141" spans="1:16" x14ac:dyDescent="0.45">
      <c r="A141" s="123">
        <f t="shared" si="3"/>
        <v>132</v>
      </c>
      <c r="B141" s="149" t="s">
        <v>788</v>
      </c>
      <c r="C141" s="150">
        <v>186</v>
      </c>
      <c r="D141" s="107"/>
      <c r="E141" s="111">
        <v>0.21446798961331395</v>
      </c>
      <c r="F141" s="109">
        <v>0.16320795433372906</v>
      </c>
      <c r="G141" s="164">
        <v>1.786149011439689</v>
      </c>
      <c r="H141" s="109">
        <v>0.31234360449905813</v>
      </c>
      <c r="I141" s="107"/>
      <c r="J141" s="165">
        <v>0.13588300955640958</v>
      </c>
      <c r="K141" s="165">
        <v>0.13183601906180709</v>
      </c>
      <c r="L141" s="166">
        <v>1.3128257170325128</v>
      </c>
      <c r="M141" s="130">
        <v>0.31234360449905813</v>
      </c>
      <c r="O141" s="176">
        <v>152</v>
      </c>
      <c r="P141" s="177">
        <v>1.1439762401921745</v>
      </c>
    </row>
    <row r="142" spans="1:16" hidden="1" outlineLevel="1" x14ac:dyDescent="0.45">
      <c r="A142" s="123">
        <f t="shared" si="3"/>
        <v>133</v>
      </c>
      <c r="B142" s="149" t="s">
        <v>789</v>
      </c>
      <c r="C142" s="150">
        <v>273</v>
      </c>
      <c r="D142" s="107"/>
      <c r="E142" s="111">
        <v>0.23971749842264925</v>
      </c>
      <c r="F142" s="109">
        <v>-5.1388488686935949E-2</v>
      </c>
      <c r="G142" s="164">
        <v>1.2459907026159305</v>
      </c>
      <c r="H142" s="109">
        <v>0.44242003131802149</v>
      </c>
      <c r="I142" s="107"/>
      <c r="J142" s="165">
        <v>0.13160294346358398</v>
      </c>
      <c r="K142" s="165">
        <v>0.1260060364264696</v>
      </c>
      <c r="L142" s="166">
        <v>1.3944211005209732</v>
      </c>
      <c r="M142" s="130">
        <v>0.44242003131802149</v>
      </c>
      <c r="O142" s="176">
        <v>170</v>
      </c>
      <c r="P142" s="177">
        <v>1.1077890181503165</v>
      </c>
    </row>
    <row r="143" spans="1:16" hidden="1" outlineLevel="1" x14ac:dyDescent="0.45">
      <c r="A143" s="123">
        <f t="shared" si="3"/>
        <v>134</v>
      </c>
      <c r="B143" s="149" t="s">
        <v>790</v>
      </c>
      <c r="C143" s="150">
        <v>6</v>
      </c>
      <c r="D143" s="107"/>
      <c r="E143" s="111">
        <v>6.9913514664151452E-2</v>
      </c>
      <c r="F143" s="109">
        <v>3.7910556918369421E-3</v>
      </c>
      <c r="G143" s="164">
        <v>0.34649996109367215</v>
      </c>
      <c r="H143" s="109">
        <v>5.9520441723631725</v>
      </c>
      <c r="I143" s="107"/>
      <c r="J143" s="165">
        <v>6.9913514664151452E-2</v>
      </c>
      <c r="K143" s="165">
        <v>2.3227075554022286E-2</v>
      </c>
      <c r="L143" s="166">
        <v>0.31161524210660096</v>
      </c>
      <c r="M143" s="130">
        <v>0.79727489219992287</v>
      </c>
      <c r="O143" s="176">
        <v>6</v>
      </c>
      <c r="P143" s="177">
        <v>1.2962687731599571</v>
      </c>
    </row>
    <row r="144" spans="1:16" hidden="1" outlineLevel="1" x14ac:dyDescent="0.45">
      <c r="A144" s="123">
        <f t="shared" si="3"/>
        <v>135</v>
      </c>
      <c r="B144" s="149" t="s">
        <v>791</v>
      </c>
      <c r="C144" s="150">
        <v>29</v>
      </c>
      <c r="D144" s="107"/>
      <c r="E144" s="111">
        <v>0.17913784377459033</v>
      </c>
      <c r="F144" s="109">
        <v>0.12429131408109176</v>
      </c>
      <c r="G144" s="164">
        <v>1.4364109965418039</v>
      </c>
      <c r="H144" s="109">
        <v>0.30094504066142835</v>
      </c>
      <c r="I144" s="107"/>
      <c r="J144" s="165">
        <v>0.1223422558862195</v>
      </c>
      <c r="K144" s="165">
        <v>0.14203867615327126</v>
      </c>
      <c r="L144" s="166">
        <v>1.6653891435281847</v>
      </c>
      <c r="M144" s="130">
        <v>0.30094504066142835</v>
      </c>
      <c r="O144" s="176">
        <v>10</v>
      </c>
      <c r="P144" s="177">
        <v>0.81329109825103851</v>
      </c>
    </row>
    <row r="145" spans="1:16" hidden="1" outlineLevel="1" x14ac:dyDescent="0.45">
      <c r="A145" s="123">
        <f t="shared" si="3"/>
        <v>136</v>
      </c>
      <c r="B145" s="149" t="s">
        <v>792</v>
      </c>
      <c r="C145" s="150">
        <v>38</v>
      </c>
      <c r="D145" s="107"/>
      <c r="E145" s="111">
        <v>0.156117684948642</v>
      </c>
      <c r="F145" s="109">
        <v>-3.4036293011677466E-3</v>
      </c>
      <c r="G145" s="164">
        <v>1.0574434645901611</v>
      </c>
      <c r="H145" s="109">
        <v>0.37589708726835064</v>
      </c>
      <c r="I145" s="107"/>
      <c r="J145" s="165">
        <v>0.15968089621824538</v>
      </c>
      <c r="K145" s="165">
        <v>0.1008102784249793</v>
      </c>
      <c r="L145" s="166">
        <v>1.2860327819477735</v>
      </c>
      <c r="M145" s="130">
        <v>0.37589708726835064</v>
      </c>
      <c r="O145" s="176">
        <v>16</v>
      </c>
      <c r="P145" s="177">
        <v>0.86622205847547251</v>
      </c>
    </row>
    <row r="146" spans="1:16" hidden="1" outlineLevel="1" x14ac:dyDescent="0.45">
      <c r="A146" s="123">
        <f t="shared" si="3"/>
        <v>137</v>
      </c>
      <c r="B146" s="149" t="s">
        <v>793</v>
      </c>
      <c r="C146" s="150">
        <v>48</v>
      </c>
      <c r="D146" s="107"/>
      <c r="E146" s="111">
        <v>5.785767712564327E-2</v>
      </c>
      <c r="F146" s="109">
        <v>5.1851952108894874E-4</v>
      </c>
      <c r="G146" s="164">
        <v>0.19812694349232582</v>
      </c>
      <c r="H146" s="109">
        <v>9.560633878481454</v>
      </c>
      <c r="I146" s="107"/>
      <c r="J146" s="165">
        <v>9.0034422784262075E-2</v>
      </c>
      <c r="K146" s="165">
        <v>5.1851952108894874E-4</v>
      </c>
      <c r="L146" s="166">
        <v>0.13212643235937402</v>
      </c>
      <c r="M146" s="130">
        <v>1.0464901955040988</v>
      </c>
      <c r="O146" s="176">
        <v>13</v>
      </c>
      <c r="P146" s="177">
        <v>0.74355078338205893</v>
      </c>
    </row>
    <row r="147" spans="1:16" hidden="1" outlineLevel="1" x14ac:dyDescent="0.45">
      <c r="A147" s="123">
        <f t="shared" si="3"/>
        <v>138</v>
      </c>
      <c r="B147" s="149" t="s">
        <v>794</v>
      </c>
      <c r="C147" s="150">
        <v>160</v>
      </c>
      <c r="D147" s="107"/>
      <c r="E147" s="111">
        <v>0.1048560968879623</v>
      </c>
      <c r="F147" s="109">
        <v>9.1668635260407888E-2</v>
      </c>
      <c r="G147" s="164">
        <v>1.138622990720727</v>
      </c>
      <c r="H147" s="109">
        <v>0.45251543238582653</v>
      </c>
      <c r="I147" s="107"/>
      <c r="J147" s="165">
        <v>0.11297647986780739</v>
      </c>
      <c r="K147" s="165">
        <v>9.2018847904883197E-2</v>
      </c>
      <c r="L147" s="166">
        <v>1.2396849479885859</v>
      </c>
      <c r="M147" s="130">
        <v>0.45251543238582653</v>
      </c>
      <c r="O147" s="176">
        <v>101</v>
      </c>
      <c r="P147" s="177">
        <v>0.91454984788083127</v>
      </c>
    </row>
    <row r="148" spans="1:16" hidden="1" outlineLevel="1" x14ac:dyDescent="0.45">
      <c r="A148" s="123">
        <f t="shared" si="3"/>
        <v>139</v>
      </c>
      <c r="B148" s="149" t="s">
        <v>795</v>
      </c>
      <c r="C148" s="150">
        <v>254</v>
      </c>
      <c r="D148" s="107"/>
      <c r="E148" s="111">
        <v>0.13770769570801117</v>
      </c>
      <c r="F148" s="109">
        <v>7.7518242521419783E-2</v>
      </c>
      <c r="G148" s="164">
        <v>1.1581577373692811</v>
      </c>
      <c r="H148" s="109">
        <v>0.1850426053678855</v>
      </c>
      <c r="I148" s="107"/>
      <c r="J148" s="165">
        <v>0.10341540080360884</v>
      </c>
      <c r="K148" s="165">
        <v>6.9422935154375906E-2</v>
      </c>
      <c r="L148" s="166">
        <v>1.2311217699475407</v>
      </c>
      <c r="M148" s="130">
        <v>0.1850426053678855</v>
      </c>
      <c r="O148" s="176">
        <v>111</v>
      </c>
      <c r="P148" s="177">
        <v>0.90127515029425675</v>
      </c>
    </row>
    <row r="149" spans="1:16" hidden="1" outlineLevel="1" x14ac:dyDescent="0.45">
      <c r="A149" s="123">
        <f t="shared" si="3"/>
        <v>140</v>
      </c>
      <c r="B149" s="149" t="s">
        <v>796</v>
      </c>
      <c r="C149" s="150">
        <v>93</v>
      </c>
      <c r="D149" s="107"/>
      <c r="E149" s="111">
        <v>0.22006592413729328</v>
      </c>
      <c r="F149" s="109">
        <v>-0.15314799806094523</v>
      </c>
      <c r="G149" s="164">
        <v>1.6315524518759961</v>
      </c>
      <c r="H149" s="109">
        <v>0.5162500097688556</v>
      </c>
      <c r="I149" s="107"/>
      <c r="J149" s="165">
        <v>0.1397651198736633</v>
      </c>
      <c r="K149" s="165">
        <v>0.16345006085480085</v>
      </c>
      <c r="L149" s="166">
        <v>2.0427663933929265</v>
      </c>
      <c r="M149" s="130">
        <v>0.50883201067844042</v>
      </c>
      <c r="O149" s="176">
        <v>54</v>
      </c>
      <c r="P149" s="177">
        <v>0.97228450844066838</v>
      </c>
    </row>
    <row r="150" spans="1:16" hidden="1" outlineLevel="1" x14ac:dyDescent="0.45">
      <c r="A150" s="123">
        <f t="shared" si="3"/>
        <v>141</v>
      </c>
      <c r="B150" s="149" t="s">
        <v>797</v>
      </c>
      <c r="C150" s="150">
        <v>126</v>
      </c>
      <c r="D150" s="107"/>
      <c r="E150" s="111">
        <v>3.3753127501023009E-2</v>
      </c>
      <c r="F150" s="109">
        <v>0.11657209745534323</v>
      </c>
      <c r="G150" s="164">
        <v>4.1823914001320039</v>
      </c>
      <c r="H150" s="109">
        <v>0.53975008701248628</v>
      </c>
      <c r="I150" s="107"/>
      <c r="J150" s="165">
        <v>3.9991298941143102E-2</v>
      </c>
      <c r="K150" s="165">
        <v>9.7852446243412994E-2</v>
      </c>
      <c r="L150" s="166">
        <v>3.662261469642063</v>
      </c>
      <c r="M150" s="130">
        <v>0.53975008701248628</v>
      </c>
      <c r="O150" s="176">
        <v>40</v>
      </c>
      <c r="P150" s="177">
        <v>0.9326208160119096</v>
      </c>
    </row>
    <row r="151" spans="1:16" hidden="1" outlineLevel="1" x14ac:dyDescent="0.45">
      <c r="A151" s="123">
        <f t="shared" si="3"/>
        <v>142</v>
      </c>
      <c r="B151" s="149" t="s">
        <v>798</v>
      </c>
      <c r="C151" s="150">
        <v>151</v>
      </c>
      <c r="D151" s="107"/>
      <c r="E151" s="111">
        <v>0.13605460604142808</v>
      </c>
      <c r="F151" s="109">
        <v>-1.5683032342864781E-2</v>
      </c>
      <c r="G151" s="164">
        <v>2.8183529953726771</v>
      </c>
      <c r="H151" s="109">
        <v>0.16333331888505204</v>
      </c>
      <c r="I151" s="107"/>
      <c r="J151" s="165">
        <v>7.6239835252127491E-2</v>
      </c>
      <c r="K151" s="165">
        <v>0.14681822762939845</v>
      </c>
      <c r="L151" s="166">
        <v>1.9901202580794994</v>
      </c>
      <c r="M151" s="130">
        <v>0.16333331888505204</v>
      </c>
      <c r="O151" s="176">
        <v>65</v>
      </c>
      <c r="P151" s="177">
        <v>0.97335644339722627</v>
      </c>
    </row>
    <row r="152" spans="1:16" hidden="1" outlineLevel="1" x14ac:dyDescent="0.45">
      <c r="A152" s="123">
        <f t="shared" si="3"/>
        <v>143</v>
      </c>
      <c r="B152" s="149" t="s">
        <v>799</v>
      </c>
      <c r="C152" s="150">
        <v>117</v>
      </c>
      <c r="D152" s="107"/>
      <c r="E152" s="111">
        <v>5.7980837951527489E-2</v>
      </c>
      <c r="F152" s="109">
        <v>4.6588022138511619E-2</v>
      </c>
      <c r="G152" s="164">
        <v>0.85996034127611465</v>
      </c>
      <c r="H152" s="109">
        <v>0.63337081960846997</v>
      </c>
      <c r="I152" s="107"/>
      <c r="J152" s="165">
        <v>7.7845165794051804E-2</v>
      </c>
      <c r="K152" s="165">
        <v>6.4378740451682709E-2</v>
      </c>
      <c r="L152" s="166">
        <v>0.99987222699155631</v>
      </c>
      <c r="M152" s="130">
        <v>0.63337081960846997</v>
      </c>
      <c r="O152" s="176">
        <v>24</v>
      </c>
      <c r="P152" s="177">
        <v>0.81049762200220365</v>
      </c>
    </row>
    <row r="153" spans="1:16" hidden="1" outlineLevel="1" x14ac:dyDescent="0.45">
      <c r="A153" s="123">
        <f t="shared" si="3"/>
        <v>144</v>
      </c>
      <c r="B153" s="149" t="s">
        <v>800</v>
      </c>
      <c r="C153" s="150">
        <v>33</v>
      </c>
      <c r="D153" s="107"/>
      <c r="E153" s="111">
        <v>8.666898976184155E-2</v>
      </c>
      <c r="F153" s="109">
        <v>8.9035718617199097E-2</v>
      </c>
      <c r="G153" s="164">
        <v>1.4602260178388524</v>
      </c>
      <c r="H153" s="109">
        <v>0.36107688419915829</v>
      </c>
      <c r="I153" s="107"/>
      <c r="J153" s="165">
        <v>8.5760499719677308E-2</v>
      </c>
      <c r="K153" s="165">
        <v>8.4343047228182283E-2</v>
      </c>
      <c r="L153" s="166">
        <v>1.3037048809753433</v>
      </c>
      <c r="M153" s="130">
        <v>0.36107688419915829</v>
      </c>
      <c r="O153" s="176">
        <v>12</v>
      </c>
      <c r="P153" s="177">
        <v>0.83815123451831708</v>
      </c>
    </row>
    <row r="154" spans="1:16" hidden="1" outlineLevel="1" x14ac:dyDescent="0.45">
      <c r="A154" s="123">
        <f t="shared" si="3"/>
        <v>145</v>
      </c>
      <c r="B154" s="149" t="s">
        <v>801</v>
      </c>
      <c r="C154" s="150">
        <v>12</v>
      </c>
      <c r="D154" s="107"/>
      <c r="E154" s="111">
        <v>0.34685431037204251</v>
      </c>
      <c r="F154" s="109">
        <v>0.54898449845445152</v>
      </c>
      <c r="G154" s="164">
        <v>1.0318568886933897</v>
      </c>
      <c r="H154" s="109">
        <v>0.15424092264716852</v>
      </c>
      <c r="I154" s="107"/>
      <c r="J154" s="165">
        <v>0.35207553186076235</v>
      </c>
      <c r="K154" s="165">
        <v>0.49537590381403246</v>
      </c>
      <c r="L154" s="166">
        <v>2.1008042577453323</v>
      </c>
      <c r="M154" s="130">
        <v>0.15424092264716852</v>
      </c>
      <c r="O154" s="176">
        <v>5</v>
      </c>
      <c r="P154" s="177">
        <v>0.73209171277781948</v>
      </c>
    </row>
    <row r="155" spans="1:16" hidden="1" outlineLevel="1" x14ac:dyDescent="0.45">
      <c r="A155" s="123">
        <f t="shared" si="3"/>
        <v>146</v>
      </c>
      <c r="B155" s="149" t="s">
        <v>802</v>
      </c>
      <c r="C155" s="150">
        <v>227</v>
      </c>
      <c r="D155" s="107"/>
      <c r="E155" s="111">
        <v>5.0499903146298479E-2</v>
      </c>
      <c r="F155" s="109">
        <v>8.6856456321128275E-2</v>
      </c>
      <c r="G155" s="164">
        <v>1.4226513548416231</v>
      </c>
      <c r="H155" s="109">
        <v>0.52064437212064252</v>
      </c>
      <c r="I155" s="107"/>
      <c r="J155" s="165">
        <v>5.0565718893752568E-2</v>
      </c>
      <c r="K155" s="165">
        <v>8.0218386897324842E-2</v>
      </c>
      <c r="L155" s="166">
        <v>2.1009428229401896</v>
      </c>
      <c r="M155" s="130">
        <v>0.52064437212064252</v>
      </c>
      <c r="O155" s="176">
        <v>106</v>
      </c>
      <c r="P155" s="177">
        <v>0.86106334313778332</v>
      </c>
    </row>
    <row r="156" spans="1:16" hidden="1" outlineLevel="1" x14ac:dyDescent="0.45">
      <c r="A156" s="123">
        <f t="shared" si="3"/>
        <v>147</v>
      </c>
      <c r="B156" s="149" t="s">
        <v>803</v>
      </c>
      <c r="C156" s="150">
        <v>55</v>
      </c>
      <c r="D156" s="107"/>
      <c r="E156" s="111">
        <v>0.31560304954474871</v>
      </c>
      <c r="F156" s="109">
        <v>0.70409780402944078</v>
      </c>
      <c r="G156" s="164">
        <v>1.6850043496049918</v>
      </c>
      <c r="H156" s="109">
        <v>0.22578237073860288</v>
      </c>
      <c r="I156" s="107"/>
      <c r="J156" s="165">
        <v>0.17074638211055582</v>
      </c>
      <c r="K156" s="165">
        <v>0.20839085997672649</v>
      </c>
      <c r="L156" s="166">
        <v>1.396274242335876</v>
      </c>
      <c r="M156" s="130">
        <v>0.22578237073860288</v>
      </c>
      <c r="O156" s="176">
        <v>39</v>
      </c>
      <c r="P156" s="177">
        <v>1.0147489121103743</v>
      </c>
    </row>
    <row r="157" spans="1:16" hidden="1" outlineLevel="1" x14ac:dyDescent="0.45">
      <c r="A157" s="123">
        <f t="shared" si="3"/>
        <v>148</v>
      </c>
      <c r="B157" s="149" t="s">
        <v>804</v>
      </c>
      <c r="C157" s="150">
        <v>32</v>
      </c>
      <c r="D157" s="107"/>
      <c r="E157" s="111">
        <v>0.16169578079080937</v>
      </c>
      <c r="F157" s="109">
        <v>-1.2257358333487203E-2</v>
      </c>
      <c r="G157" s="164">
        <v>0.57064175359488012</v>
      </c>
      <c r="H157" s="109">
        <v>0.67276025107319637</v>
      </c>
      <c r="I157" s="107"/>
      <c r="J157" s="165">
        <v>0.285456868834713</v>
      </c>
      <c r="K157" s="165">
        <v>7.5929929863381679E-2</v>
      </c>
      <c r="L157" s="166">
        <v>0.30257720490423512</v>
      </c>
      <c r="M157" s="130">
        <v>0.67276025107319637</v>
      </c>
      <c r="O157" s="176">
        <v>17</v>
      </c>
      <c r="P157" s="177">
        <v>0.74570518616403259</v>
      </c>
    </row>
    <row r="158" spans="1:16" hidden="1" outlineLevel="1" x14ac:dyDescent="0.45">
      <c r="A158" s="123">
        <f t="shared" si="3"/>
        <v>149</v>
      </c>
      <c r="B158" s="149" t="s">
        <v>805</v>
      </c>
      <c r="C158" s="150">
        <v>48</v>
      </c>
      <c r="D158" s="107"/>
      <c r="E158" s="111">
        <v>0.17452716133944757</v>
      </c>
      <c r="F158" s="109">
        <v>6.4880574145269404E-2</v>
      </c>
      <c r="G158" s="164">
        <v>0.59745438562412168</v>
      </c>
      <c r="H158" s="109">
        <v>0.64176509034555096</v>
      </c>
      <c r="I158" s="107"/>
      <c r="J158" s="165">
        <v>0.16680527365816725</v>
      </c>
      <c r="K158" s="165">
        <v>0.11666197245982421</v>
      </c>
      <c r="L158" s="166">
        <v>0.73269539464505584</v>
      </c>
      <c r="M158" s="130">
        <v>0.60639064096616258</v>
      </c>
      <c r="O158" s="176">
        <v>10</v>
      </c>
      <c r="P158" s="177">
        <v>0.76398425945276827</v>
      </c>
    </row>
    <row r="159" spans="1:16" hidden="1" outlineLevel="1" x14ac:dyDescent="0.45">
      <c r="A159" s="123">
        <f t="shared" si="3"/>
        <v>150</v>
      </c>
      <c r="B159" s="149">
        <v>0</v>
      </c>
      <c r="C159" s="150">
        <v>0</v>
      </c>
      <c r="D159" s="107"/>
      <c r="E159" s="111" t="s">
        <v>592</v>
      </c>
      <c r="F159" s="109" t="s">
        <v>592</v>
      </c>
      <c r="G159" s="164" t="s">
        <v>592</v>
      </c>
      <c r="H159" s="109" t="s">
        <v>592</v>
      </c>
      <c r="I159" s="107"/>
      <c r="J159" s="165" t="s">
        <v>592</v>
      </c>
      <c r="K159" s="165" t="s">
        <v>592</v>
      </c>
      <c r="L159" s="166" t="s">
        <v>592</v>
      </c>
      <c r="M159" s="130">
        <v>0</v>
      </c>
      <c r="O159" s="176">
        <v>0</v>
      </c>
      <c r="P159" s="177" t="s">
        <v>373</v>
      </c>
    </row>
    <row r="160" spans="1:16" hidden="1" outlineLevel="1" x14ac:dyDescent="0.45">
      <c r="A160" s="123">
        <f t="shared" si="3"/>
        <v>151</v>
      </c>
      <c r="B160" s="149" t="s">
        <v>806</v>
      </c>
      <c r="C160" s="150">
        <v>0</v>
      </c>
      <c r="D160" s="107"/>
      <c r="E160" s="111" t="s">
        <v>592</v>
      </c>
      <c r="F160" s="109" t="s">
        <v>592</v>
      </c>
      <c r="G160" s="164" t="s">
        <v>592</v>
      </c>
      <c r="H160" s="109" t="s">
        <v>592</v>
      </c>
      <c r="I160" s="107"/>
      <c r="J160" s="165" t="s">
        <v>592</v>
      </c>
      <c r="K160" s="165" t="s">
        <v>592</v>
      </c>
      <c r="L160" s="166" t="s">
        <v>592</v>
      </c>
      <c r="M160" s="130">
        <v>0</v>
      </c>
      <c r="O160" s="176">
        <v>0</v>
      </c>
      <c r="P160" s="177" t="s">
        <v>373</v>
      </c>
    </row>
    <row r="161" spans="1:16" hidden="1" outlineLevel="1" x14ac:dyDescent="0.45">
      <c r="A161" s="123">
        <f t="shared" si="3"/>
        <v>152</v>
      </c>
      <c r="B161" s="149" t="s">
        <v>807</v>
      </c>
      <c r="C161" s="150">
        <v>0</v>
      </c>
      <c r="D161" s="107"/>
      <c r="E161" s="111" t="s">
        <v>592</v>
      </c>
      <c r="F161" s="109" t="s">
        <v>592</v>
      </c>
      <c r="G161" s="164" t="s">
        <v>592</v>
      </c>
      <c r="H161" s="109" t="s">
        <v>592</v>
      </c>
      <c r="I161" s="107"/>
      <c r="J161" s="165" t="s">
        <v>592</v>
      </c>
      <c r="K161" s="165" t="s">
        <v>592</v>
      </c>
      <c r="L161" s="166" t="s">
        <v>592</v>
      </c>
      <c r="M161" s="130">
        <v>0</v>
      </c>
      <c r="O161" s="176">
        <v>0</v>
      </c>
      <c r="P161" s="177" t="s">
        <v>373</v>
      </c>
    </row>
    <row r="162" spans="1:16" hidden="1" outlineLevel="1" x14ac:dyDescent="0.45">
      <c r="A162" s="123">
        <f t="shared" si="3"/>
        <v>153</v>
      </c>
      <c r="B162" s="149" t="s">
        <v>808</v>
      </c>
      <c r="C162" s="150">
        <v>0</v>
      </c>
      <c r="D162" s="107"/>
      <c r="E162" s="111" t="s">
        <v>592</v>
      </c>
      <c r="F162" s="109" t="s">
        <v>592</v>
      </c>
      <c r="G162" s="164" t="s">
        <v>592</v>
      </c>
      <c r="H162" s="109" t="s">
        <v>592</v>
      </c>
      <c r="I162" s="107"/>
      <c r="J162" s="165" t="s">
        <v>592</v>
      </c>
      <c r="K162" s="165" t="s">
        <v>592</v>
      </c>
      <c r="L162" s="166" t="s">
        <v>592</v>
      </c>
      <c r="M162" s="130">
        <v>0</v>
      </c>
      <c r="O162" s="176">
        <v>0</v>
      </c>
      <c r="P162" s="177" t="s">
        <v>373</v>
      </c>
    </row>
    <row r="163" spans="1:16" hidden="1" outlineLevel="1" x14ac:dyDescent="0.45">
      <c r="A163" s="123">
        <f t="shared" si="3"/>
        <v>154</v>
      </c>
      <c r="B163" s="149" t="s">
        <v>809</v>
      </c>
      <c r="C163" s="150">
        <v>0</v>
      </c>
      <c r="D163" s="107"/>
      <c r="E163" s="111" t="s">
        <v>592</v>
      </c>
      <c r="F163" s="109" t="s">
        <v>592</v>
      </c>
      <c r="G163" s="164" t="s">
        <v>592</v>
      </c>
      <c r="H163" s="109" t="s">
        <v>592</v>
      </c>
      <c r="I163" s="107"/>
      <c r="J163" s="165" t="s">
        <v>592</v>
      </c>
      <c r="K163" s="165" t="s">
        <v>592</v>
      </c>
      <c r="L163" s="166" t="s">
        <v>592</v>
      </c>
      <c r="M163" s="130">
        <v>0</v>
      </c>
      <c r="O163" s="176">
        <v>0</v>
      </c>
      <c r="P163" s="177" t="s">
        <v>373</v>
      </c>
    </row>
    <row r="164" spans="1:16" hidden="1" outlineLevel="1" x14ac:dyDescent="0.45">
      <c r="A164" s="123">
        <f t="shared" si="3"/>
        <v>155</v>
      </c>
      <c r="B164" s="149" t="s">
        <v>810</v>
      </c>
      <c r="C164" s="150">
        <v>0</v>
      </c>
      <c r="D164" s="107"/>
      <c r="E164" s="111" t="s">
        <v>592</v>
      </c>
      <c r="F164" s="109" t="s">
        <v>592</v>
      </c>
      <c r="G164" s="164" t="s">
        <v>592</v>
      </c>
      <c r="H164" s="109" t="s">
        <v>592</v>
      </c>
      <c r="I164" s="107"/>
      <c r="J164" s="165" t="s">
        <v>592</v>
      </c>
      <c r="K164" s="165" t="s">
        <v>592</v>
      </c>
      <c r="L164" s="166" t="s">
        <v>592</v>
      </c>
      <c r="M164" s="130">
        <v>0</v>
      </c>
      <c r="O164" s="176">
        <v>0</v>
      </c>
      <c r="P164" s="177" t="s">
        <v>373</v>
      </c>
    </row>
    <row r="165" spans="1:16" hidden="1" outlineLevel="1" x14ac:dyDescent="0.45">
      <c r="A165" s="123">
        <f t="shared" si="3"/>
        <v>156</v>
      </c>
      <c r="B165" s="149" t="s">
        <v>811</v>
      </c>
      <c r="C165" s="150">
        <v>0</v>
      </c>
      <c r="D165" s="107"/>
      <c r="E165" s="111" t="s">
        <v>592</v>
      </c>
      <c r="F165" s="109" t="s">
        <v>592</v>
      </c>
      <c r="G165" s="164" t="s">
        <v>592</v>
      </c>
      <c r="H165" s="109" t="s">
        <v>592</v>
      </c>
      <c r="I165" s="107"/>
      <c r="J165" s="165" t="s">
        <v>592</v>
      </c>
      <c r="K165" s="165" t="s">
        <v>592</v>
      </c>
      <c r="L165" s="166" t="s">
        <v>592</v>
      </c>
      <c r="M165" s="130">
        <v>0</v>
      </c>
      <c r="O165" s="176">
        <v>0</v>
      </c>
      <c r="P165" s="177" t="s">
        <v>373</v>
      </c>
    </row>
    <row r="166" spans="1:16" hidden="1" outlineLevel="1" x14ac:dyDescent="0.45">
      <c r="A166" s="123">
        <f t="shared" si="3"/>
        <v>157</v>
      </c>
      <c r="B166" s="149" t="s">
        <v>812</v>
      </c>
      <c r="C166" s="150">
        <v>0</v>
      </c>
      <c r="D166" s="107"/>
      <c r="E166" s="111" t="s">
        <v>592</v>
      </c>
      <c r="F166" s="109" t="s">
        <v>592</v>
      </c>
      <c r="G166" s="164" t="s">
        <v>592</v>
      </c>
      <c r="H166" s="109" t="s">
        <v>592</v>
      </c>
      <c r="I166" s="107"/>
      <c r="J166" s="165" t="s">
        <v>592</v>
      </c>
      <c r="K166" s="165" t="s">
        <v>592</v>
      </c>
      <c r="L166" s="166" t="s">
        <v>592</v>
      </c>
      <c r="M166" s="130">
        <v>0</v>
      </c>
      <c r="O166" s="176">
        <v>0</v>
      </c>
      <c r="P166" s="177" t="s">
        <v>373</v>
      </c>
    </row>
    <row r="167" spans="1:16" hidden="1" outlineLevel="1" x14ac:dyDescent="0.45">
      <c r="A167" s="123">
        <f t="shared" si="3"/>
        <v>158</v>
      </c>
      <c r="B167" s="149" t="s">
        <v>813</v>
      </c>
      <c r="C167" s="150">
        <v>0</v>
      </c>
      <c r="D167" s="107"/>
      <c r="E167" s="111" t="s">
        <v>592</v>
      </c>
      <c r="F167" s="109" t="s">
        <v>592</v>
      </c>
      <c r="G167" s="164" t="s">
        <v>592</v>
      </c>
      <c r="H167" s="109" t="s">
        <v>592</v>
      </c>
      <c r="I167" s="107"/>
      <c r="J167" s="165" t="s">
        <v>592</v>
      </c>
      <c r="K167" s="165" t="s">
        <v>592</v>
      </c>
      <c r="L167" s="166" t="s">
        <v>592</v>
      </c>
      <c r="M167" s="130">
        <v>0</v>
      </c>
      <c r="O167" s="176">
        <v>0</v>
      </c>
      <c r="P167" s="177" t="s">
        <v>373</v>
      </c>
    </row>
    <row r="168" spans="1:16" hidden="1" outlineLevel="1" x14ac:dyDescent="0.45">
      <c r="A168" s="123">
        <f t="shared" si="3"/>
        <v>159</v>
      </c>
      <c r="B168" s="149" t="s">
        <v>814</v>
      </c>
      <c r="C168" s="150">
        <v>0</v>
      </c>
      <c r="D168" s="107"/>
      <c r="E168" s="111" t="s">
        <v>592</v>
      </c>
      <c r="F168" s="109" t="s">
        <v>592</v>
      </c>
      <c r="G168" s="164" t="s">
        <v>592</v>
      </c>
      <c r="H168" s="109" t="s">
        <v>592</v>
      </c>
      <c r="I168" s="107"/>
      <c r="J168" s="165" t="s">
        <v>592</v>
      </c>
      <c r="K168" s="165" t="s">
        <v>592</v>
      </c>
      <c r="L168" s="166" t="s">
        <v>592</v>
      </c>
      <c r="M168" s="130">
        <v>0</v>
      </c>
      <c r="O168" s="176">
        <v>0</v>
      </c>
      <c r="P168" s="177" t="s">
        <v>373</v>
      </c>
    </row>
    <row r="169" spans="1:16" hidden="1" outlineLevel="1" x14ac:dyDescent="0.45">
      <c r="A169" s="123">
        <f t="shared" si="3"/>
        <v>160</v>
      </c>
      <c r="B169" s="149">
        <v>0</v>
      </c>
      <c r="C169" s="150">
        <v>0</v>
      </c>
      <c r="D169" s="107"/>
      <c r="E169" s="111" t="s">
        <v>592</v>
      </c>
      <c r="F169" s="109" t="s">
        <v>592</v>
      </c>
      <c r="G169" s="164" t="s">
        <v>592</v>
      </c>
      <c r="H169" s="109" t="s">
        <v>592</v>
      </c>
      <c r="I169" s="107"/>
      <c r="J169" s="165" t="s">
        <v>592</v>
      </c>
      <c r="K169" s="165" t="s">
        <v>592</v>
      </c>
      <c r="L169" s="166" t="s">
        <v>592</v>
      </c>
      <c r="M169" s="130">
        <v>0</v>
      </c>
      <c r="O169" s="176">
        <v>0</v>
      </c>
      <c r="P169" s="177" t="s">
        <v>373</v>
      </c>
    </row>
    <row r="170" spans="1:16" hidden="1" outlineLevel="1" x14ac:dyDescent="0.45">
      <c r="A170" s="123">
        <f t="shared" si="3"/>
        <v>161</v>
      </c>
      <c r="B170" s="149">
        <v>0</v>
      </c>
      <c r="C170" s="150">
        <v>0</v>
      </c>
      <c r="D170" s="107"/>
      <c r="E170" s="111" t="s">
        <v>592</v>
      </c>
      <c r="F170" s="109" t="s">
        <v>592</v>
      </c>
      <c r="G170" s="164" t="s">
        <v>592</v>
      </c>
      <c r="H170" s="109" t="s">
        <v>592</v>
      </c>
      <c r="I170" s="107"/>
      <c r="J170" s="165" t="s">
        <v>592</v>
      </c>
      <c r="K170" s="165" t="s">
        <v>592</v>
      </c>
      <c r="L170" s="166" t="s">
        <v>592</v>
      </c>
      <c r="M170" s="130">
        <v>0</v>
      </c>
      <c r="O170" s="176">
        <v>0</v>
      </c>
      <c r="P170" s="177" t="s">
        <v>373</v>
      </c>
    </row>
    <row r="171" spans="1:16" hidden="1" outlineLevel="1" x14ac:dyDescent="0.45">
      <c r="A171" s="123">
        <f t="shared" si="3"/>
        <v>162</v>
      </c>
      <c r="B171" s="149">
        <v>0</v>
      </c>
      <c r="C171" s="150">
        <v>0</v>
      </c>
      <c r="D171" s="107"/>
      <c r="E171" s="111" t="s">
        <v>592</v>
      </c>
      <c r="F171" s="109" t="s">
        <v>592</v>
      </c>
      <c r="G171" s="164" t="s">
        <v>592</v>
      </c>
      <c r="H171" s="109" t="s">
        <v>592</v>
      </c>
      <c r="I171" s="107"/>
      <c r="J171" s="165" t="s">
        <v>592</v>
      </c>
      <c r="K171" s="165" t="s">
        <v>592</v>
      </c>
      <c r="L171" s="166" t="s">
        <v>592</v>
      </c>
      <c r="M171" s="130">
        <v>0</v>
      </c>
      <c r="O171" s="176">
        <v>0</v>
      </c>
      <c r="P171" s="177" t="s">
        <v>373</v>
      </c>
    </row>
    <row r="172" spans="1:16" hidden="1" outlineLevel="1" x14ac:dyDescent="0.45">
      <c r="A172" s="123">
        <f t="shared" si="3"/>
        <v>163</v>
      </c>
      <c r="B172" s="149">
        <v>0</v>
      </c>
      <c r="C172" s="150">
        <v>0</v>
      </c>
      <c r="D172" s="107"/>
      <c r="E172" s="111" t="s">
        <v>592</v>
      </c>
      <c r="F172" s="109" t="s">
        <v>592</v>
      </c>
      <c r="G172" s="164" t="s">
        <v>592</v>
      </c>
      <c r="H172" s="109" t="s">
        <v>592</v>
      </c>
      <c r="I172" s="107"/>
      <c r="J172" s="165" t="s">
        <v>592</v>
      </c>
      <c r="K172" s="165" t="s">
        <v>592</v>
      </c>
      <c r="L172" s="166" t="s">
        <v>592</v>
      </c>
      <c r="M172" s="130">
        <v>0</v>
      </c>
      <c r="O172" s="176">
        <v>0</v>
      </c>
      <c r="P172" s="177" t="s">
        <v>373</v>
      </c>
    </row>
    <row r="173" spans="1:16" hidden="1" outlineLevel="1" x14ac:dyDescent="0.45">
      <c r="A173" s="123">
        <f t="shared" si="3"/>
        <v>164</v>
      </c>
      <c r="B173" s="149">
        <v>0</v>
      </c>
      <c r="C173" s="150">
        <v>0</v>
      </c>
      <c r="D173" s="107"/>
      <c r="E173" s="111" t="s">
        <v>592</v>
      </c>
      <c r="F173" s="109" t="s">
        <v>592</v>
      </c>
      <c r="G173" s="164" t="s">
        <v>592</v>
      </c>
      <c r="H173" s="109" t="s">
        <v>592</v>
      </c>
      <c r="I173" s="107"/>
      <c r="J173" s="165" t="s">
        <v>592</v>
      </c>
      <c r="K173" s="165" t="s">
        <v>592</v>
      </c>
      <c r="L173" s="166" t="s">
        <v>592</v>
      </c>
      <c r="M173" s="130">
        <v>0</v>
      </c>
      <c r="O173" s="176">
        <v>0</v>
      </c>
      <c r="P173" s="177" t="s">
        <v>373</v>
      </c>
    </row>
    <row r="174" spans="1:16" hidden="1" outlineLevel="1" x14ac:dyDescent="0.45">
      <c r="A174" s="123">
        <f t="shared" si="3"/>
        <v>165</v>
      </c>
      <c r="B174" s="149">
        <v>0</v>
      </c>
      <c r="C174" s="150">
        <v>0</v>
      </c>
      <c r="D174" s="107"/>
      <c r="E174" s="111" t="s">
        <v>592</v>
      </c>
      <c r="F174" s="109" t="s">
        <v>592</v>
      </c>
      <c r="G174" s="164" t="s">
        <v>592</v>
      </c>
      <c r="H174" s="109" t="s">
        <v>592</v>
      </c>
      <c r="I174" s="107"/>
      <c r="J174" s="165" t="s">
        <v>592</v>
      </c>
      <c r="K174" s="165" t="s">
        <v>592</v>
      </c>
      <c r="L174" s="166" t="s">
        <v>592</v>
      </c>
      <c r="M174" s="130">
        <v>0</v>
      </c>
      <c r="O174" s="176">
        <v>0</v>
      </c>
      <c r="P174" s="177" t="s">
        <v>373</v>
      </c>
    </row>
    <row r="175" spans="1:16" hidden="1" outlineLevel="1" x14ac:dyDescent="0.45">
      <c r="A175" s="123">
        <f t="shared" si="3"/>
        <v>166</v>
      </c>
      <c r="B175" s="149">
        <v>0</v>
      </c>
      <c r="C175" s="150">
        <v>0</v>
      </c>
      <c r="D175" s="107"/>
      <c r="E175" s="111" t="s">
        <v>592</v>
      </c>
      <c r="F175" s="109" t="s">
        <v>592</v>
      </c>
      <c r="G175" s="164" t="s">
        <v>592</v>
      </c>
      <c r="H175" s="109" t="s">
        <v>592</v>
      </c>
      <c r="I175" s="107"/>
      <c r="J175" s="165" t="s">
        <v>592</v>
      </c>
      <c r="K175" s="165" t="s">
        <v>592</v>
      </c>
      <c r="L175" s="166" t="s">
        <v>592</v>
      </c>
      <c r="M175" s="130">
        <v>0</v>
      </c>
      <c r="O175" s="176">
        <v>0</v>
      </c>
      <c r="P175" s="177" t="s">
        <v>373</v>
      </c>
    </row>
    <row r="176" spans="1:16" hidden="1" outlineLevel="1" x14ac:dyDescent="0.45">
      <c r="A176" s="123">
        <f t="shared" si="3"/>
        <v>167</v>
      </c>
      <c r="B176" s="149">
        <v>0</v>
      </c>
      <c r="C176" s="150">
        <v>0</v>
      </c>
      <c r="D176" s="107"/>
      <c r="E176" s="111" t="s">
        <v>592</v>
      </c>
      <c r="F176" s="109" t="s">
        <v>592</v>
      </c>
      <c r="G176" s="164" t="s">
        <v>592</v>
      </c>
      <c r="H176" s="109" t="s">
        <v>592</v>
      </c>
      <c r="I176" s="107"/>
      <c r="J176" s="165" t="s">
        <v>592</v>
      </c>
      <c r="K176" s="165" t="s">
        <v>592</v>
      </c>
      <c r="L176" s="166" t="s">
        <v>592</v>
      </c>
      <c r="M176" s="130">
        <v>0</v>
      </c>
      <c r="O176" s="176">
        <v>0</v>
      </c>
      <c r="P176" s="177" t="s">
        <v>373</v>
      </c>
    </row>
    <row r="177" spans="1:16" hidden="1" outlineLevel="1" x14ac:dyDescent="0.45">
      <c r="A177" s="123">
        <f t="shared" si="3"/>
        <v>168</v>
      </c>
      <c r="B177" s="149">
        <v>0</v>
      </c>
      <c r="C177" s="150">
        <v>0</v>
      </c>
      <c r="D177" s="107"/>
      <c r="E177" s="111" t="s">
        <v>592</v>
      </c>
      <c r="F177" s="109" t="s">
        <v>592</v>
      </c>
      <c r="G177" s="164" t="s">
        <v>592</v>
      </c>
      <c r="H177" s="109" t="s">
        <v>592</v>
      </c>
      <c r="I177" s="107"/>
      <c r="J177" s="165" t="s">
        <v>592</v>
      </c>
      <c r="K177" s="165" t="s">
        <v>592</v>
      </c>
      <c r="L177" s="166" t="s">
        <v>592</v>
      </c>
      <c r="M177" s="130">
        <v>0</v>
      </c>
      <c r="O177" s="176">
        <v>0</v>
      </c>
      <c r="P177" s="177" t="s">
        <v>373</v>
      </c>
    </row>
    <row r="178" spans="1:16" hidden="1" outlineLevel="1" x14ac:dyDescent="0.45">
      <c r="A178" s="123">
        <f t="shared" si="3"/>
        <v>169</v>
      </c>
      <c r="B178" s="149">
        <v>0</v>
      </c>
      <c r="C178" s="150">
        <v>0</v>
      </c>
      <c r="D178" s="107"/>
      <c r="E178" s="111" t="s">
        <v>592</v>
      </c>
      <c r="F178" s="109" t="s">
        <v>592</v>
      </c>
      <c r="G178" s="164" t="s">
        <v>592</v>
      </c>
      <c r="H178" s="109" t="s">
        <v>592</v>
      </c>
      <c r="I178" s="107"/>
      <c r="J178" s="165" t="s">
        <v>592</v>
      </c>
      <c r="K178" s="165" t="s">
        <v>592</v>
      </c>
      <c r="L178" s="166" t="s">
        <v>592</v>
      </c>
      <c r="M178" s="130">
        <v>0</v>
      </c>
      <c r="O178" s="176">
        <v>0</v>
      </c>
      <c r="P178" s="177" t="s">
        <v>373</v>
      </c>
    </row>
    <row r="179" spans="1:16" hidden="1" outlineLevel="1" x14ac:dyDescent="0.45">
      <c r="A179" s="123">
        <f t="shared" si="3"/>
        <v>170</v>
      </c>
      <c r="B179" s="149">
        <v>0</v>
      </c>
      <c r="C179" s="150">
        <v>0</v>
      </c>
      <c r="D179" s="107"/>
      <c r="E179" s="111" t="s">
        <v>592</v>
      </c>
      <c r="F179" s="109" t="s">
        <v>592</v>
      </c>
      <c r="G179" s="164" t="s">
        <v>592</v>
      </c>
      <c r="H179" s="109" t="s">
        <v>592</v>
      </c>
      <c r="I179" s="107"/>
      <c r="J179" s="165" t="s">
        <v>592</v>
      </c>
      <c r="K179" s="165" t="s">
        <v>592</v>
      </c>
      <c r="L179" s="166" t="s">
        <v>592</v>
      </c>
      <c r="M179" s="130">
        <v>0</v>
      </c>
      <c r="O179" s="176">
        <v>0</v>
      </c>
      <c r="P179" s="177" t="s">
        <v>373</v>
      </c>
    </row>
    <row r="180" spans="1:16" hidden="1" outlineLevel="1" x14ac:dyDescent="0.45">
      <c r="A180" s="123">
        <f t="shared" si="3"/>
        <v>171</v>
      </c>
      <c r="B180" s="149">
        <v>0</v>
      </c>
      <c r="C180" s="150">
        <v>0</v>
      </c>
      <c r="D180" s="107"/>
      <c r="E180" s="111" t="s">
        <v>592</v>
      </c>
      <c r="F180" s="109" t="s">
        <v>592</v>
      </c>
      <c r="G180" s="164" t="s">
        <v>592</v>
      </c>
      <c r="H180" s="109" t="s">
        <v>592</v>
      </c>
      <c r="I180" s="107"/>
      <c r="J180" s="165" t="s">
        <v>592</v>
      </c>
      <c r="K180" s="165" t="s">
        <v>592</v>
      </c>
      <c r="L180" s="166" t="s">
        <v>592</v>
      </c>
      <c r="M180" s="130">
        <v>0</v>
      </c>
      <c r="O180" s="176">
        <v>0</v>
      </c>
      <c r="P180" s="177" t="s">
        <v>373</v>
      </c>
    </row>
    <row r="181" spans="1:16" hidden="1" outlineLevel="1" x14ac:dyDescent="0.45">
      <c r="A181" s="123">
        <f t="shared" si="3"/>
        <v>172</v>
      </c>
      <c r="B181" s="149">
        <v>0</v>
      </c>
      <c r="C181" s="150">
        <v>0</v>
      </c>
      <c r="D181" s="107"/>
      <c r="E181" s="111" t="s">
        <v>592</v>
      </c>
      <c r="F181" s="109" t="s">
        <v>592</v>
      </c>
      <c r="G181" s="164" t="s">
        <v>592</v>
      </c>
      <c r="H181" s="109" t="s">
        <v>592</v>
      </c>
      <c r="I181" s="107"/>
      <c r="J181" s="165" t="s">
        <v>592</v>
      </c>
      <c r="K181" s="165" t="s">
        <v>592</v>
      </c>
      <c r="L181" s="166" t="s">
        <v>592</v>
      </c>
      <c r="M181" s="130">
        <v>0</v>
      </c>
      <c r="O181" s="176">
        <v>0</v>
      </c>
      <c r="P181" s="177" t="s">
        <v>373</v>
      </c>
    </row>
    <row r="182" spans="1:16" hidden="1" outlineLevel="1" x14ac:dyDescent="0.45">
      <c r="A182" s="123">
        <f t="shared" si="3"/>
        <v>173</v>
      </c>
      <c r="B182" s="149">
        <v>0</v>
      </c>
      <c r="C182" s="150">
        <v>0</v>
      </c>
      <c r="D182" s="107"/>
      <c r="E182" s="111" t="s">
        <v>592</v>
      </c>
      <c r="F182" s="109" t="s">
        <v>592</v>
      </c>
      <c r="G182" s="164" t="s">
        <v>592</v>
      </c>
      <c r="H182" s="109" t="s">
        <v>592</v>
      </c>
      <c r="I182" s="107"/>
      <c r="J182" s="165" t="s">
        <v>592</v>
      </c>
      <c r="K182" s="165" t="s">
        <v>592</v>
      </c>
      <c r="L182" s="166" t="s">
        <v>592</v>
      </c>
      <c r="M182" s="130">
        <v>0</v>
      </c>
      <c r="O182" s="176">
        <v>0</v>
      </c>
      <c r="P182" s="177" t="s">
        <v>373</v>
      </c>
    </row>
    <row r="183" spans="1:16" hidden="1" outlineLevel="1" x14ac:dyDescent="0.45">
      <c r="A183" s="123">
        <f t="shared" si="3"/>
        <v>174</v>
      </c>
      <c r="B183" s="149">
        <v>0</v>
      </c>
      <c r="C183" s="150">
        <v>0</v>
      </c>
      <c r="D183" s="107"/>
      <c r="E183" s="111" t="s">
        <v>592</v>
      </c>
      <c r="F183" s="109" t="s">
        <v>592</v>
      </c>
      <c r="G183" s="164" t="s">
        <v>592</v>
      </c>
      <c r="H183" s="109" t="s">
        <v>592</v>
      </c>
      <c r="I183" s="107"/>
      <c r="J183" s="165" t="s">
        <v>592</v>
      </c>
      <c r="K183" s="165" t="s">
        <v>592</v>
      </c>
      <c r="L183" s="166" t="s">
        <v>592</v>
      </c>
      <c r="M183" s="130">
        <v>0</v>
      </c>
      <c r="O183" s="176">
        <v>0</v>
      </c>
      <c r="P183" s="177" t="s">
        <v>373</v>
      </c>
    </row>
    <row r="184" spans="1:16" hidden="1" outlineLevel="1" x14ac:dyDescent="0.45">
      <c r="A184" s="123">
        <f t="shared" si="3"/>
        <v>175</v>
      </c>
      <c r="B184" s="149">
        <v>0</v>
      </c>
      <c r="C184" s="150">
        <v>0</v>
      </c>
      <c r="D184" s="107"/>
      <c r="E184" s="111" t="s">
        <v>592</v>
      </c>
      <c r="F184" s="109" t="s">
        <v>592</v>
      </c>
      <c r="G184" s="164" t="s">
        <v>592</v>
      </c>
      <c r="H184" s="109" t="s">
        <v>592</v>
      </c>
      <c r="I184" s="107"/>
      <c r="J184" s="165" t="s">
        <v>592</v>
      </c>
      <c r="K184" s="165" t="s">
        <v>592</v>
      </c>
      <c r="L184" s="166" t="s">
        <v>592</v>
      </c>
      <c r="M184" s="130">
        <v>0</v>
      </c>
      <c r="O184" s="176">
        <v>0</v>
      </c>
      <c r="P184" s="177" t="s">
        <v>373</v>
      </c>
    </row>
    <row r="185" spans="1:16" hidden="1" outlineLevel="1" x14ac:dyDescent="0.45">
      <c r="A185" s="123">
        <f t="shared" si="3"/>
        <v>176</v>
      </c>
      <c r="B185" s="149">
        <v>0</v>
      </c>
      <c r="C185" s="150">
        <v>0</v>
      </c>
      <c r="D185" s="107"/>
      <c r="E185" s="111" t="s">
        <v>592</v>
      </c>
      <c r="F185" s="109" t="s">
        <v>592</v>
      </c>
      <c r="G185" s="164" t="s">
        <v>592</v>
      </c>
      <c r="H185" s="109" t="s">
        <v>592</v>
      </c>
      <c r="I185" s="107"/>
      <c r="J185" s="165" t="s">
        <v>592</v>
      </c>
      <c r="K185" s="165" t="s">
        <v>592</v>
      </c>
      <c r="L185" s="166" t="s">
        <v>592</v>
      </c>
      <c r="M185" s="130">
        <v>0</v>
      </c>
      <c r="O185" s="176">
        <v>0</v>
      </c>
      <c r="P185" s="177" t="s">
        <v>373</v>
      </c>
    </row>
    <row r="186" spans="1:16" hidden="1" outlineLevel="1" x14ac:dyDescent="0.45">
      <c r="A186" s="123">
        <f t="shared" si="3"/>
        <v>177</v>
      </c>
      <c r="B186" s="149">
        <v>0</v>
      </c>
      <c r="C186" s="150">
        <v>0</v>
      </c>
      <c r="D186" s="107"/>
      <c r="E186" s="111" t="s">
        <v>592</v>
      </c>
      <c r="F186" s="109" t="s">
        <v>592</v>
      </c>
      <c r="G186" s="164" t="s">
        <v>592</v>
      </c>
      <c r="H186" s="109" t="s">
        <v>592</v>
      </c>
      <c r="I186" s="107"/>
      <c r="J186" s="165" t="s">
        <v>592</v>
      </c>
      <c r="K186" s="165" t="s">
        <v>592</v>
      </c>
      <c r="L186" s="166" t="s">
        <v>592</v>
      </c>
      <c r="M186" s="130">
        <v>0</v>
      </c>
      <c r="O186" s="176">
        <v>0</v>
      </c>
      <c r="P186" s="177" t="s">
        <v>373</v>
      </c>
    </row>
    <row r="187" spans="1:16" hidden="1" outlineLevel="1" x14ac:dyDescent="0.45">
      <c r="A187" s="123">
        <f t="shared" si="3"/>
        <v>178</v>
      </c>
      <c r="B187" s="149">
        <v>0</v>
      </c>
      <c r="C187" s="150">
        <v>0</v>
      </c>
      <c r="D187" s="107"/>
      <c r="E187" s="111" t="s">
        <v>592</v>
      </c>
      <c r="F187" s="109" t="s">
        <v>592</v>
      </c>
      <c r="G187" s="164" t="s">
        <v>592</v>
      </c>
      <c r="H187" s="109" t="s">
        <v>592</v>
      </c>
      <c r="I187" s="107"/>
      <c r="J187" s="165" t="s">
        <v>592</v>
      </c>
      <c r="K187" s="165" t="s">
        <v>592</v>
      </c>
      <c r="L187" s="166" t="s">
        <v>592</v>
      </c>
      <c r="M187" s="130">
        <v>0</v>
      </c>
      <c r="O187" s="176">
        <v>0</v>
      </c>
      <c r="P187" s="177" t="s">
        <v>373</v>
      </c>
    </row>
    <row r="188" spans="1:16" hidden="1" outlineLevel="1" x14ac:dyDescent="0.45">
      <c r="A188" s="123">
        <f t="shared" si="3"/>
        <v>179</v>
      </c>
      <c r="B188" s="149">
        <v>0</v>
      </c>
      <c r="C188" s="150">
        <v>0</v>
      </c>
      <c r="D188" s="107"/>
      <c r="E188" s="111" t="s">
        <v>592</v>
      </c>
      <c r="F188" s="109" t="s">
        <v>592</v>
      </c>
      <c r="G188" s="164" t="s">
        <v>592</v>
      </c>
      <c r="H188" s="109" t="s">
        <v>592</v>
      </c>
      <c r="I188" s="107"/>
      <c r="J188" s="165" t="s">
        <v>592</v>
      </c>
      <c r="K188" s="165" t="s">
        <v>592</v>
      </c>
      <c r="L188" s="166" t="s">
        <v>592</v>
      </c>
      <c r="M188" s="130">
        <v>0</v>
      </c>
      <c r="O188" s="176">
        <v>0</v>
      </c>
      <c r="P188" s="177" t="s">
        <v>373</v>
      </c>
    </row>
    <row r="189" spans="1:16" hidden="1" outlineLevel="1" x14ac:dyDescent="0.45">
      <c r="A189" s="123">
        <f t="shared" si="3"/>
        <v>180</v>
      </c>
      <c r="B189" s="149">
        <v>0</v>
      </c>
      <c r="C189" s="150">
        <v>0</v>
      </c>
      <c r="D189" s="107"/>
      <c r="E189" s="111" t="s">
        <v>592</v>
      </c>
      <c r="F189" s="109" t="s">
        <v>592</v>
      </c>
      <c r="G189" s="164" t="s">
        <v>592</v>
      </c>
      <c r="H189" s="109" t="s">
        <v>592</v>
      </c>
      <c r="I189" s="107"/>
      <c r="J189" s="165" t="s">
        <v>592</v>
      </c>
      <c r="K189" s="165" t="s">
        <v>592</v>
      </c>
      <c r="L189" s="166" t="s">
        <v>592</v>
      </c>
      <c r="M189" s="130">
        <v>0</v>
      </c>
      <c r="O189" s="176">
        <v>0</v>
      </c>
      <c r="P189" s="177" t="s">
        <v>373</v>
      </c>
    </row>
    <row r="190" spans="1:16" hidden="1" outlineLevel="1" x14ac:dyDescent="0.45">
      <c r="A190" s="123">
        <f t="shared" si="3"/>
        <v>181</v>
      </c>
      <c r="B190" s="149">
        <v>0</v>
      </c>
      <c r="C190" s="150">
        <v>0</v>
      </c>
      <c r="D190" s="107"/>
      <c r="E190" s="111" t="s">
        <v>592</v>
      </c>
      <c r="F190" s="109" t="s">
        <v>592</v>
      </c>
      <c r="G190" s="164" t="s">
        <v>592</v>
      </c>
      <c r="H190" s="109" t="s">
        <v>592</v>
      </c>
      <c r="I190" s="107"/>
      <c r="J190" s="165" t="s">
        <v>592</v>
      </c>
      <c r="K190" s="165" t="s">
        <v>592</v>
      </c>
      <c r="L190" s="166" t="s">
        <v>592</v>
      </c>
      <c r="M190" s="130">
        <v>0</v>
      </c>
      <c r="O190" s="176">
        <v>0</v>
      </c>
      <c r="P190" s="177" t="s">
        <v>373</v>
      </c>
    </row>
    <row r="191" spans="1:16" hidden="1" outlineLevel="1" x14ac:dyDescent="0.45">
      <c r="A191" s="123">
        <f t="shared" si="3"/>
        <v>182</v>
      </c>
      <c r="B191" s="149">
        <v>0</v>
      </c>
      <c r="C191" s="150">
        <v>0</v>
      </c>
      <c r="D191" s="107"/>
      <c r="E191" s="111" t="s">
        <v>592</v>
      </c>
      <c r="F191" s="109" t="s">
        <v>592</v>
      </c>
      <c r="G191" s="164" t="s">
        <v>592</v>
      </c>
      <c r="H191" s="109" t="s">
        <v>592</v>
      </c>
      <c r="I191" s="107"/>
      <c r="J191" s="165" t="s">
        <v>592</v>
      </c>
      <c r="K191" s="165" t="s">
        <v>592</v>
      </c>
      <c r="L191" s="166" t="s">
        <v>592</v>
      </c>
      <c r="M191" s="130">
        <v>0</v>
      </c>
      <c r="O191" s="176">
        <v>0</v>
      </c>
      <c r="P191" s="177" t="s">
        <v>373</v>
      </c>
    </row>
    <row r="192" spans="1:16" hidden="1" outlineLevel="1" x14ac:dyDescent="0.45">
      <c r="A192" s="123">
        <f t="shared" si="3"/>
        <v>183</v>
      </c>
      <c r="B192" s="149">
        <v>0</v>
      </c>
      <c r="C192" s="150">
        <v>0</v>
      </c>
      <c r="D192" s="107"/>
      <c r="E192" s="111" t="s">
        <v>592</v>
      </c>
      <c r="F192" s="109" t="s">
        <v>592</v>
      </c>
      <c r="G192" s="164" t="s">
        <v>592</v>
      </c>
      <c r="H192" s="109" t="s">
        <v>592</v>
      </c>
      <c r="I192" s="107"/>
      <c r="J192" s="165" t="s">
        <v>592</v>
      </c>
      <c r="K192" s="165" t="s">
        <v>592</v>
      </c>
      <c r="L192" s="166" t="s">
        <v>592</v>
      </c>
      <c r="M192" s="130">
        <v>0</v>
      </c>
      <c r="O192" s="176">
        <v>0</v>
      </c>
      <c r="P192" s="177" t="s">
        <v>373</v>
      </c>
    </row>
    <row r="193" spans="1:16" hidden="1" outlineLevel="1" x14ac:dyDescent="0.45">
      <c r="A193" s="123">
        <f t="shared" si="3"/>
        <v>184</v>
      </c>
      <c r="B193" s="149">
        <v>0</v>
      </c>
      <c r="C193" s="150">
        <v>0</v>
      </c>
      <c r="D193" s="107"/>
      <c r="E193" s="111" t="s">
        <v>592</v>
      </c>
      <c r="F193" s="109" t="s">
        <v>592</v>
      </c>
      <c r="G193" s="164" t="s">
        <v>592</v>
      </c>
      <c r="H193" s="109" t="s">
        <v>592</v>
      </c>
      <c r="I193" s="107"/>
      <c r="J193" s="165" t="s">
        <v>592</v>
      </c>
      <c r="K193" s="165" t="s">
        <v>592</v>
      </c>
      <c r="L193" s="166" t="s">
        <v>592</v>
      </c>
      <c r="M193" s="130">
        <v>0</v>
      </c>
      <c r="O193" s="176">
        <v>0</v>
      </c>
      <c r="P193" s="177" t="s">
        <v>373</v>
      </c>
    </row>
    <row r="194" spans="1:16" hidden="1" outlineLevel="1" x14ac:dyDescent="0.45">
      <c r="A194" s="123">
        <f t="shared" si="3"/>
        <v>185</v>
      </c>
      <c r="B194" s="149">
        <v>0</v>
      </c>
      <c r="C194" s="150">
        <v>0</v>
      </c>
      <c r="D194" s="107"/>
      <c r="E194" s="111" t="s">
        <v>592</v>
      </c>
      <c r="F194" s="109" t="s">
        <v>592</v>
      </c>
      <c r="G194" s="164" t="s">
        <v>592</v>
      </c>
      <c r="H194" s="109" t="s">
        <v>592</v>
      </c>
      <c r="I194" s="107"/>
      <c r="J194" s="165" t="s">
        <v>592</v>
      </c>
      <c r="K194" s="165" t="s">
        <v>592</v>
      </c>
      <c r="L194" s="166" t="s">
        <v>592</v>
      </c>
      <c r="M194" s="130">
        <v>0</v>
      </c>
      <c r="O194" s="176">
        <v>0</v>
      </c>
      <c r="P194" s="177" t="s">
        <v>373</v>
      </c>
    </row>
    <row r="195" spans="1:16" hidden="1" outlineLevel="1" x14ac:dyDescent="0.45">
      <c r="A195" s="123">
        <f t="shared" si="3"/>
        <v>186</v>
      </c>
      <c r="B195" s="149">
        <v>0</v>
      </c>
      <c r="C195" s="150">
        <v>0</v>
      </c>
      <c r="D195" s="107"/>
      <c r="E195" s="111" t="s">
        <v>592</v>
      </c>
      <c r="F195" s="109" t="s">
        <v>592</v>
      </c>
      <c r="G195" s="164" t="s">
        <v>592</v>
      </c>
      <c r="H195" s="109" t="s">
        <v>592</v>
      </c>
      <c r="I195" s="107"/>
      <c r="J195" s="165" t="s">
        <v>592</v>
      </c>
      <c r="K195" s="165" t="s">
        <v>592</v>
      </c>
      <c r="L195" s="166" t="s">
        <v>592</v>
      </c>
      <c r="M195" s="130">
        <v>0</v>
      </c>
      <c r="O195" s="176">
        <v>0</v>
      </c>
      <c r="P195" s="177" t="s">
        <v>373</v>
      </c>
    </row>
    <row r="196" spans="1:16" hidden="1" outlineLevel="1" x14ac:dyDescent="0.45">
      <c r="A196" s="123">
        <f t="shared" si="3"/>
        <v>187</v>
      </c>
      <c r="B196" s="149">
        <v>0</v>
      </c>
      <c r="C196" s="150">
        <v>0</v>
      </c>
      <c r="D196" s="107"/>
      <c r="E196" s="111" t="s">
        <v>592</v>
      </c>
      <c r="F196" s="109" t="s">
        <v>592</v>
      </c>
      <c r="G196" s="164" t="s">
        <v>592</v>
      </c>
      <c r="H196" s="109" t="s">
        <v>592</v>
      </c>
      <c r="I196" s="107"/>
      <c r="J196" s="165" t="s">
        <v>592</v>
      </c>
      <c r="K196" s="165" t="s">
        <v>592</v>
      </c>
      <c r="L196" s="166" t="s">
        <v>592</v>
      </c>
      <c r="M196" s="130">
        <v>0</v>
      </c>
      <c r="O196" s="176">
        <v>0</v>
      </c>
      <c r="P196" s="177" t="s">
        <v>373</v>
      </c>
    </row>
    <row r="197" spans="1:16" hidden="1" outlineLevel="1" x14ac:dyDescent="0.45">
      <c r="A197" s="123">
        <f t="shared" si="3"/>
        <v>188</v>
      </c>
      <c r="B197" s="149">
        <v>0</v>
      </c>
      <c r="C197" s="150">
        <v>0</v>
      </c>
      <c r="D197" s="107"/>
      <c r="E197" s="111" t="s">
        <v>592</v>
      </c>
      <c r="F197" s="109" t="s">
        <v>592</v>
      </c>
      <c r="G197" s="164" t="s">
        <v>592</v>
      </c>
      <c r="H197" s="109" t="s">
        <v>592</v>
      </c>
      <c r="I197" s="107"/>
      <c r="J197" s="165" t="s">
        <v>592</v>
      </c>
      <c r="K197" s="165" t="s">
        <v>592</v>
      </c>
      <c r="L197" s="166" t="s">
        <v>592</v>
      </c>
      <c r="M197" s="130">
        <v>0</v>
      </c>
      <c r="O197" s="176">
        <v>0</v>
      </c>
      <c r="P197" s="177" t="s">
        <v>373</v>
      </c>
    </row>
    <row r="198" spans="1:16" hidden="1" outlineLevel="1" x14ac:dyDescent="0.45">
      <c r="A198" s="123">
        <f t="shared" si="3"/>
        <v>189</v>
      </c>
      <c r="B198" s="149">
        <v>0</v>
      </c>
      <c r="C198" s="150">
        <v>0</v>
      </c>
      <c r="D198" s="107"/>
      <c r="E198" s="111" t="s">
        <v>592</v>
      </c>
      <c r="F198" s="109" t="s">
        <v>592</v>
      </c>
      <c r="G198" s="164" t="s">
        <v>592</v>
      </c>
      <c r="H198" s="109" t="s">
        <v>592</v>
      </c>
      <c r="I198" s="107"/>
      <c r="J198" s="165" t="s">
        <v>592</v>
      </c>
      <c r="K198" s="165" t="s">
        <v>592</v>
      </c>
      <c r="L198" s="166" t="s">
        <v>592</v>
      </c>
      <c r="M198" s="130">
        <v>0</v>
      </c>
      <c r="O198" s="176">
        <v>0</v>
      </c>
      <c r="P198" s="177" t="s">
        <v>373</v>
      </c>
    </row>
    <row r="199" spans="1:16" hidden="1" outlineLevel="1" x14ac:dyDescent="0.45">
      <c r="A199" s="123">
        <f t="shared" si="3"/>
        <v>190</v>
      </c>
      <c r="B199" s="149">
        <v>0</v>
      </c>
      <c r="C199" s="150">
        <v>0</v>
      </c>
      <c r="D199" s="107"/>
      <c r="E199" s="111" t="s">
        <v>592</v>
      </c>
      <c r="F199" s="109" t="s">
        <v>592</v>
      </c>
      <c r="G199" s="164" t="s">
        <v>592</v>
      </c>
      <c r="H199" s="109" t="s">
        <v>592</v>
      </c>
      <c r="I199" s="107"/>
      <c r="J199" s="165" t="s">
        <v>592</v>
      </c>
      <c r="K199" s="165" t="s">
        <v>592</v>
      </c>
      <c r="L199" s="166" t="s">
        <v>592</v>
      </c>
      <c r="M199" s="130">
        <v>0</v>
      </c>
      <c r="O199" s="176">
        <v>0</v>
      </c>
      <c r="P199" s="177" t="s">
        <v>373</v>
      </c>
    </row>
    <row r="200" spans="1:16" hidden="1" outlineLevel="1" x14ac:dyDescent="0.45">
      <c r="A200" s="123">
        <f t="shared" si="3"/>
        <v>191</v>
      </c>
      <c r="B200" s="149">
        <v>0</v>
      </c>
      <c r="C200" s="150">
        <v>0</v>
      </c>
      <c r="D200" s="107"/>
      <c r="E200" s="111" t="s">
        <v>592</v>
      </c>
      <c r="F200" s="109" t="s">
        <v>592</v>
      </c>
      <c r="G200" s="164" t="s">
        <v>592</v>
      </c>
      <c r="H200" s="109" t="s">
        <v>592</v>
      </c>
      <c r="I200" s="107"/>
      <c r="J200" s="165" t="s">
        <v>592</v>
      </c>
      <c r="K200" s="165" t="s">
        <v>592</v>
      </c>
      <c r="L200" s="166" t="s">
        <v>592</v>
      </c>
      <c r="M200" s="130">
        <v>0</v>
      </c>
      <c r="O200" s="176">
        <v>0</v>
      </c>
      <c r="P200" s="177" t="s">
        <v>373</v>
      </c>
    </row>
    <row r="201" spans="1:16" hidden="1" outlineLevel="1" x14ac:dyDescent="0.45">
      <c r="A201" s="123">
        <f t="shared" si="3"/>
        <v>192</v>
      </c>
      <c r="B201" s="149">
        <v>0</v>
      </c>
      <c r="C201" s="150">
        <v>0</v>
      </c>
      <c r="D201" s="107"/>
      <c r="E201" s="111" t="s">
        <v>592</v>
      </c>
      <c r="F201" s="109" t="s">
        <v>592</v>
      </c>
      <c r="G201" s="164" t="s">
        <v>592</v>
      </c>
      <c r="H201" s="109" t="s">
        <v>592</v>
      </c>
      <c r="I201" s="107"/>
      <c r="J201" s="165" t="s">
        <v>592</v>
      </c>
      <c r="K201" s="165" t="s">
        <v>592</v>
      </c>
      <c r="L201" s="166" t="s">
        <v>592</v>
      </c>
      <c r="M201" s="130">
        <v>0</v>
      </c>
      <c r="O201" s="176">
        <v>0</v>
      </c>
      <c r="P201" s="177" t="s">
        <v>373</v>
      </c>
    </row>
    <row r="202" spans="1:16" hidden="1" outlineLevel="1" x14ac:dyDescent="0.45">
      <c r="A202" s="123">
        <f t="shared" si="3"/>
        <v>193</v>
      </c>
      <c r="B202" s="149">
        <v>0</v>
      </c>
      <c r="C202" s="150">
        <v>0</v>
      </c>
      <c r="D202" s="107"/>
      <c r="E202" s="111" t="s">
        <v>592</v>
      </c>
      <c r="F202" s="109" t="s">
        <v>592</v>
      </c>
      <c r="G202" s="164" t="s">
        <v>592</v>
      </c>
      <c r="H202" s="109" t="s">
        <v>592</v>
      </c>
      <c r="I202" s="107"/>
      <c r="J202" s="165" t="s">
        <v>592</v>
      </c>
      <c r="K202" s="165" t="s">
        <v>592</v>
      </c>
      <c r="L202" s="166" t="s">
        <v>592</v>
      </c>
      <c r="M202" s="130">
        <v>0</v>
      </c>
      <c r="O202" s="176">
        <v>0</v>
      </c>
      <c r="P202" s="177" t="s">
        <v>373</v>
      </c>
    </row>
    <row r="203" spans="1:16" hidden="1" outlineLevel="1" x14ac:dyDescent="0.45">
      <c r="A203" s="123">
        <f t="shared" si="3"/>
        <v>194</v>
      </c>
      <c r="B203" s="149">
        <v>0</v>
      </c>
      <c r="C203" s="150">
        <v>0</v>
      </c>
      <c r="D203" s="107"/>
      <c r="E203" s="111" t="s">
        <v>592</v>
      </c>
      <c r="F203" s="109" t="s">
        <v>592</v>
      </c>
      <c r="G203" s="164" t="s">
        <v>592</v>
      </c>
      <c r="H203" s="109" t="s">
        <v>592</v>
      </c>
      <c r="I203" s="107"/>
      <c r="J203" s="165" t="s">
        <v>592</v>
      </c>
      <c r="K203" s="165" t="s">
        <v>592</v>
      </c>
      <c r="L203" s="166" t="s">
        <v>592</v>
      </c>
      <c r="M203" s="130">
        <v>0</v>
      </c>
      <c r="O203" s="176">
        <v>0</v>
      </c>
      <c r="P203" s="177" t="s">
        <v>373</v>
      </c>
    </row>
    <row r="204" spans="1:16" hidden="1" outlineLevel="1" x14ac:dyDescent="0.45">
      <c r="A204" s="123">
        <f t="shared" ref="A204:A259" si="4">A203+1</f>
        <v>195</v>
      </c>
      <c r="B204" s="149">
        <v>0</v>
      </c>
      <c r="C204" s="150">
        <v>0</v>
      </c>
      <c r="D204" s="107"/>
      <c r="E204" s="111" t="s">
        <v>592</v>
      </c>
      <c r="F204" s="109" t="s">
        <v>592</v>
      </c>
      <c r="G204" s="164" t="s">
        <v>592</v>
      </c>
      <c r="H204" s="109" t="s">
        <v>592</v>
      </c>
      <c r="I204" s="107"/>
      <c r="J204" s="165" t="s">
        <v>592</v>
      </c>
      <c r="K204" s="165" t="s">
        <v>592</v>
      </c>
      <c r="L204" s="166" t="s">
        <v>592</v>
      </c>
      <c r="M204" s="130">
        <v>0</v>
      </c>
      <c r="O204" s="176">
        <v>0</v>
      </c>
      <c r="P204" s="177" t="s">
        <v>373</v>
      </c>
    </row>
    <row r="205" spans="1:16" hidden="1" outlineLevel="1" x14ac:dyDescent="0.45">
      <c r="A205" s="123">
        <f t="shared" si="4"/>
        <v>196</v>
      </c>
      <c r="B205" s="149">
        <v>0</v>
      </c>
      <c r="C205" s="150">
        <v>0</v>
      </c>
      <c r="D205" s="107"/>
      <c r="E205" s="111" t="s">
        <v>592</v>
      </c>
      <c r="F205" s="109" t="s">
        <v>592</v>
      </c>
      <c r="G205" s="164" t="s">
        <v>592</v>
      </c>
      <c r="H205" s="109" t="s">
        <v>592</v>
      </c>
      <c r="I205" s="107"/>
      <c r="J205" s="165" t="s">
        <v>592</v>
      </c>
      <c r="K205" s="165" t="s">
        <v>592</v>
      </c>
      <c r="L205" s="166" t="s">
        <v>592</v>
      </c>
      <c r="M205" s="130">
        <v>0</v>
      </c>
      <c r="O205" s="176">
        <v>0</v>
      </c>
      <c r="P205" s="177" t="s">
        <v>373</v>
      </c>
    </row>
    <row r="206" spans="1:16" hidden="1" outlineLevel="1" x14ac:dyDescent="0.45">
      <c r="A206" s="123">
        <f t="shared" si="4"/>
        <v>197</v>
      </c>
      <c r="B206" s="149">
        <v>0</v>
      </c>
      <c r="C206" s="150">
        <v>0</v>
      </c>
      <c r="D206" s="107"/>
      <c r="E206" s="111" t="s">
        <v>592</v>
      </c>
      <c r="F206" s="109" t="s">
        <v>592</v>
      </c>
      <c r="G206" s="164" t="s">
        <v>592</v>
      </c>
      <c r="H206" s="109" t="s">
        <v>592</v>
      </c>
      <c r="I206" s="107"/>
      <c r="J206" s="165" t="s">
        <v>592</v>
      </c>
      <c r="K206" s="165" t="s">
        <v>592</v>
      </c>
      <c r="L206" s="166" t="s">
        <v>592</v>
      </c>
      <c r="M206" s="130">
        <v>0</v>
      </c>
      <c r="O206" s="176">
        <v>0</v>
      </c>
      <c r="P206" s="177" t="s">
        <v>373</v>
      </c>
    </row>
    <row r="207" spans="1:16" hidden="1" outlineLevel="1" x14ac:dyDescent="0.45">
      <c r="A207" s="123">
        <f t="shared" si="4"/>
        <v>198</v>
      </c>
      <c r="B207" s="149">
        <v>0</v>
      </c>
      <c r="C207" s="150">
        <v>0</v>
      </c>
      <c r="D207" s="107"/>
      <c r="E207" s="111" t="s">
        <v>592</v>
      </c>
      <c r="F207" s="109" t="s">
        <v>592</v>
      </c>
      <c r="G207" s="164" t="s">
        <v>592</v>
      </c>
      <c r="H207" s="109" t="s">
        <v>592</v>
      </c>
      <c r="I207" s="107"/>
      <c r="J207" s="165" t="s">
        <v>592</v>
      </c>
      <c r="K207" s="165" t="s">
        <v>592</v>
      </c>
      <c r="L207" s="166" t="s">
        <v>592</v>
      </c>
      <c r="M207" s="130">
        <v>0</v>
      </c>
      <c r="O207" s="176">
        <v>0</v>
      </c>
      <c r="P207" s="177" t="s">
        <v>373</v>
      </c>
    </row>
    <row r="208" spans="1:16" hidden="1" outlineLevel="1" x14ac:dyDescent="0.45">
      <c r="A208" s="123">
        <f t="shared" si="4"/>
        <v>199</v>
      </c>
      <c r="B208" s="149">
        <v>0</v>
      </c>
      <c r="C208" s="150">
        <v>0</v>
      </c>
      <c r="D208" s="107"/>
      <c r="E208" s="111" t="s">
        <v>592</v>
      </c>
      <c r="F208" s="109" t="s">
        <v>592</v>
      </c>
      <c r="G208" s="164" t="s">
        <v>592</v>
      </c>
      <c r="H208" s="109" t="s">
        <v>592</v>
      </c>
      <c r="I208" s="107"/>
      <c r="J208" s="165" t="s">
        <v>592</v>
      </c>
      <c r="K208" s="165" t="s">
        <v>592</v>
      </c>
      <c r="L208" s="166" t="s">
        <v>592</v>
      </c>
      <c r="M208" s="130">
        <v>0</v>
      </c>
      <c r="O208" s="176">
        <v>0</v>
      </c>
      <c r="P208" s="177" t="s">
        <v>373</v>
      </c>
    </row>
    <row r="209" spans="1:16" hidden="1" outlineLevel="1" x14ac:dyDescent="0.45">
      <c r="A209" s="123">
        <f t="shared" si="4"/>
        <v>200</v>
      </c>
      <c r="B209" s="149">
        <v>0</v>
      </c>
      <c r="C209" s="150">
        <v>0</v>
      </c>
      <c r="D209" s="107"/>
      <c r="E209" s="111" t="s">
        <v>592</v>
      </c>
      <c r="F209" s="109" t="s">
        <v>592</v>
      </c>
      <c r="G209" s="164" t="s">
        <v>592</v>
      </c>
      <c r="H209" s="109" t="s">
        <v>592</v>
      </c>
      <c r="I209" s="107"/>
      <c r="J209" s="165" t="s">
        <v>592</v>
      </c>
      <c r="K209" s="165" t="s">
        <v>592</v>
      </c>
      <c r="L209" s="166" t="s">
        <v>592</v>
      </c>
      <c r="M209" s="130">
        <v>0</v>
      </c>
      <c r="O209" s="176">
        <v>0</v>
      </c>
      <c r="P209" s="177" t="s">
        <v>373</v>
      </c>
    </row>
    <row r="210" spans="1:16" hidden="1" outlineLevel="1" x14ac:dyDescent="0.45">
      <c r="A210" s="123">
        <f t="shared" si="4"/>
        <v>201</v>
      </c>
      <c r="B210" s="149">
        <v>0</v>
      </c>
      <c r="C210" s="150">
        <v>0</v>
      </c>
      <c r="D210" s="107"/>
      <c r="E210" s="111" t="s">
        <v>592</v>
      </c>
      <c r="F210" s="109" t="s">
        <v>592</v>
      </c>
      <c r="G210" s="164" t="s">
        <v>592</v>
      </c>
      <c r="H210" s="109" t="s">
        <v>592</v>
      </c>
      <c r="I210" s="107"/>
      <c r="J210" s="165" t="s">
        <v>592</v>
      </c>
      <c r="K210" s="165" t="s">
        <v>592</v>
      </c>
      <c r="L210" s="166" t="s">
        <v>592</v>
      </c>
      <c r="M210" s="130">
        <v>0</v>
      </c>
      <c r="O210" s="176">
        <v>0</v>
      </c>
      <c r="P210" s="177" t="s">
        <v>373</v>
      </c>
    </row>
    <row r="211" spans="1:16" hidden="1" outlineLevel="1" x14ac:dyDescent="0.45">
      <c r="A211" s="123">
        <f t="shared" si="4"/>
        <v>202</v>
      </c>
      <c r="B211" s="149">
        <v>0</v>
      </c>
      <c r="C211" s="150">
        <v>0</v>
      </c>
      <c r="D211" s="107"/>
      <c r="E211" s="111" t="s">
        <v>592</v>
      </c>
      <c r="F211" s="109" t="s">
        <v>592</v>
      </c>
      <c r="G211" s="164" t="s">
        <v>592</v>
      </c>
      <c r="H211" s="109" t="s">
        <v>592</v>
      </c>
      <c r="I211" s="107"/>
      <c r="J211" s="165" t="s">
        <v>592</v>
      </c>
      <c r="K211" s="165" t="s">
        <v>592</v>
      </c>
      <c r="L211" s="166" t="s">
        <v>592</v>
      </c>
      <c r="M211" s="130">
        <v>0</v>
      </c>
      <c r="O211" s="176">
        <v>0</v>
      </c>
      <c r="P211" s="177" t="s">
        <v>373</v>
      </c>
    </row>
    <row r="212" spans="1:16" hidden="1" outlineLevel="1" x14ac:dyDescent="0.45">
      <c r="A212" s="123">
        <f t="shared" si="4"/>
        <v>203</v>
      </c>
      <c r="B212" s="149">
        <v>0</v>
      </c>
      <c r="C212" s="150">
        <v>0</v>
      </c>
      <c r="D212" s="107"/>
      <c r="E212" s="111" t="s">
        <v>592</v>
      </c>
      <c r="F212" s="109" t="s">
        <v>592</v>
      </c>
      <c r="G212" s="164" t="s">
        <v>592</v>
      </c>
      <c r="H212" s="109" t="s">
        <v>592</v>
      </c>
      <c r="I212" s="107"/>
      <c r="J212" s="165" t="s">
        <v>592</v>
      </c>
      <c r="K212" s="165" t="s">
        <v>592</v>
      </c>
      <c r="L212" s="166" t="s">
        <v>592</v>
      </c>
      <c r="M212" s="130">
        <v>0</v>
      </c>
      <c r="O212" s="176">
        <v>0</v>
      </c>
      <c r="P212" s="177" t="s">
        <v>373</v>
      </c>
    </row>
    <row r="213" spans="1:16" hidden="1" outlineLevel="1" x14ac:dyDescent="0.45">
      <c r="A213" s="123">
        <f t="shared" si="4"/>
        <v>204</v>
      </c>
      <c r="B213" s="149">
        <v>0</v>
      </c>
      <c r="C213" s="150">
        <v>0</v>
      </c>
      <c r="D213" s="107"/>
      <c r="E213" s="111" t="s">
        <v>592</v>
      </c>
      <c r="F213" s="109" t="s">
        <v>592</v>
      </c>
      <c r="G213" s="164" t="s">
        <v>592</v>
      </c>
      <c r="H213" s="109" t="s">
        <v>592</v>
      </c>
      <c r="I213" s="107"/>
      <c r="J213" s="165" t="s">
        <v>592</v>
      </c>
      <c r="K213" s="165" t="s">
        <v>592</v>
      </c>
      <c r="L213" s="166" t="s">
        <v>592</v>
      </c>
      <c r="M213" s="130">
        <v>0</v>
      </c>
      <c r="O213" s="176">
        <v>0</v>
      </c>
      <c r="P213" s="177" t="s">
        <v>373</v>
      </c>
    </row>
    <row r="214" spans="1:16" hidden="1" outlineLevel="1" x14ac:dyDescent="0.45">
      <c r="A214" s="123">
        <f t="shared" si="4"/>
        <v>205</v>
      </c>
      <c r="B214" s="149">
        <v>0</v>
      </c>
      <c r="C214" s="150">
        <v>0</v>
      </c>
      <c r="D214" s="107"/>
      <c r="E214" s="111" t="s">
        <v>592</v>
      </c>
      <c r="F214" s="109" t="s">
        <v>592</v>
      </c>
      <c r="G214" s="164" t="s">
        <v>592</v>
      </c>
      <c r="H214" s="109" t="s">
        <v>592</v>
      </c>
      <c r="I214" s="107"/>
      <c r="J214" s="165" t="s">
        <v>592</v>
      </c>
      <c r="K214" s="165" t="s">
        <v>592</v>
      </c>
      <c r="L214" s="166" t="s">
        <v>592</v>
      </c>
      <c r="M214" s="130">
        <v>0</v>
      </c>
      <c r="O214" s="176">
        <v>0</v>
      </c>
      <c r="P214" s="177" t="s">
        <v>373</v>
      </c>
    </row>
    <row r="215" spans="1:16" hidden="1" outlineLevel="1" x14ac:dyDescent="0.45">
      <c r="A215" s="123">
        <f t="shared" si="4"/>
        <v>206</v>
      </c>
      <c r="B215" s="149">
        <v>0</v>
      </c>
      <c r="C215" s="150">
        <v>0</v>
      </c>
      <c r="D215" s="107"/>
      <c r="E215" s="111" t="s">
        <v>592</v>
      </c>
      <c r="F215" s="109" t="s">
        <v>592</v>
      </c>
      <c r="G215" s="164" t="s">
        <v>592</v>
      </c>
      <c r="H215" s="109" t="s">
        <v>592</v>
      </c>
      <c r="I215" s="107"/>
      <c r="J215" s="165" t="s">
        <v>592</v>
      </c>
      <c r="K215" s="165" t="s">
        <v>592</v>
      </c>
      <c r="L215" s="166" t="s">
        <v>592</v>
      </c>
      <c r="M215" s="130">
        <v>0</v>
      </c>
      <c r="O215" s="176">
        <v>0</v>
      </c>
      <c r="P215" s="177" t="s">
        <v>373</v>
      </c>
    </row>
    <row r="216" spans="1:16" hidden="1" outlineLevel="1" x14ac:dyDescent="0.45">
      <c r="A216" s="123">
        <f t="shared" si="4"/>
        <v>207</v>
      </c>
      <c r="B216" s="149">
        <v>0</v>
      </c>
      <c r="C216" s="150">
        <v>0</v>
      </c>
      <c r="D216" s="107"/>
      <c r="E216" s="111" t="s">
        <v>592</v>
      </c>
      <c r="F216" s="109" t="s">
        <v>592</v>
      </c>
      <c r="G216" s="164" t="s">
        <v>592</v>
      </c>
      <c r="H216" s="109" t="s">
        <v>592</v>
      </c>
      <c r="I216" s="107"/>
      <c r="J216" s="165" t="s">
        <v>592</v>
      </c>
      <c r="K216" s="165" t="s">
        <v>592</v>
      </c>
      <c r="L216" s="166" t="s">
        <v>592</v>
      </c>
      <c r="M216" s="130">
        <v>0</v>
      </c>
      <c r="O216" s="176">
        <v>0</v>
      </c>
      <c r="P216" s="177" t="s">
        <v>373</v>
      </c>
    </row>
    <row r="217" spans="1:16" hidden="1" outlineLevel="1" x14ac:dyDescent="0.45">
      <c r="A217" s="123">
        <f t="shared" si="4"/>
        <v>208</v>
      </c>
      <c r="B217" s="149">
        <v>0</v>
      </c>
      <c r="C217" s="150">
        <v>0</v>
      </c>
      <c r="D217" s="107"/>
      <c r="E217" s="111" t="s">
        <v>592</v>
      </c>
      <c r="F217" s="109" t="s">
        <v>592</v>
      </c>
      <c r="G217" s="164" t="s">
        <v>592</v>
      </c>
      <c r="H217" s="109" t="s">
        <v>592</v>
      </c>
      <c r="I217" s="107"/>
      <c r="J217" s="165" t="s">
        <v>592</v>
      </c>
      <c r="K217" s="165" t="s">
        <v>592</v>
      </c>
      <c r="L217" s="166" t="s">
        <v>592</v>
      </c>
      <c r="M217" s="130">
        <v>0</v>
      </c>
      <c r="O217" s="176">
        <v>0</v>
      </c>
      <c r="P217" s="177" t="s">
        <v>373</v>
      </c>
    </row>
    <row r="218" spans="1:16" hidden="1" outlineLevel="1" x14ac:dyDescent="0.45">
      <c r="A218" s="123">
        <f t="shared" si="4"/>
        <v>209</v>
      </c>
      <c r="B218" s="149">
        <v>0</v>
      </c>
      <c r="C218" s="150">
        <v>0</v>
      </c>
      <c r="D218" s="107"/>
      <c r="E218" s="111" t="s">
        <v>592</v>
      </c>
      <c r="F218" s="109" t="s">
        <v>592</v>
      </c>
      <c r="G218" s="164" t="s">
        <v>592</v>
      </c>
      <c r="H218" s="109" t="s">
        <v>592</v>
      </c>
      <c r="I218" s="107"/>
      <c r="J218" s="165" t="s">
        <v>592</v>
      </c>
      <c r="K218" s="165" t="s">
        <v>592</v>
      </c>
      <c r="L218" s="166" t="s">
        <v>592</v>
      </c>
      <c r="M218" s="130">
        <v>0</v>
      </c>
      <c r="O218" s="176">
        <v>0</v>
      </c>
      <c r="P218" s="177" t="s">
        <v>373</v>
      </c>
    </row>
    <row r="219" spans="1:16" hidden="1" outlineLevel="1" x14ac:dyDescent="0.45">
      <c r="A219" s="123">
        <f t="shared" si="4"/>
        <v>210</v>
      </c>
      <c r="B219" s="149">
        <v>0</v>
      </c>
      <c r="C219" s="150">
        <v>0</v>
      </c>
      <c r="D219" s="107"/>
      <c r="E219" s="111" t="s">
        <v>592</v>
      </c>
      <c r="F219" s="109" t="s">
        <v>592</v>
      </c>
      <c r="G219" s="164" t="s">
        <v>592</v>
      </c>
      <c r="H219" s="109" t="s">
        <v>592</v>
      </c>
      <c r="I219" s="107"/>
      <c r="J219" s="165" t="s">
        <v>592</v>
      </c>
      <c r="K219" s="165" t="s">
        <v>592</v>
      </c>
      <c r="L219" s="166" t="s">
        <v>592</v>
      </c>
      <c r="M219" s="130">
        <v>0</v>
      </c>
      <c r="O219" s="176">
        <v>0</v>
      </c>
      <c r="P219" s="177" t="s">
        <v>373</v>
      </c>
    </row>
    <row r="220" spans="1:16" hidden="1" outlineLevel="1" x14ac:dyDescent="0.45">
      <c r="A220" s="123">
        <f t="shared" si="4"/>
        <v>211</v>
      </c>
      <c r="B220" s="149">
        <v>0</v>
      </c>
      <c r="C220" s="150">
        <v>0</v>
      </c>
      <c r="D220" s="107"/>
      <c r="E220" s="111" t="s">
        <v>592</v>
      </c>
      <c r="F220" s="109" t="s">
        <v>592</v>
      </c>
      <c r="G220" s="164" t="s">
        <v>592</v>
      </c>
      <c r="H220" s="109" t="s">
        <v>592</v>
      </c>
      <c r="I220" s="107"/>
      <c r="J220" s="165" t="s">
        <v>592</v>
      </c>
      <c r="K220" s="165" t="s">
        <v>592</v>
      </c>
      <c r="L220" s="166" t="s">
        <v>592</v>
      </c>
      <c r="M220" s="130">
        <v>0</v>
      </c>
      <c r="O220" s="176">
        <v>0</v>
      </c>
      <c r="P220" s="177" t="s">
        <v>373</v>
      </c>
    </row>
    <row r="221" spans="1:16" hidden="1" outlineLevel="1" x14ac:dyDescent="0.45">
      <c r="A221" s="123">
        <f t="shared" si="4"/>
        <v>212</v>
      </c>
      <c r="B221" s="149">
        <v>0</v>
      </c>
      <c r="C221" s="150">
        <v>0</v>
      </c>
      <c r="D221" s="107"/>
      <c r="E221" s="111" t="s">
        <v>592</v>
      </c>
      <c r="F221" s="109" t="s">
        <v>592</v>
      </c>
      <c r="G221" s="164" t="s">
        <v>592</v>
      </c>
      <c r="H221" s="109" t="s">
        <v>592</v>
      </c>
      <c r="I221" s="107"/>
      <c r="J221" s="165" t="s">
        <v>592</v>
      </c>
      <c r="K221" s="165" t="s">
        <v>592</v>
      </c>
      <c r="L221" s="166" t="s">
        <v>592</v>
      </c>
      <c r="M221" s="130">
        <v>0</v>
      </c>
      <c r="O221" s="176">
        <v>0</v>
      </c>
      <c r="P221" s="177" t="s">
        <v>373</v>
      </c>
    </row>
    <row r="222" spans="1:16" hidden="1" outlineLevel="1" x14ac:dyDescent="0.45">
      <c r="A222" s="123">
        <f t="shared" si="4"/>
        <v>213</v>
      </c>
      <c r="B222" s="149">
        <v>0</v>
      </c>
      <c r="C222" s="150">
        <v>0</v>
      </c>
      <c r="D222" s="107"/>
      <c r="E222" s="111" t="s">
        <v>592</v>
      </c>
      <c r="F222" s="109" t="s">
        <v>592</v>
      </c>
      <c r="G222" s="164" t="s">
        <v>592</v>
      </c>
      <c r="H222" s="109" t="s">
        <v>592</v>
      </c>
      <c r="I222" s="107"/>
      <c r="J222" s="165" t="s">
        <v>592</v>
      </c>
      <c r="K222" s="165" t="s">
        <v>592</v>
      </c>
      <c r="L222" s="166" t="s">
        <v>592</v>
      </c>
      <c r="M222" s="130">
        <v>0</v>
      </c>
      <c r="O222" s="176">
        <v>0</v>
      </c>
      <c r="P222" s="177" t="s">
        <v>373</v>
      </c>
    </row>
    <row r="223" spans="1:16" hidden="1" outlineLevel="1" x14ac:dyDescent="0.45">
      <c r="A223" s="123">
        <f t="shared" si="4"/>
        <v>214</v>
      </c>
      <c r="B223" s="149">
        <v>0</v>
      </c>
      <c r="C223" s="150">
        <v>0</v>
      </c>
      <c r="D223" s="107"/>
      <c r="E223" s="111" t="s">
        <v>592</v>
      </c>
      <c r="F223" s="109" t="s">
        <v>592</v>
      </c>
      <c r="G223" s="164" t="s">
        <v>592</v>
      </c>
      <c r="H223" s="109" t="s">
        <v>592</v>
      </c>
      <c r="I223" s="107"/>
      <c r="J223" s="165" t="s">
        <v>592</v>
      </c>
      <c r="K223" s="165" t="s">
        <v>592</v>
      </c>
      <c r="L223" s="166" t="s">
        <v>592</v>
      </c>
      <c r="M223" s="130">
        <v>0</v>
      </c>
      <c r="O223" s="176">
        <v>0</v>
      </c>
      <c r="P223" s="177" t="s">
        <v>373</v>
      </c>
    </row>
    <row r="224" spans="1:16" hidden="1" outlineLevel="1" x14ac:dyDescent="0.45">
      <c r="A224" s="123">
        <f t="shared" si="4"/>
        <v>215</v>
      </c>
      <c r="B224" s="149">
        <v>0</v>
      </c>
      <c r="C224" s="150">
        <v>0</v>
      </c>
      <c r="D224" s="107"/>
      <c r="E224" s="111" t="s">
        <v>592</v>
      </c>
      <c r="F224" s="109" t="s">
        <v>592</v>
      </c>
      <c r="G224" s="164" t="s">
        <v>592</v>
      </c>
      <c r="H224" s="109" t="s">
        <v>592</v>
      </c>
      <c r="I224" s="107"/>
      <c r="J224" s="165" t="s">
        <v>592</v>
      </c>
      <c r="K224" s="165" t="s">
        <v>592</v>
      </c>
      <c r="L224" s="166" t="s">
        <v>592</v>
      </c>
      <c r="M224" s="130">
        <v>0</v>
      </c>
      <c r="O224" s="176">
        <v>0</v>
      </c>
      <c r="P224" s="177" t="s">
        <v>373</v>
      </c>
    </row>
    <row r="225" spans="1:16" hidden="1" outlineLevel="1" x14ac:dyDescent="0.45">
      <c r="A225" s="123">
        <f t="shared" si="4"/>
        <v>216</v>
      </c>
      <c r="B225" s="149">
        <v>0</v>
      </c>
      <c r="C225" s="150">
        <v>0</v>
      </c>
      <c r="D225" s="107"/>
      <c r="E225" s="111" t="s">
        <v>592</v>
      </c>
      <c r="F225" s="109" t="s">
        <v>592</v>
      </c>
      <c r="G225" s="164" t="s">
        <v>592</v>
      </c>
      <c r="H225" s="109" t="s">
        <v>592</v>
      </c>
      <c r="I225" s="107"/>
      <c r="J225" s="165" t="s">
        <v>592</v>
      </c>
      <c r="K225" s="165" t="s">
        <v>592</v>
      </c>
      <c r="L225" s="166" t="s">
        <v>592</v>
      </c>
      <c r="M225" s="130">
        <v>0</v>
      </c>
      <c r="O225" s="176">
        <v>0</v>
      </c>
      <c r="P225" s="177" t="s">
        <v>373</v>
      </c>
    </row>
    <row r="226" spans="1:16" hidden="1" outlineLevel="1" x14ac:dyDescent="0.45">
      <c r="A226" s="123">
        <f t="shared" si="4"/>
        <v>217</v>
      </c>
      <c r="B226" s="149">
        <v>0</v>
      </c>
      <c r="C226" s="150">
        <v>0</v>
      </c>
      <c r="D226" s="107"/>
      <c r="E226" s="111" t="s">
        <v>592</v>
      </c>
      <c r="F226" s="109" t="s">
        <v>592</v>
      </c>
      <c r="G226" s="164" t="s">
        <v>592</v>
      </c>
      <c r="H226" s="109" t="s">
        <v>592</v>
      </c>
      <c r="I226" s="107"/>
      <c r="J226" s="165" t="s">
        <v>592</v>
      </c>
      <c r="K226" s="165" t="s">
        <v>592</v>
      </c>
      <c r="L226" s="166" t="s">
        <v>592</v>
      </c>
      <c r="M226" s="130">
        <v>0</v>
      </c>
      <c r="O226" s="176">
        <v>0</v>
      </c>
      <c r="P226" s="177" t="s">
        <v>373</v>
      </c>
    </row>
    <row r="227" spans="1:16" hidden="1" outlineLevel="1" x14ac:dyDescent="0.45">
      <c r="A227" s="123">
        <f t="shared" si="4"/>
        <v>218</v>
      </c>
      <c r="B227" s="149">
        <v>0</v>
      </c>
      <c r="C227" s="150">
        <v>0</v>
      </c>
      <c r="D227" s="107"/>
      <c r="E227" s="111" t="s">
        <v>592</v>
      </c>
      <c r="F227" s="109" t="s">
        <v>592</v>
      </c>
      <c r="G227" s="164" t="s">
        <v>592</v>
      </c>
      <c r="H227" s="109" t="s">
        <v>592</v>
      </c>
      <c r="I227" s="107"/>
      <c r="J227" s="165" t="s">
        <v>592</v>
      </c>
      <c r="K227" s="165" t="s">
        <v>592</v>
      </c>
      <c r="L227" s="166" t="s">
        <v>592</v>
      </c>
      <c r="M227" s="130">
        <v>0</v>
      </c>
      <c r="O227" s="176">
        <v>0</v>
      </c>
      <c r="P227" s="177" t="s">
        <v>373</v>
      </c>
    </row>
    <row r="228" spans="1:16" hidden="1" outlineLevel="1" x14ac:dyDescent="0.45">
      <c r="A228" s="123">
        <f t="shared" si="4"/>
        <v>219</v>
      </c>
      <c r="B228" s="149">
        <v>0</v>
      </c>
      <c r="C228" s="150">
        <v>0</v>
      </c>
      <c r="D228" s="107"/>
      <c r="E228" s="111" t="s">
        <v>592</v>
      </c>
      <c r="F228" s="109" t="s">
        <v>592</v>
      </c>
      <c r="G228" s="164" t="s">
        <v>592</v>
      </c>
      <c r="H228" s="109" t="s">
        <v>592</v>
      </c>
      <c r="I228" s="107"/>
      <c r="J228" s="165" t="s">
        <v>592</v>
      </c>
      <c r="K228" s="165" t="s">
        <v>592</v>
      </c>
      <c r="L228" s="166" t="s">
        <v>592</v>
      </c>
      <c r="M228" s="130">
        <v>0</v>
      </c>
      <c r="O228" s="176">
        <v>0</v>
      </c>
      <c r="P228" s="177" t="s">
        <v>373</v>
      </c>
    </row>
    <row r="229" spans="1:16" hidden="1" outlineLevel="1" x14ac:dyDescent="0.45">
      <c r="A229" s="123">
        <f t="shared" si="4"/>
        <v>220</v>
      </c>
      <c r="B229" s="149">
        <v>0</v>
      </c>
      <c r="C229" s="150">
        <v>0</v>
      </c>
      <c r="D229" s="107"/>
      <c r="E229" s="111" t="s">
        <v>592</v>
      </c>
      <c r="F229" s="109" t="s">
        <v>592</v>
      </c>
      <c r="G229" s="164" t="s">
        <v>592</v>
      </c>
      <c r="H229" s="109" t="s">
        <v>592</v>
      </c>
      <c r="I229" s="107"/>
      <c r="J229" s="165" t="s">
        <v>592</v>
      </c>
      <c r="K229" s="165" t="s">
        <v>592</v>
      </c>
      <c r="L229" s="166" t="s">
        <v>592</v>
      </c>
      <c r="M229" s="130">
        <v>0</v>
      </c>
      <c r="O229" s="176">
        <v>0</v>
      </c>
      <c r="P229" s="177" t="s">
        <v>373</v>
      </c>
    </row>
    <row r="230" spans="1:16" hidden="1" outlineLevel="1" x14ac:dyDescent="0.45">
      <c r="A230" s="123">
        <f t="shared" si="4"/>
        <v>221</v>
      </c>
      <c r="B230" s="149">
        <v>0</v>
      </c>
      <c r="C230" s="150">
        <v>0</v>
      </c>
      <c r="D230" s="107"/>
      <c r="E230" s="111" t="s">
        <v>592</v>
      </c>
      <c r="F230" s="109" t="s">
        <v>592</v>
      </c>
      <c r="G230" s="164" t="s">
        <v>592</v>
      </c>
      <c r="H230" s="109" t="s">
        <v>592</v>
      </c>
      <c r="I230" s="107"/>
      <c r="J230" s="165" t="s">
        <v>592</v>
      </c>
      <c r="K230" s="165" t="s">
        <v>592</v>
      </c>
      <c r="L230" s="166" t="s">
        <v>592</v>
      </c>
      <c r="M230" s="130">
        <v>0</v>
      </c>
      <c r="O230" s="176">
        <v>0</v>
      </c>
      <c r="P230" s="177" t="s">
        <v>373</v>
      </c>
    </row>
    <row r="231" spans="1:16" hidden="1" outlineLevel="1" x14ac:dyDescent="0.45">
      <c r="A231" s="123">
        <f t="shared" si="4"/>
        <v>222</v>
      </c>
      <c r="B231" s="149">
        <v>0</v>
      </c>
      <c r="C231" s="150">
        <v>0</v>
      </c>
      <c r="D231" s="107"/>
      <c r="E231" s="111" t="s">
        <v>592</v>
      </c>
      <c r="F231" s="109" t="s">
        <v>592</v>
      </c>
      <c r="G231" s="164" t="s">
        <v>592</v>
      </c>
      <c r="H231" s="109" t="s">
        <v>592</v>
      </c>
      <c r="I231" s="107"/>
      <c r="J231" s="165" t="s">
        <v>592</v>
      </c>
      <c r="K231" s="165" t="s">
        <v>592</v>
      </c>
      <c r="L231" s="166" t="s">
        <v>592</v>
      </c>
      <c r="M231" s="130">
        <v>0</v>
      </c>
      <c r="O231" s="176">
        <v>0</v>
      </c>
      <c r="P231" s="177" t="s">
        <v>373</v>
      </c>
    </row>
    <row r="232" spans="1:16" hidden="1" outlineLevel="1" x14ac:dyDescent="0.45">
      <c r="A232" s="123">
        <f t="shared" si="4"/>
        <v>223</v>
      </c>
      <c r="B232" s="149">
        <v>0</v>
      </c>
      <c r="C232" s="150">
        <v>0</v>
      </c>
      <c r="D232" s="107"/>
      <c r="E232" s="111" t="s">
        <v>592</v>
      </c>
      <c r="F232" s="109" t="s">
        <v>592</v>
      </c>
      <c r="G232" s="164" t="s">
        <v>592</v>
      </c>
      <c r="H232" s="109" t="s">
        <v>592</v>
      </c>
      <c r="I232" s="107"/>
      <c r="J232" s="165" t="s">
        <v>592</v>
      </c>
      <c r="K232" s="165" t="s">
        <v>592</v>
      </c>
      <c r="L232" s="166" t="s">
        <v>592</v>
      </c>
      <c r="M232" s="130">
        <v>0</v>
      </c>
      <c r="O232" s="176">
        <v>0</v>
      </c>
      <c r="P232" s="177" t="s">
        <v>373</v>
      </c>
    </row>
    <row r="233" spans="1:16" hidden="1" outlineLevel="1" x14ac:dyDescent="0.45">
      <c r="A233" s="123">
        <f t="shared" si="4"/>
        <v>224</v>
      </c>
      <c r="B233" s="149">
        <v>0</v>
      </c>
      <c r="C233" s="150">
        <v>0</v>
      </c>
      <c r="D233" s="107"/>
      <c r="E233" s="111" t="s">
        <v>592</v>
      </c>
      <c r="F233" s="109" t="s">
        <v>592</v>
      </c>
      <c r="G233" s="164" t="s">
        <v>592</v>
      </c>
      <c r="H233" s="109" t="s">
        <v>592</v>
      </c>
      <c r="I233" s="107"/>
      <c r="J233" s="165" t="s">
        <v>592</v>
      </c>
      <c r="K233" s="165" t="s">
        <v>592</v>
      </c>
      <c r="L233" s="166" t="s">
        <v>592</v>
      </c>
      <c r="M233" s="130">
        <v>0</v>
      </c>
      <c r="O233" s="176">
        <v>0</v>
      </c>
      <c r="P233" s="177" t="s">
        <v>373</v>
      </c>
    </row>
    <row r="234" spans="1:16" hidden="1" outlineLevel="1" x14ac:dyDescent="0.45">
      <c r="A234" s="123">
        <f t="shared" si="4"/>
        <v>225</v>
      </c>
      <c r="B234" s="149">
        <v>0</v>
      </c>
      <c r="C234" s="150">
        <v>0</v>
      </c>
      <c r="D234" s="107"/>
      <c r="E234" s="111" t="s">
        <v>592</v>
      </c>
      <c r="F234" s="109" t="s">
        <v>592</v>
      </c>
      <c r="G234" s="164" t="s">
        <v>592</v>
      </c>
      <c r="H234" s="109" t="s">
        <v>592</v>
      </c>
      <c r="I234" s="107"/>
      <c r="J234" s="165" t="s">
        <v>592</v>
      </c>
      <c r="K234" s="165" t="s">
        <v>592</v>
      </c>
      <c r="L234" s="166" t="s">
        <v>592</v>
      </c>
      <c r="M234" s="130">
        <v>0</v>
      </c>
      <c r="O234" s="176">
        <v>0</v>
      </c>
      <c r="P234" s="177" t="s">
        <v>373</v>
      </c>
    </row>
    <row r="235" spans="1:16" hidden="1" outlineLevel="1" x14ac:dyDescent="0.45">
      <c r="A235" s="123">
        <f t="shared" si="4"/>
        <v>226</v>
      </c>
      <c r="B235" s="149">
        <v>0</v>
      </c>
      <c r="C235" s="150">
        <v>0</v>
      </c>
      <c r="D235" s="107"/>
      <c r="E235" s="111" t="s">
        <v>592</v>
      </c>
      <c r="F235" s="109" t="s">
        <v>592</v>
      </c>
      <c r="G235" s="164" t="s">
        <v>592</v>
      </c>
      <c r="H235" s="109" t="s">
        <v>592</v>
      </c>
      <c r="I235" s="107"/>
      <c r="J235" s="165" t="s">
        <v>592</v>
      </c>
      <c r="K235" s="165" t="s">
        <v>592</v>
      </c>
      <c r="L235" s="166" t="s">
        <v>592</v>
      </c>
      <c r="M235" s="130">
        <v>0</v>
      </c>
      <c r="O235" s="176">
        <v>0</v>
      </c>
      <c r="P235" s="177" t="s">
        <v>373</v>
      </c>
    </row>
    <row r="236" spans="1:16" hidden="1" outlineLevel="1" x14ac:dyDescent="0.45">
      <c r="A236" s="123">
        <f t="shared" si="4"/>
        <v>227</v>
      </c>
      <c r="B236" s="149">
        <v>0</v>
      </c>
      <c r="C236" s="150">
        <v>0</v>
      </c>
      <c r="D236" s="107"/>
      <c r="E236" s="111" t="s">
        <v>592</v>
      </c>
      <c r="F236" s="109" t="s">
        <v>592</v>
      </c>
      <c r="G236" s="164" t="s">
        <v>592</v>
      </c>
      <c r="H236" s="109" t="s">
        <v>592</v>
      </c>
      <c r="I236" s="107"/>
      <c r="J236" s="165" t="s">
        <v>592</v>
      </c>
      <c r="K236" s="165" t="s">
        <v>592</v>
      </c>
      <c r="L236" s="166" t="s">
        <v>592</v>
      </c>
      <c r="M236" s="130">
        <v>0</v>
      </c>
      <c r="O236" s="176">
        <v>0</v>
      </c>
      <c r="P236" s="177" t="s">
        <v>373</v>
      </c>
    </row>
    <row r="237" spans="1:16" hidden="1" outlineLevel="1" x14ac:dyDescent="0.45">
      <c r="A237" s="123">
        <f t="shared" si="4"/>
        <v>228</v>
      </c>
      <c r="B237" s="149">
        <v>0</v>
      </c>
      <c r="C237" s="150">
        <v>0</v>
      </c>
      <c r="D237" s="107"/>
      <c r="E237" s="111" t="s">
        <v>592</v>
      </c>
      <c r="F237" s="109" t="s">
        <v>592</v>
      </c>
      <c r="G237" s="164" t="s">
        <v>592</v>
      </c>
      <c r="H237" s="109" t="s">
        <v>592</v>
      </c>
      <c r="I237" s="107"/>
      <c r="J237" s="165" t="s">
        <v>592</v>
      </c>
      <c r="K237" s="165" t="s">
        <v>592</v>
      </c>
      <c r="L237" s="166" t="s">
        <v>592</v>
      </c>
      <c r="M237" s="130">
        <v>0</v>
      </c>
      <c r="O237" s="176">
        <v>0</v>
      </c>
      <c r="P237" s="177" t="s">
        <v>373</v>
      </c>
    </row>
    <row r="238" spans="1:16" hidden="1" outlineLevel="1" x14ac:dyDescent="0.45">
      <c r="A238" s="123">
        <f t="shared" si="4"/>
        <v>229</v>
      </c>
      <c r="B238" s="149">
        <v>0</v>
      </c>
      <c r="C238" s="150">
        <v>0</v>
      </c>
      <c r="D238" s="107"/>
      <c r="E238" s="111" t="s">
        <v>592</v>
      </c>
      <c r="F238" s="109" t="s">
        <v>592</v>
      </c>
      <c r="G238" s="164" t="s">
        <v>592</v>
      </c>
      <c r="H238" s="109" t="s">
        <v>592</v>
      </c>
      <c r="I238" s="107"/>
      <c r="J238" s="165" t="s">
        <v>592</v>
      </c>
      <c r="K238" s="165" t="s">
        <v>592</v>
      </c>
      <c r="L238" s="166" t="s">
        <v>592</v>
      </c>
      <c r="M238" s="130">
        <v>0</v>
      </c>
      <c r="O238" s="176">
        <v>0</v>
      </c>
      <c r="P238" s="177" t="s">
        <v>373</v>
      </c>
    </row>
    <row r="239" spans="1:16" hidden="1" outlineLevel="1" x14ac:dyDescent="0.45">
      <c r="A239" s="123">
        <f t="shared" si="4"/>
        <v>230</v>
      </c>
      <c r="B239" s="149">
        <v>0</v>
      </c>
      <c r="C239" s="150">
        <v>0</v>
      </c>
      <c r="D239" s="107"/>
      <c r="E239" s="111" t="s">
        <v>592</v>
      </c>
      <c r="F239" s="109" t="s">
        <v>592</v>
      </c>
      <c r="G239" s="164" t="s">
        <v>592</v>
      </c>
      <c r="H239" s="109" t="s">
        <v>592</v>
      </c>
      <c r="I239" s="107"/>
      <c r="J239" s="165" t="s">
        <v>592</v>
      </c>
      <c r="K239" s="165" t="s">
        <v>592</v>
      </c>
      <c r="L239" s="166" t="s">
        <v>592</v>
      </c>
      <c r="M239" s="130">
        <v>0</v>
      </c>
      <c r="O239" s="176">
        <v>0</v>
      </c>
      <c r="P239" s="177" t="s">
        <v>373</v>
      </c>
    </row>
    <row r="240" spans="1:16" hidden="1" outlineLevel="1" x14ac:dyDescent="0.45">
      <c r="A240" s="123">
        <f t="shared" si="4"/>
        <v>231</v>
      </c>
      <c r="B240" s="149">
        <v>0</v>
      </c>
      <c r="C240" s="150">
        <v>0</v>
      </c>
      <c r="D240" s="107"/>
      <c r="E240" s="111" t="s">
        <v>592</v>
      </c>
      <c r="F240" s="109" t="s">
        <v>592</v>
      </c>
      <c r="G240" s="164" t="s">
        <v>592</v>
      </c>
      <c r="H240" s="109" t="s">
        <v>592</v>
      </c>
      <c r="I240" s="107"/>
      <c r="J240" s="165" t="s">
        <v>592</v>
      </c>
      <c r="K240" s="165" t="s">
        <v>592</v>
      </c>
      <c r="L240" s="166" t="s">
        <v>592</v>
      </c>
      <c r="M240" s="130">
        <v>0</v>
      </c>
      <c r="O240" s="176">
        <v>0</v>
      </c>
      <c r="P240" s="177" t="s">
        <v>373</v>
      </c>
    </row>
    <row r="241" spans="1:16" hidden="1" outlineLevel="1" x14ac:dyDescent="0.45">
      <c r="A241" s="123">
        <f t="shared" si="4"/>
        <v>232</v>
      </c>
      <c r="B241" s="149">
        <v>0</v>
      </c>
      <c r="C241" s="150">
        <v>0</v>
      </c>
      <c r="D241" s="107"/>
      <c r="E241" s="111" t="s">
        <v>592</v>
      </c>
      <c r="F241" s="109" t="s">
        <v>592</v>
      </c>
      <c r="G241" s="164" t="s">
        <v>592</v>
      </c>
      <c r="H241" s="109" t="s">
        <v>592</v>
      </c>
      <c r="I241" s="107"/>
      <c r="J241" s="165" t="s">
        <v>592</v>
      </c>
      <c r="K241" s="165" t="s">
        <v>592</v>
      </c>
      <c r="L241" s="166" t="s">
        <v>592</v>
      </c>
      <c r="M241" s="130">
        <v>0</v>
      </c>
      <c r="O241" s="176">
        <v>0</v>
      </c>
      <c r="P241" s="177" t="s">
        <v>373</v>
      </c>
    </row>
    <row r="242" spans="1:16" hidden="1" outlineLevel="1" x14ac:dyDescent="0.45">
      <c r="A242" s="123">
        <f t="shared" si="4"/>
        <v>233</v>
      </c>
      <c r="B242" s="149">
        <v>0</v>
      </c>
      <c r="C242" s="150">
        <v>0</v>
      </c>
      <c r="D242" s="107"/>
      <c r="E242" s="111" t="s">
        <v>592</v>
      </c>
      <c r="F242" s="109" t="s">
        <v>592</v>
      </c>
      <c r="G242" s="164" t="s">
        <v>592</v>
      </c>
      <c r="H242" s="109" t="s">
        <v>592</v>
      </c>
      <c r="I242" s="107"/>
      <c r="J242" s="165" t="s">
        <v>592</v>
      </c>
      <c r="K242" s="165" t="s">
        <v>592</v>
      </c>
      <c r="L242" s="166" t="s">
        <v>592</v>
      </c>
      <c r="M242" s="130">
        <v>0</v>
      </c>
      <c r="O242" s="176">
        <v>0</v>
      </c>
      <c r="P242" s="177" t="s">
        <v>373</v>
      </c>
    </row>
    <row r="243" spans="1:16" hidden="1" outlineLevel="1" x14ac:dyDescent="0.45">
      <c r="A243" s="123">
        <f t="shared" si="4"/>
        <v>234</v>
      </c>
      <c r="B243" s="149">
        <v>0</v>
      </c>
      <c r="C243" s="150">
        <v>0</v>
      </c>
      <c r="D243" s="107"/>
      <c r="E243" s="111" t="s">
        <v>592</v>
      </c>
      <c r="F243" s="109" t="s">
        <v>592</v>
      </c>
      <c r="G243" s="164" t="s">
        <v>592</v>
      </c>
      <c r="H243" s="109" t="s">
        <v>592</v>
      </c>
      <c r="I243" s="107"/>
      <c r="J243" s="165" t="s">
        <v>592</v>
      </c>
      <c r="K243" s="165" t="s">
        <v>592</v>
      </c>
      <c r="L243" s="166" t="s">
        <v>592</v>
      </c>
      <c r="M243" s="130">
        <v>0</v>
      </c>
      <c r="O243" s="176">
        <v>0</v>
      </c>
      <c r="P243" s="177" t="s">
        <v>373</v>
      </c>
    </row>
    <row r="244" spans="1:16" hidden="1" outlineLevel="1" x14ac:dyDescent="0.45">
      <c r="A244" s="123">
        <f t="shared" si="4"/>
        <v>235</v>
      </c>
      <c r="B244" s="149">
        <v>0</v>
      </c>
      <c r="C244" s="150">
        <v>0</v>
      </c>
      <c r="D244" s="107"/>
      <c r="E244" s="111" t="s">
        <v>592</v>
      </c>
      <c r="F244" s="109" t="s">
        <v>592</v>
      </c>
      <c r="G244" s="164" t="s">
        <v>592</v>
      </c>
      <c r="H244" s="109" t="s">
        <v>592</v>
      </c>
      <c r="I244" s="107"/>
      <c r="J244" s="165" t="s">
        <v>592</v>
      </c>
      <c r="K244" s="165" t="s">
        <v>592</v>
      </c>
      <c r="L244" s="166" t="s">
        <v>592</v>
      </c>
      <c r="M244" s="130">
        <v>0</v>
      </c>
      <c r="O244" s="176">
        <v>0</v>
      </c>
      <c r="P244" s="177" t="s">
        <v>373</v>
      </c>
    </row>
    <row r="245" spans="1:16" hidden="1" outlineLevel="1" x14ac:dyDescent="0.45">
      <c r="A245" s="123">
        <f t="shared" si="4"/>
        <v>236</v>
      </c>
      <c r="B245" s="149">
        <v>0</v>
      </c>
      <c r="C245" s="150">
        <v>0</v>
      </c>
      <c r="D245" s="107"/>
      <c r="E245" s="111" t="s">
        <v>592</v>
      </c>
      <c r="F245" s="109" t="s">
        <v>592</v>
      </c>
      <c r="G245" s="164" t="s">
        <v>592</v>
      </c>
      <c r="H245" s="109" t="s">
        <v>592</v>
      </c>
      <c r="I245" s="107"/>
      <c r="J245" s="165" t="s">
        <v>592</v>
      </c>
      <c r="K245" s="165" t="s">
        <v>592</v>
      </c>
      <c r="L245" s="166" t="s">
        <v>592</v>
      </c>
      <c r="M245" s="130">
        <v>0</v>
      </c>
      <c r="O245" s="176">
        <v>0</v>
      </c>
      <c r="P245" s="177" t="s">
        <v>373</v>
      </c>
    </row>
    <row r="246" spans="1:16" hidden="1" outlineLevel="1" x14ac:dyDescent="0.45">
      <c r="A246" s="123">
        <f t="shared" si="4"/>
        <v>237</v>
      </c>
      <c r="B246" s="149">
        <v>0</v>
      </c>
      <c r="C246" s="150">
        <v>0</v>
      </c>
      <c r="D246" s="107"/>
      <c r="E246" s="111" t="s">
        <v>592</v>
      </c>
      <c r="F246" s="109" t="s">
        <v>592</v>
      </c>
      <c r="G246" s="164" t="s">
        <v>592</v>
      </c>
      <c r="H246" s="109" t="s">
        <v>592</v>
      </c>
      <c r="I246" s="107"/>
      <c r="J246" s="165" t="s">
        <v>592</v>
      </c>
      <c r="K246" s="165" t="s">
        <v>592</v>
      </c>
      <c r="L246" s="166" t="s">
        <v>592</v>
      </c>
      <c r="M246" s="130">
        <v>0</v>
      </c>
      <c r="O246" s="176">
        <v>0</v>
      </c>
      <c r="P246" s="177" t="s">
        <v>373</v>
      </c>
    </row>
    <row r="247" spans="1:16" hidden="1" outlineLevel="1" x14ac:dyDescent="0.45">
      <c r="A247" s="123">
        <f t="shared" si="4"/>
        <v>238</v>
      </c>
      <c r="B247" s="149">
        <v>0</v>
      </c>
      <c r="C247" s="150">
        <v>0</v>
      </c>
      <c r="D247" s="107"/>
      <c r="E247" s="111" t="s">
        <v>592</v>
      </c>
      <c r="F247" s="109" t="s">
        <v>592</v>
      </c>
      <c r="G247" s="164" t="s">
        <v>592</v>
      </c>
      <c r="H247" s="109" t="s">
        <v>592</v>
      </c>
      <c r="I247" s="107"/>
      <c r="J247" s="165" t="s">
        <v>592</v>
      </c>
      <c r="K247" s="165" t="s">
        <v>592</v>
      </c>
      <c r="L247" s="166" t="s">
        <v>592</v>
      </c>
      <c r="M247" s="130">
        <v>0</v>
      </c>
      <c r="O247" s="176">
        <v>0</v>
      </c>
      <c r="P247" s="177" t="s">
        <v>373</v>
      </c>
    </row>
    <row r="248" spans="1:16" hidden="1" outlineLevel="1" x14ac:dyDescent="0.45">
      <c r="A248" s="123">
        <f t="shared" si="4"/>
        <v>239</v>
      </c>
      <c r="B248" s="149">
        <v>0</v>
      </c>
      <c r="C248" s="150">
        <v>0</v>
      </c>
      <c r="D248" s="107"/>
      <c r="E248" s="111" t="s">
        <v>592</v>
      </c>
      <c r="F248" s="109" t="s">
        <v>592</v>
      </c>
      <c r="G248" s="164" t="s">
        <v>592</v>
      </c>
      <c r="H248" s="109" t="s">
        <v>592</v>
      </c>
      <c r="I248" s="107"/>
      <c r="J248" s="165" t="s">
        <v>592</v>
      </c>
      <c r="K248" s="165" t="s">
        <v>592</v>
      </c>
      <c r="L248" s="166" t="s">
        <v>592</v>
      </c>
      <c r="M248" s="130">
        <v>0</v>
      </c>
      <c r="O248" s="176">
        <v>0</v>
      </c>
      <c r="P248" s="177" t="s">
        <v>373</v>
      </c>
    </row>
    <row r="249" spans="1:16" hidden="1" outlineLevel="1" x14ac:dyDescent="0.45">
      <c r="A249" s="123">
        <f t="shared" si="4"/>
        <v>240</v>
      </c>
      <c r="B249" s="149">
        <v>0</v>
      </c>
      <c r="C249" s="150">
        <v>0</v>
      </c>
      <c r="D249" s="107"/>
      <c r="E249" s="111" t="s">
        <v>592</v>
      </c>
      <c r="F249" s="109" t="s">
        <v>592</v>
      </c>
      <c r="G249" s="164" t="s">
        <v>592</v>
      </c>
      <c r="H249" s="109" t="s">
        <v>592</v>
      </c>
      <c r="I249" s="107"/>
      <c r="J249" s="165" t="s">
        <v>592</v>
      </c>
      <c r="K249" s="165" t="s">
        <v>592</v>
      </c>
      <c r="L249" s="166" t="s">
        <v>592</v>
      </c>
      <c r="M249" s="130">
        <v>0</v>
      </c>
      <c r="O249" s="176">
        <v>0</v>
      </c>
      <c r="P249" s="177" t="s">
        <v>373</v>
      </c>
    </row>
    <row r="250" spans="1:16" hidden="1" outlineLevel="1" x14ac:dyDescent="0.45">
      <c r="A250" s="123">
        <f t="shared" si="4"/>
        <v>241</v>
      </c>
      <c r="B250" s="149">
        <v>0</v>
      </c>
      <c r="C250" s="150">
        <v>0</v>
      </c>
      <c r="D250" s="107"/>
      <c r="E250" s="111" t="s">
        <v>592</v>
      </c>
      <c r="F250" s="109" t="s">
        <v>592</v>
      </c>
      <c r="G250" s="164" t="s">
        <v>592</v>
      </c>
      <c r="H250" s="109" t="s">
        <v>592</v>
      </c>
      <c r="I250" s="107"/>
      <c r="J250" s="165" t="s">
        <v>592</v>
      </c>
      <c r="K250" s="165" t="s">
        <v>592</v>
      </c>
      <c r="L250" s="166" t="s">
        <v>592</v>
      </c>
      <c r="M250" s="130">
        <v>0</v>
      </c>
      <c r="O250" s="176">
        <v>0</v>
      </c>
      <c r="P250" s="177" t="s">
        <v>373</v>
      </c>
    </row>
    <row r="251" spans="1:16" hidden="1" outlineLevel="1" x14ac:dyDescent="0.45">
      <c r="A251" s="123">
        <f t="shared" si="4"/>
        <v>242</v>
      </c>
      <c r="B251" s="149">
        <v>0</v>
      </c>
      <c r="C251" s="150">
        <v>0</v>
      </c>
      <c r="D251" s="107"/>
      <c r="E251" s="111" t="s">
        <v>592</v>
      </c>
      <c r="F251" s="109" t="s">
        <v>592</v>
      </c>
      <c r="G251" s="164" t="s">
        <v>592</v>
      </c>
      <c r="H251" s="109" t="s">
        <v>592</v>
      </c>
      <c r="I251" s="107"/>
      <c r="J251" s="165" t="s">
        <v>592</v>
      </c>
      <c r="K251" s="165" t="s">
        <v>592</v>
      </c>
      <c r="L251" s="166" t="s">
        <v>592</v>
      </c>
      <c r="M251" s="130">
        <v>0</v>
      </c>
      <c r="O251" s="176">
        <v>0</v>
      </c>
      <c r="P251" s="177" t="s">
        <v>373</v>
      </c>
    </row>
    <row r="252" spans="1:16" hidden="1" outlineLevel="1" x14ac:dyDescent="0.45">
      <c r="A252" s="123">
        <f t="shared" si="4"/>
        <v>243</v>
      </c>
      <c r="B252" s="149">
        <v>0</v>
      </c>
      <c r="C252" s="150">
        <v>0</v>
      </c>
      <c r="D252" s="107"/>
      <c r="E252" s="111" t="s">
        <v>592</v>
      </c>
      <c r="F252" s="109" t="s">
        <v>592</v>
      </c>
      <c r="G252" s="164" t="s">
        <v>592</v>
      </c>
      <c r="H252" s="109" t="s">
        <v>592</v>
      </c>
      <c r="I252" s="107"/>
      <c r="J252" s="165" t="s">
        <v>592</v>
      </c>
      <c r="K252" s="165" t="s">
        <v>592</v>
      </c>
      <c r="L252" s="166" t="s">
        <v>592</v>
      </c>
      <c r="M252" s="130">
        <v>0</v>
      </c>
      <c r="O252" s="176">
        <v>0</v>
      </c>
      <c r="P252" s="177" t="s">
        <v>373</v>
      </c>
    </row>
    <row r="253" spans="1:16" hidden="1" outlineLevel="1" x14ac:dyDescent="0.45">
      <c r="A253" s="123">
        <f t="shared" si="4"/>
        <v>244</v>
      </c>
      <c r="B253" s="149">
        <v>0</v>
      </c>
      <c r="C253" s="150">
        <v>0</v>
      </c>
      <c r="D253" s="107"/>
      <c r="E253" s="111" t="s">
        <v>592</v>
      </c>
      <c r="F253" s="109" t="s">
        <v>592</v>
      </c>
      <c r="G253" s="164" t="s">
        <v>592</v>
      </c>
      <c r="H253" s="109" t="s">
        <v>592</v>
      </c>
      <c r="I253" s="107"/>
      <c r="J253" s="165" t="s">
        <v>592</v>
      </c>
      <c r="K253" s="165" t="s">
        <v>592</v>
      </c>
      <c r="L253" s="166" t="s">
        <v>592</v>
      </c>
      <c r="M253" s="130">
        <v>0</v>
      </c>
      <c r="O253" s="176">
        <v>0</v>
      </c>
      <c r="P253" s="177" t="s">
        <v>373</v>
      </c>
    </row>
    <row r="254" spans="1:16" hidden="1" outlineLevel="1" x14ac:dyDescent="0.45">
      <c r="A254" s="123">
        <f t="shared" si="4"/>
        <v>245</v>
      </c>
      <c r="B254" s="149">
        <v>0</v>
      </c>
      <c r="C254" s="150">
        <v>0</v>
      </c>
      <c r="D254" s="107"/>
      <c r="E254" s="111" t="s">
        <v>592</v>
      </c>
      <c r="F254" s="109" t="s">
        <v>592</v>
      </c>
      <c r="G254" s="164" t="s">
        <v>592</v>
      </c>
      <c r="H254" s="109" t="s">
        <v>592</v>
      </c>
      <c r="I254" s="107"/>
      <c r="J254" s="165" t="s">
        <v>592</v>
      </c>
      <c r="K254" s="165" t="s">
        <v>592</v>
      </c>
      <c r="L254" s="166" t="s">
        <v>592</v>
      </c>
      <c r="M254" s="130">
        <v>0</v>
      </c>
      <c r="O254" s="176">
        <v>0</v>
      </c>
      <c r="P254" s="177" t="s">
        <v>373</v>
      </c>
    </row>
    <row r="255" spans="1:16" hidden="1" outlineLevel="1" x14ac:dyDescent="0.45">
      <c r="A255" s="123">
        <f t="shared" si="4"/>
        <v>246</v>
      </c>
      <c r="B255" s="149">
        <v>0</v>
      </c>
      <c r="C255" s="150">
        <v>0</v>
      </c>
      <c r="D255" s="107"/>
      <c r="E255" s="111" t="s">
        <v>592</v>
      </c>
      <c r="F255" s="109" t="s">
        <v>592</v>
      </c>
      <c r="G255" s="164" t="s">
        <v>592</v>
      </c>
      <c r="H255" s="109" t="s">
        <v>592</v>
      </c>
      <c r="I255" s="107"/>
      <c r="J255" s="165" t="s">
        <v>592</v>
      </c>
      <c r="K255" s="165" t="s">
        <v>592</v>
      </c>
      <c r="L255" s="166" t="s">
        <v>592</v>
      </c>
      <c r="M255" s="130">
        <v>0</v>
      </c>
      <c r="O255" s="176">
        <v>0</v>
      </c>
      <c r="P255" s="177" t="s">
        <v>373</v>
      </c>
    </row>
    <row r="256" spans="1:16" hidden="1" outlineLevel="1" x14ac:dyDescent="0.45">
      <c r="A256" s="123">
        <f t="shared" si="4"/>
        <v>247</v>
      </c>
      <c r="B256" s="149">
        <v>0</v>
      </c>
      <c r="C256" s="150">
        <v>0</v>
      </c>
      <c r="D256" s="107"/>
      <c r="E256" s="111" t="s">
        <v>592</v>
      </c>
      <c r="F256" s="109" t="s">
        <v>592</v>
      </c>
      <c r="G256" s="164" t="s">
        <v>592</v>
      </c>
      <c r="H256" s="109" t="s">
        <v>592</v>
      </c>
      <c r="I256" s="107"/>
      <c r="J256" s="165" t="s">
        <v>592</v>
      </c>
      <c r="K256" s="165" t="s">
        <v>592</v>
      </c>
      <c r="L256" s="166" t="s">
        <v>592</v>
      </c>
      <c r="M256" s="130">
        <v>0</v>
      </c>
      <c r="O256" s="176">
        <v>0</v>
      </c>
      <c r="P256" s="177" t="s">
        <v>373</v>
      </c>
    </row>
    <row r="257" spans="1:16" hidden="1" outlineLevel="1" x14ac:dyDescent="0.45">
      <c r="A257" s="123">
        <f t="shared" si="4"/>
        <v>248</v>
      </c>
      <c r="B257" s="149">
        <v>0</v>
      </c>
      <c r="C257" s="150">
        <v>0</v>
      </c>
      <c r="D257" s="107"/>
      <c r="E257" s="111" t="s">
        <v>592</v>
      </c>
      <c r="F257" s="109" t="s">
        <v>592</v>
      </c>
      <c r="G257" s="164" t="s">
        <v>592</v>
      </c>
      <c r="H257" s="109" t="s">
        <v>592</v>
      </c>
      <c r="I257" s="107"/>
      <c r="J257" s="165" t="s">
        <v>592</v>
      </c>
      <c r="K257" s="165" t="s">
        <v>592</v>
      </c>
      <c r="L257" s="166" t="s">
        <v>592</v>
      </c>
      <c r="M257" s="130">
        <v>0</v>
      </c>
      <c r="O257" s="176">
        <v>0</v>
      </c>
      <c r="P257" s="177" t="s">
        <v>373</v>
      </c>
    </row>
    <row r="258" spans="1:16" hidden="1" outlineLevel="1" x14ac:dyDescent="0.45">
      <c r="A258" s="123">
        <f t="shared" si="4"/>
        <v>249</v>
      </c>
      <c r="B258" s="149">
        <v>0</v>
      </c>
      <c r="C258" s="150">
        <v>0</v>
      </c>
      <c r="D258" s="107"/>
      <c r="E258" s="111" t="s">
        <v>592</v>
      </c>
      <c r="F258" s="109" t="s">
        <v>592</v>
      </c>
      <c r="G258" s="164" t="s">
        <v>592</v>
      </c>
      <c r="H258" s="109" t="s">
        <v>592</v>
      </c>
      <c r="I258" s="107"/>
      <c r="J258" s="165" t="s">
        <v>592</v>
      </c>
      <c r="K258" s="165" t="s">
        <v>592</v>
      </c>
      <c r="L258" s="166" t="s">
        <v>592</v>
      </c>
      <c r="M258" s="130">
        <v>0</v>
      </c>
      <c r="O258" s="176">
        <v>0</v>
      </c>
      <c r="P258" s="177" t="s">
        <v>373</v>
      </c>
    </row>
    <row r="259" spans="1:16" hidden="1" outlineLevel="1" x14ac:dyDescent="0.45">
      <c r="A259" s="123">
        <f t="shared" si="4"/>
        <v>250</v>
      </c>
      <c r="B259" s="149">
        <v>0</v>
      </c>
      <c r="C259" s="150">
        <v>0</v>
      </c>
      <c r="D259" s="107"/>
      <c r="E259" s="111" t="s">
        <v>592</v>
      </c>
      <c r="F259" s="109" t="s">
        <v>592</v>
      </c>
      <c r="G259" s="164" t="s">
        <v>592</v>
      </c>
      <c r="H259" s="109" t="s">
        <v>592</v>
      </c>
      <c r="I259" s="107"/>
      <c r="J259" s="165" t="s">
        <v>592</v>
      </c>
      <c r="K259" s="165" t="s">
        <v>592</v>
      </c>
      <c r="L259" s="166" t="s">
        <v>592</v>
      </c>
      <c r="M259" s="130">
        <v>0</v>
      </c>
      <c r="O259" s="176">
        <v>0</v>
      </c>
      <c r="P259" s="177" t="s">
        <v>373</v>
      </c>
    </row>
    <row r="260" spans="1:16" collapsed="1" x14ac:dyDescent="0.45">
      <c r="B260" s="149" t="s">
        <v>820</v>
      </c>
      <c r="C260" s="150">
        <v>13146</v>
      </c>
      <c r="D260" s="107"/>
      <c r="E260" s="107"/>
      <c r="F260" s="107"/>
      <c r="G260" s="107"/>
      <c r="H260" s="107"/>
      <c r="I260" s="107"/>
      <c r="J260" s="107"/>
      <c r="K260" s="107"/>
      <c r="L260" s="107"/>
      <c r="M260" s="107"/>
      <c r="O260" s="150">
        <v>6007</v>
      </c>
      <c r="P260" s="178">
        <v>0</v>
      </c>
    </row>
  </sheetData>
  <mergeCells count="2">
    <mergeCell ref="E4:H4"/>
    <mergeCell ref="J4:M4"/>
  </mergeCells>
  <conditionalFormatting sqref="C10:L260">
    <cfRule type="cellIs" dxfId="4" priority="8" operator="lessThan">
      <formula>0</formula>
    </cfRule>
  </conditionalFormatting>
  <conditionalFormatting sqref="K10:K259">
    <cfRule type="cellIs" dxfId="3" priority="7" operator="greaterThan">
      <formula>0.5</formula>
    </cfRule>
  </conditionalFormatting>
  <conditionalFormatting sqref="M10:M259">
    <cfRule type="cellIs" dxfId="2" priority="9" operator="lessThan">
      <formula>0</formula>
    </cfRule>
    <cfRule type="cellIs" dxfId="1" priority="10" operator="greaterThan">
      <formula>1</formula>
    </cfRule>
  </conditionalFormatting>
  <conditionalFormatting sqref="O10:P260">
    <cfRule type="cellIs" dxfId="0" priority="1" operator="lessThan">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2</vt:i4>
      </vt:variant>
    </vt:vector>
  </HeadingPairs>
  <TitlesOfParts>
    <vt:vector size="11" baseType="lpstr">
      <vt:lpstr>CIQ_LinkingNames</vt:lpstr>
      <vt:lpstr>free</vt:lpstr>
      <vt:lpstr>pay</vt:lpstr>
      <vt:lpstr>Report F6</vt:lpstr>
      <vt:lpstr>Report F7</vt:lpstr>
      <vt:lpstr>DIY Grundmodell</vt:lpstr>
      <vt:lpstr>Datenquelle</vt:lpstr>
      <vt:lpstr>DINA 4</vt:lpstr>
      <vt:lpstr>Benchmarks</vt:lpstr>
      <vt:lpstr>'Report F6'!Druckbereich</vt:lpstr>
      <vt:lpstr>'Report F7'!Druckbereich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Brass</dc:creator>
  <cp:lastModifiedBy>Rolf Brass</cp:lastModifiedBy>
  <cp:lastPrinted>2026-04-17T14:34:22Z</cp:lastPrinted>
  <dcterms:created xsi:type="dcterms:W3CDTF">2018-04-10T07:56:47Z</dcterms:created>
  <dcterms:modified xsi:type="dcterms:W3CDTF">2026-04-17T14:44:21Z</dcterms:modified>
</cp:coreProperties>
</file>